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ttps://berlitzglobal-my.sharepoint.com/personal/jbecker_els_edu/Documents/Accounting and Reporting/Budgets/ELS Canada Budget/"/>
    </mc:Choice>
  </mc:AlternateContent>
  <xr:revisionPtr revIDLastSave="13" documentId="8_{E4C03257-7491-4C9F-A626-9B134C3A296D}" xr6:coauthVersionLast="36" xr6:coauthVersionMax="36" xr10:uidLastSave="{94320778-D69E-4118-AA27-2D4B0732DA30}"/>
  <bookViews>
    <workbookView xWindow="0" yWindow="0" windowWidth="23040" windowHeight="9060" tabRatio="1000" activeTab="1" xr2:uid="{00000000-000D-0000-FFFF-FFFF00000000}"/>
  </bookViews>
  <sheets>
    <sheet name="Total" sheetId="19" r:id="rId1"/>
    <sheet name="Van Adult" sheetId="10" r:id="rId2"/>
    <sheet name="Tor Adult" sheetId="14" r:id="rId3"/>
    <sheet name="Van Testing " sheetId="8" r:id="rId4"/>
    <sheet name="Tor Testing" sheetId="11" r:id="rId5"/>
    <sheet name="MD-Sales" sheetId="9" r:id="rId6"/>
    <sheet name="Eddy" sheetId="15" r:id="rId7"/>
    <sheet name="Kyoko" sheetId="12" r:id="rId8"/>
    <sheet name="Actuals Van YTD May" sheetId="17" r:id="rId9"/>
    <sheet name="Actuals TOR YTD May" sheetId="18" r:id="rId10"/>
    <sheet name="SYC MnthlyPnL" sheetId="7" r:id="rId11"/>
    <sheet name="SYC Camp Revenue " sheetId="6" r:id="rId12"/>
    <sheet name="SYCamp# &amp; Expenses" sheetId="1" r:id="rId13"/>
  </sheets>
  <definedNames>
    <definedName name="_AMO_UniqueIdentifier" hidden="1">"'a9a3cef6-a1e0-44c2-b7f0-bc5d7917e071'"</definedName>
    <definedName name="TblNm" localSheetId="1">'Van Adult'!$B$7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119" i="1" l="1"/>
  <c r="AK119" i="1"/>
  <c r="I119" i="1"/>
  <c r="L119" i="1"/>
  <c r="M119" i="1"/>
  <c r="N119" i="1"/>
  <c r="O119" i="1"/>
  <c r="P119" i="1"/>
  <c r="S119" i="1"/>
  <c r="T119" i="1"/>
  <c r="U119" i="1"/>
  <c r="V119" i="1"/>
  <c r="W119" i="1"/>
  <c r="Z119" i="1"/>
  <c r="AA119" i="1"/>
  <c r="AB119" i="1"/>
  <c r="AC119" i="1"/>
  <c r="AD119" i="1"/>
  <c r="AG119" i="1"/>
  <c r="AH119" i="1"/>
  <c r="AI119" i="1"/>
  <c r="F119" i="1"/>
  <c r="G119" i="1"/>
  <c r="H119" i="1"/>
  <c r="E119" i="1"/>
  <c r="F45" i="1"/>
  <c r="Q45" i="1"/>
  <c r="R45" i="1"/>
  <c r="V45" i="1"/>
  <c r="Y45" i="1"/>
  <c r="AE45" i="1"/>
  <c r="AG45" i="1"/>
  <c r="E45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AK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E44" i="1"/>
  <c r="F76" i="6"/>
  <c r="D107" i="10"/>
  <c r="E107" i="10"/>
  <c r="F107" i="10"/>
  <c r="G107" i="10"/>
  <c r="H107" i="10"/>
  <c r="I107" i="10"/>
  <c r="J107" i="10"/>
  <c r="K107" i="10"/>
  <c r="L107" i="10"/>
  <c r="M107" i="10"/>
  <c r="N107" i="10"/>
  <c r="C107" i="10"/>
  <c r="D8" i="10"/>
  <c r="E8" i="10"/>
  <c r="F8" i="10"/>
  <c r="G8" i="10"/>
  <c r="J8" i="10"/>
  <c r="K8" i="10"/>
  <c r="L8" i="10"/>
  <c r="M8" i="10"/>
  <c r="N8" i="10"/>
  <c r="C8" i="10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AK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E38" i="6"/>
  <c r="A41" i="6"/>
  <c r="O17" i="8" l="1"/>
  <c r="O18" i="8"/>
  <c r="O19" i="8"/>
  <c r="O8" i="8"/>
  <c r="O9" i="8"/>
  <c r="O10" i="8"/>
  <c r="O11" i="8"/>
  <c r="O12" i="8"/>
  <c r="O13" i="8"/>
  <c r="O14" i="8"/>
  <c r="O15" i="8"/>
  <c r="N103" i="8"/>
  <c r="M103" i="8"/>
  <c r="L103" i="8"/>
  <c r="K103" i="8"/>
  <c r="J103" i="8"/>
  <c r="I103" i="8"/>
  <c r="H103" i="8"/>
  <c r="G103" i="8"/>
  <c r="F103" i="8"/>
  <c r="E103" i="8"/>
  <c r="D103" i="8"/>
  <c r="O103" i="8" s="1"/>
  <c r="C103" i="8"/>
  <c r="N49" i="8"/>
  <c r="I49" i="8"/>
  <c r="F49" i="8"/>
  <c r="F50" i="8" s="1"/>
  <c r="N39" i="8"/>
  <c r="M39" i="8"/>
  <c r="L39" i="8"/>
  <c r="K39" i="8"/>
  <c r="J39" i="8"/>
  <c r="I39" i="8"/>
  <c r="H39" i="8"/>
  <c r="G39" i="8"/>
  <c r="F39" i="8"/>
  <c r="E39" i="8"/>
  <c r="D39" i="8"/>
  <c r="C39" i="8"/>
  <c r="O39" i="8" s="1"/>
  <c r="N28" i="8"/>
  <c r="M28" i="8"/>
  <c r="M49" i="8" s="1"/>
  <c r="L28" i="8"/>
  <c r="L49" i="8" s="1"/>
  <c r="K28" i="8"/>
  <c r="K49" i="8" s="1"/>
  <c r="J28" i="8"/>
  <c r="J49" i="8" s="1"/>
  <c r="I28" i="8"/>
  <c r="H28" i="8"/>
  <c r="H49" i="8" s="1"/>
  <c r="H50" i="8" s="1"/>
  <c r="G28" i="8"/>
  <c r="G49" i="8" s="1"/>
  <c r="F28" i="8"/>
  <c r="E28" i="8"/>
  <c r="E49" i="8" s="1"/>
  <c r="D28" i="8"/>
  <c r="D49" i="8" s="1"/>
  <c r="C28" i="8"/>
  <c r="C49" i="8" s="1"/>
  <c r="N23" i="8"/>
  <c r="K23" i="8"/>
  <c r="I23" i="8"/>
  <c r="H23" i="8"/>
  <c r="F23" i="8"/>
  <c r="C23" i="8"/>
  <c r="N22" i="8"/>
  <c r="N26" i="8" s="1"/>
  <c r="M22" i="8"/>
  <c r="M23" i="8" s="1"/>
  <c r="L22" i="8"/>
  <c r="K22" i="8"/>
  <c r="K26" i="8" s="1"/>
  <c r="J22" i="8"/>
  <c r="I22" i="8"/>
  <c r="I26" i="8" s="1"/>
  <c r="I50" i="8" s="1"/>
  <c r="H22" i="8"/>
  <c r="H26" i="8" s="1"/>
  <c r="G22" i="8"/>
  <c r="G23" i="8" s="1"/>
  <c r="F22" i="8"/>
  <c r="F26" i="8" s="1"/>
  <c r="E22" i="8"/>
  <c r="E23" i="8" s="1"/>
  <c r="D22" i="8"/>
  <c r="C22" i="8"/>
  <c r="C26" i="8" s="1"/>
  <c r="I21" i="8"/>
  <c r="I105" i="8" s="1"/>
  <c r="N20" i="8"/>
  <c r="N21" i="8" s="1"/>
  <c r="I20" i="8"/>
  <c r="G20" i="8"/>
  <c r="G21" i="8" s="1"/>
  <c r="F20" i="8"/>
  <c r="F21" i="8" s="1"/>
  <c r="N16" i="8"/>
  <c r="M16" i="8"/>
  <c r="M20" i="8" s="1"/>
  <c r="M21" i="8" s="1"/>
  <c r="L16" i="8"/>
  <c r="L20" i="8" s="1"/>
  <c r="L21" i="8" s="1"/>
  <c r="K16" i="8"/>
  <c r="K20" i="8" s="1"/>
  <c r="K21" i="8" s="1"/>
  <c r="J16" i="8"/>
  <c r="J20" i="8" s="1"/>
  <c r="J21" i="8" s="1"/>
  <c r="I16" i="8"/>
  <c r="H16" i="8"/>
  <c r="H20" i="8" s="1"/>
  <c r="H21" i="8" s="1"/>
  <c r="G16" i="8"/>
  <c r="F16" i="8"/>
  <c r="E16" i="8"/>
  <c r="E20" i="8" s="1"/>
  <c r="E21" i="8" s="1"/>
  <c r="D16" i="8"/>
  <c r="D20" i="8" s="1"/>
  <c r="D21" i="8" s="1"/>
  <c r="C16" i="8"/>
  <c r="C20" i="8" s="1"/>
  <c r="N7" i="8"/>
  <c r="M7" i="8"/>
  <c r="L7" i="8"/>
  <c r="K7" i="8"/>
  <c r="J7" i="8"/>
  <c r="I7" i="8"/>
  <c r="H7" i="8"/>
  <c r="G7" i="8"/>
  <c r="F7" i="8"/>
  <c r="E7" i="8"/>
  <c r="D7" i="8"/>
  <c r="C7" i="8"/>
  <c r="E105" i="8" l="1"/>
  <c r="J26" i="8"/>
  <c r="J50" i="8" s="1"/>
  <c r="J105" i="8" s="1"/>
  <c r="F105" i="8"/>
  <c r="K50" i="8"/>
  <c r="K105" i="8" s="1"/>
  <c r="E50" i="8"/>
  <c r="O20" i="8"/>
  <c r="C21" i="8"/>
  <c r="N50" i="8"/>
  <c r="C50" i="8"/>
  <c r="O49" i="8"/>
  <c r="H105" i="8"/>
  <c r="N105" i="8"/>
  <c r="G50" i="8"/>
  <c r="G105" i="8" s="1"/>
  <c r="E26" i="8"/>
  <c r="J23" i="8"/>
  <c r="O16" i="8"/>
  <c r="D23" i="8"/>
  <c r="D26" i="8" s="1"/>
  <c r="L23" i="8"/>
  <c r="L26" i="8" s="1"/>
  <c r="L50" i="8" s="1"/>
  <c r="L105" i="8" s="1"/>
  <c r="M26" i="8"/>
  <c r="M50" i="8" s="1"/>
  <c r="M105" i="8" s="1"/>
  <c r="G26" i="8"/>
  <c r="D50" i="8" l="1"/>
  <c r="D105" i="8" s="1"/>
  <c r="O26" i="8"/>
  <c r="O21" i="8"/>
  <c r="C105" i="8"/>
  <c r="O105" i="8" s="1"/>
  <c r="P105" i="8" s="1"/>
  <c r="O50" i="8"/>
  <c r="AK53" i="1" l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AK32" i="1"/>
  <c r="Q33" i="1"/>
  <c r="R33" i="1"/>
  <c r="V33" i="1"/>
  <c r="Y33" i="1"/>
  <c r="AE33" i="1"/>
  <c r="AG33" i="1"/>
  <c r="F33" i="1"/>
  <c r="E33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E32" i="1"/>
  <c r="A13" i="6"/>
  <c r="A61" i="1" l="1"/>
  <c r="E52" i="1"/>
  <c r="C107" i="14"/>
  <c r="O106" i="10"/>
  <c r="P111" i="10"/>
  <c r="P8" i="10"/>
  <c r="O111" i="10"/>
  <c r="E28" i="1"/>
  <c r="E13" i="6" l="1"/>
  <c r="E39" i="6"/>
  <c r="E41" i="6" s="1"/>
  <c r="E59" i="1"/>
  <c r="E61" i="1" s="1"/>
  <c r="F28" i="1"/>
  <c r="F13" i="6" l="1"/>
  <c r="F39" i="6"/>
  <c r="F41" i="6" s="1"/>
  <c r="F59" i="1"/>
  <c r="D23" i="7" l="1"/>
  <c r="E23" i="7"/>
  <c r="F23" i="7"/>
  <c r="G23" i="7"/>
  <c r="H23" i="7"/>
  <c r="K23" i="7"/>
  <c r="L23" i="7"/>
  <c r="M23" i="7"/>
  <c r="N23" i="7"/>
  <c r="C23" i="7"/>
  <c r="O10" i="7"/>
  <c r="O13" i="7"/>
  <c r="O16" i="7"/>
  <c r="O17" i="7"/>
  <c r="O8" i="7"/>
  <c r="O3" i="7"/>
  <c r="O4" i="7"/>
  <c r="O6" i="7"/>
  <c r="O2" i="7"/>
  <c r="O38" i="10"/>
  <c r="O39" i="10"/>
  <c r="O41" i="10"/>
  <c r="C113" i="17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107" i="18" s="1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31" i="18"/>
  <c r="D109" i="18"/>
  <c r="E109" i="18"/>
  <c r="F109" i="18"/>
  <c r="G109" i="18"/>
  <c r="H109" i="18"/>
  <c r="I109" i="18"/>
  <c r="J109" i="18"/>
  <c r="K109" i="18"/>
  <c r="L109" i="18"/>
  <c r="M109" i="18"/>
  <c r="N109" i="18"/>
  <c r="C109" i="18"/>
  <c r="H107" i="18"/>
  <c r="I107" i="18"/>
  <c r="J107" i="18"/>
  <c r="K107" i="18"/>
  <c r="L107" i="18"/>
  <c r="M107" i="18"/>
  <c r="N107" i="18"/>
  <c r="C40" i="17"/>
  <c r="D40" i="17"/>
  <c r="E40" i="17"/>
  <c r="F40" i="17"/>
  <c r="G40" i="17"/>
  <c r="C41" i="17"/>
  <c r="D41" i="17"/>
  <c r="E41" i="17"/>
  <c r="F41" i="17"/>
  <c r="G41" i="17"/>
  <c r="C42" i="17"/>
  <c r="D42" i="17"/>
  <c r="E42" i="17"/>
  <c r="F42" i="17"/>
  <c r="G42" i="17"/>
  <c r="C44" i="17"/>
  <c r="C47" i="17"/>
  <c r="D47" i="17"/>
  <c r="E47" i="17"/>
  <c r="F47" i="17"/>
  <c r="G47" i="17"/>
  <c r="C50" i="17"/>
  <c r="D50" i="17"/>
  <c r="E50" i="17"/>
  <c r="F50" i="17"/>
  <c r="G50" i="17"/>
  <c r="O109" i="18" l="1"/>
  <c r="C85" i="18" l="1"/>
  <c r="D85" i="18"/>
  <c r="E85" i="18"/>
  <c r="F85" i="18"/>
  <c r="G85" i="18"/>
  <c r="D93" i="18"/>
  <c r="E93" i="18"/>
  <c r="F93" i="18"/>
  <c r="G93" i="18"/>
  <c r="C93" i="18"/>
  <c r="C77" i="18" l="1"/>
  <c r="D77" i="18"/>
  <c r="E77" i="18"/>
  <c r="F77" i="18"/>
  <c r="G77" i="18"/>
  <c r="C78" i="18"/>
  <c r="D78" i="18"/>
  <c r="E78" i="18"/>
  <c r="F78" i="18"/>
  <c r="G78" i="18"/>
  <c r="C79" i="18"/>
  <c r="D79" i="18"/>
  <c r="E79" i="18"/>
  <c r="F79" i="18"/>
  <c r="D76" i="18"/>
  <c r="E76" i="18"/>
  <c r="F76" i="18"/>
  <c r="G76" i="18"/>
  <c r="C76" i="18"/>
  <c r="Y68" i="18"/>
  <c r="D50" i="18"/>
  <c r="E50" i="18"/>
  <c r="F50" i="18"/>
  <c r="G50" i="18"/>
  <c r="C50" i="18"/>
  <c r="C49" i="18"/>
  <c r="D90" i="18"/>
  <c r="E90" i="18"/>
  <c r="F90" i="18"/>
  <c r="G90" i="18"/>
  <c r="C90" i="18"/>
  <c r="D69" i="18"/>
  <c r="E69" i="18"/>
  <c r="F69" i="18"/>
  <c r="G69" i="18"/>
  <c r="C69" i="18"/>
  <c r="D52" i="18"/>
  <c r="E52" i="18"/>
  <c r="F52" i="18"/>
  <c r="G52" i="18"/>
  <c r="H52" i="18"/>
  <c r="C52" i="18"/>
  <c r="D100" i="18"/>
  <c r="D9" i="17"/>
  <c r="P111" i="14"/>
  <c r="O107" i="14"/>
  <c r="H107" i="14"/>
  <c r="I107" i="14"/>
  <c r="J107" i="14"/>
  <c r="K107" i="14"/>
  <c r="L107" i="14"/>
  <c r="M107" i="14"/>
  <c r="N107" i="14"/>
  <c r="G107" i="14"/>
  <c r="C109" i="14"/>
  <c r="D25" i="14"/>
  <c r="E25" i="14"/>
  <c r="F25" i="14"/>
  <c r="G25" i="14"/>
  <c r="I25" i="14"/>
  <c r="J25" i="14"/>
  <c r="K25" i="14"/>
  <c r="L25" i="14"/>
  <c r="M25" i="14"/>
  <c r="N25" i="14"/>
  <c r="D24" i="14"/>
  <c r="E24" i="14"/>
  <c r="F24" i="14"/>
  <c r="G24" i="14"/>
  <c r="I24" i="14"/>
  <c r="J24" i="14"/>
  <c r="K24" i="14"/>
  <c r="L24" i="14"/>
  <c r="M24" i="14"/>
  <c r="N24" i="14"/>
  <c r="C24" i="14"/>
  <c r="D8" i="14"/>
  <c r="E8" i="14"/>
  <c r="F8" i="14"/>
  <c r="G8" i="14"/>
  <c r="H8" i="14"/>
  <c r="I8" i="14"/>
  <c r="I31" i="14" s="1"/>
  <c r="J8" i="14"/>
  <c r="J31" i="14" s="1"/>
  <c r="J53" i="14" s="1"/>
  <c r="K8" i="14"/>
  <c r="K31" i="14" s="1"/>
  <c r="K53" i="14" s="1"/>
  <c r="L8" i="14"/>
  <c r="M8" i="14"/>
  <c r="N8" i="14"/>
  <c r="C8" i="14"/>
  <c r="C113" i="14" s="1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55" i="14"/>
  <c r="D54" i="14"/>
  <c r="E54" i="14"/>
  <c r="F54" i="14"/>
  <c r="G54" i="14"/>
  <c r="D53" i="14"/>
  <c r="E53" i="14"/>
  <c r="F53" i="14"/>
  <c r="G53" i="14"/>
  <c r="H53" i="14"/>
  <c r="C53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L31" i="14"/>
  <c r="L53" i="14" s="1"/>
  <c r="M31" i="14"/>
  <c r="M53" i="14" s="1"/>
  <c r="N31" i="14"/>
  <c r="N53" i="14" s="1"/>
  <c r="H31" i="14"/>
  <c r="O4" i="14"/>
  <c r="O5" i="14"/>
  <c r="O6" i="14"/>
  <c r="O7" i="14"/>
  <c r="O8" i="14"/>
  <c r="D113" i="14"/>
  <c r="E113" i="14"/>
  <c r="I40" i="14"/>
  <c r="J40" i="14"/>
  <c r="K40" i="14"/>
  <c r="L40" i="14"/>
  <c r="M40" i="14"/>
  <c r="N40" i="14"/>
  <c r="H40" i="14"/>
  <c r="I22" i="14"/>
  <c r="J22" i="14"/>
  <c r="K22" i="14"/>
  <c r="L22" i="14"/>
  <c r="M22" i="14"/>
  <c r="N22" i="14"/>
  <c r="H22" i="14"/>
  <c r="I21" i="14"/>
  <c r="J21" i="14"/>
  <c r="K21" i="14"/>
  <c r="L21" i="14"/>
  <c r="M21" i="14"/>
  <c r="N21" i="14"/>
  <c r="H21" i="14"/>
  <c r="I18" i="14"/>
  <c r="J18" i="14"/>
  <c r="K18" i="14"/>
  <c r="L18" i="14"/>
  <c r="M18" i="14"/>
  <c r="N18" i="14"/>
  <c r="I19" i="14"/>
  <c r="J19" i="14"/>
  <c r="K19" i="14"/>
  <c r="L19" i="14"/>
  <c r="M19" i="14"/>
  <c r="N19" i="14"/>
  <c r="H19" i="14"/>
  <c r="H18" i="14"/>
  <c r="I15" i="14"/>
  <c r="J15" i="14"/>
  <c r="K15" i="14"/>
  <c r="L15" i="14"/>
  <c r="M15" i="14"/>
  <c r="N15" i="14"/>
  <c r="H15" i="14"/>
  <c r="I14" i="14"/>
  <c r="J14" i="14"/>
  <c r="K14" i="14"/>
  <c r="L14" i="14"/>
  <c r="M14" i="14"/>
  <c r="N14" i="14"/>
  <c r="H14" i="14"/>
  <c r="I13" i="14"/>
  <c r="J13" i="14"/>
  <c r="K13" i="14"/>
  <c r="L13" i="14"/>
  <c r="M13" i="14"/>
  <c r="N13" i="14"/>
  <c r="H13" i="14"/>
  <c r="I12" i="14"/>
  <c r="J12" i="14"/>
  <c r="K12" i="14"/>
  <c r="L12" i="14"/>
  <c r="M12" i="14"/>
  <c r="N12" i="14"/>
  <c r="H12" i="14"/>
  <c r="H3" i="14"/>
  <c r="I3" i="14"/>
  <c r="J3" i="14"/>
  <c r="K3" i="14"/>
  <c r="M3" i="14"/>
  <c r="N3" i="14"/>
  <c r="L3" i="14"/>
  <c r="I5" i="14"/>
  <c r="J5" i="14"/>
  <c r="K5" i="14"/>
  <c r="L5" i="14"/>
  <c r="M5" i="14"/>
  <c r="N5" i="14"/>
  <c r="I4" i="14"/>
  <c r="J4" i="14"/>
  <c r="K4" i="14"/>
  <c r="L4" i="14"/>
  <c r="M4" i="14"/>
  <c r="N4" i="14"/>
  <c r="H5" i="14"/>
  <c r="H4" i="14"/>
  <c r="F113" i="14"/>
  <c r="G113" i="14"/>
  <c r="O31" i="14" l="1"/>
  <c r="O53" i="14" s="1"/>
  <c r="I53" i="14"/>
  <c r="E113" i="10"/>
  <c r="F113" i="10"/>
  <c r="D13" i="10"/>
  <c r="E13" i="10"/>
  <c r="F13" i="10"/>
  <c r="G13" i="10"/>
  <c r="H13" i="10"/>
  <c r="I13" i="10"/>
  <c r="J13" i="10"/>
  <c r="K13" i="10"/>
  <c r="L13" i="10"/>
  <c r="M13" i="10"/>
  <c r="N13" i="10"/>
  <c r="D12" i="10"/>
  <c r="E12" i="10"/>
  <c r="F12" i="10"/>
  <c r="G12" i="10"/>
  <c r="H12" i="10"/>
  <c r="I12" i="10"/>
  <c r="J12" i="10"/>
  <c r="K12" i="10"/>
  <c r="L12" i="10"/>
  <c r="M12" i="10"/>
  <c r="N12" i="10"/>
  <c r="C13" i="10"/>
  <c r="C12" i="10"/>
  <c r="D40" i="10"/>
  <c r="E40" i="10"/>
  <c r="F40" i="10"/>
  <c r="G40" i="10"/>
  <c r="H40" i="10"/>
  <c r="O40" i="10" s="1"/>
  <c r="I40" i="10"/>
  <c r="J40" i="10"/>
  <c r="K40" i="10"/>
  <c r="L40" i="10"/>
  <c r="M40" i="10"/>
  <c r="N40" i="10"/>
  <c r="C40" i="10"/>
  <c r="O56" i="10"/>
  <c r="O57" i="10"/>
  <c r="O58" i="10"/>
  <c r="O59" i="10"/>
  <c r="O60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32" i="10"/>
  <c r="O33" i="10"/>
  <c r="O34" i="10"/>
  <c r="O35" i="10"/>
  <c r="O36" i="10"/>
  <c r="O37" i="10"/>
  <c r="O42" i="10"/>
  <c r="O43" i="10"/>
  <c r="O44" i="10"/>
  <c r="O45" i="10"/>
  <c r="O46" i="10"/>
  <c r="O47" i="10"/>
  <c r="O48" i="10"/>
  <c r="O49" i="10"/>
  <c r="O50" i="10"/>
  <c r="O51" i="10"/>
  <c r="O52" i="10"/>
  <c r="O27" i="10"/>
  <c r="O29" i="10"/>
  <c r="O11" i="10"/>
  <c r="O14" i="10"/>
  <c r="O15" i="10"/>
  <c r="O16" i="10"/>
  <c r="O17" i="10"/>
  <c r="O18" i="10"/>
  <c r="O20" i="10"/>
  <c r="O21" i="10"/>
  <c r="O22" i="10"/>
  <c r="O23" i="10"/>
  <c r="O9" i="10"/>
  <c r="D113" i="10"/>
  <c r="G113" i="10"/>
  <c r="C113" i="10"/>
  <c r="O56" i="12"/>
  <c r="O57" i="12"/>
  <c r="O58" i="12"/>
  <c r="O59" i="12"/>
  <c r="O60" i="12"/>
  <c r="O61" i="12"/>
  <c r="O63" i="12"/>
  <c r="O64" i="12"/>
  <c r="O66" i="12"/>
  <c r="O67" i="12"/>
  <c r="O68" i="12"/>
  <c r="O69" i="12"/>
  <c r="O70" i="12"/>
  <c r="O71" i="12"/>
  <c r="O72" i="12"/>
  <c r="O73" i="12"/>
  <c r="O77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54" i="12"/>
  <c r="D52" i="12"/>
  <c r="E52" i="12"/>
  <c r="F52" i="12"/>
  <c r="G52" i="12"/>
  <c r="H52" i="12"/>
  <c r="I52" i="12"/>
  <c r="J52" i="12"/>
  <c r="K52" i="12"/>
  <c r="M52" i="12"/>
  <c r="N52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6" i="12"/>
  <c r="O47" i="12"/>
  <c r="O48" i="12"/>
  <c r="O49" i="12"/>
  <c r="O50" i="12"/>
  <c r="O51" i="12"/>
  <c r="O30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8" i="12"/>
  <c r="D23" i="12"/>
  <c r="E23" i="12"/>
  <c r="F23" i="12"/>
  <c r="G23" i="12"/>
  <c r="G24" i="12" s="1"/>
  <c r="G29" i="12" s="1"/>
  <c r="H23" i="12"/>
  <c r="I23" i="12"/>
  <c r="I24" i="12" s="1"/>
  <c r="I29" i="12" s="1"/>
  <c r="J23" i="12"/>
  <c r="K23" i="12"/>
  <c r="K24" i="12" s="1"/>
  <c r="K29" i="12" s="1"/>
  <c r="L23" i="12"/>
  <c r="M23" i="12"/>
  <c r="N23" i="12"/>
  <c r="C23" i="12"/>
  <c r="D7" i="12"/>
  <c r="E7" i="12"/>
  <c r="F7" i="12"/>
  <c r="G7" i="12"/>
  <c r="H7" i="12"/>
  <c r="I7" i="12"/>
  <c r="J7" i="12"/>
  <c r="K7" i="12"/>
  <c r="L7" i="12"/>
  <c r="M7" i="12"/>
  <c r="N7" i="12"/>
  <c r="C52" i="12"/>
  <c r="C55" i="12"/>
  <c r="C62" i="12"/>
  <c r="C65" i="12"/>
  <c r="C7" i="12"/>
  <c r="O3" i="12"/>
  <c r="O4" i="12"/>
  <c r="O5" i="12"/>
  <c r="O6" i="12"/>
  <c r="O2" i="12"/>
  <c r="O20" i="11"/>
  <c r="O56" i="15"/>
  <c r="O57" i="15"/>
  <c r="O58" i="15"/>
  <c r="O59" i="15"/>
  <c r="O60" i="15"/>
  <c r="O61" i="15"/>
  <c r="O63" i="15"/>
  <c r="O64" i="15"/>
  <c r="O66" i="15"/>
  <c r="O67" i="15"/>
  <c r="O68" i="15"/>
  <c r="O69" i="15"/>
  <c r="O70" i="15"/>
  <c r="O71" i="15"/>
  <c r="O72" i="15"/>
  <c r="O73" i="15"/>
  <c r="O74" i="15"/>
  <c r="O77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C52" i="15"/>
  <c r="K29" i="15"/>
  <c r="D52" i="15"/>
  <c r="E52" i="15"/>
  <c r="F52" i="15"/>
  <c r="G52" i="15"/>
  <c r="H52" i="15"/>
  <c r="I52" i="15"/>
  <c r="J52" i="15"/>
  <c r="K52" i="15"/>
  <c r="L52" i="15"/>
  <c r="M52" i="15"/>
  <c r="N52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30" i="15"/>
  <c r="D23" i="11"/>
  <c r="E23" i="11"/>
  <c r="F23" i="11"/>
  <c r="G23" i="11"/>
  <c r="H23" i="11"/>
  <c r="I23" i="11"/>
  <c r="J23" i="11"/>
  <c r="K23" i="11"/>
  <c r="L23" i="11"/>
  <c r="M23" i="11"/>
  <c r="N23" i="11"/>
  <c r="C23" i="11"/>
  <c r="O22" i="11"/>
  <c r="O19" i="11"/>
  <c r="O15" i="11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8" i="15"/>
  <c r="O3" i="15"/>
  <c r="O4" i="15"/>
  <c r="O5" i="15"/>
  <c r="O6" i="15"/>
  <c r="O2" i="15"/>
  <c r="O28" i="9"/>
  <c r="O27" i="9"/>
  <c r="O26" i="9"/>
  <c r="O25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3" i="9"/>
  <c r="O4" i="9"/>
  <c r="O5" i="9"/>
  <c r="O6" i="9"/>
  <c r="O9" i="11"/>
  <c r="O10" i="11"/>
  <c r="O11" i="11"/>
  <c r="O12" i="11"/>
  <c r="O13" i="11"/>
  <c r="O14" i="11"/>
  <c r="O16" i="11"/>
  <c r="O17" i="11"/>
  <c r="O18" i="11"/>
  <c r="O21" i="11"/>
  <c r="D7" i="11"/>
  <c r="E7" i="11"/>
  <c r="F7" i="11"/>
  <c r="G7" i="11"/>
  <c r="H7" i="11"/>
  <c r="I7" i="11"/>
  <c r="J7" i="11"/>
  <c r="K7" i="11"/>
  <c r="L7" i="11"/>
  <c r="M7" i="11"/>
  <c r="N7" i="11"/>
  <c r="O104" i="19"/>
  <c r="O103" i="19"/>
  <c r="O102" i="19"/>
  <c r="O101" i="19"/>
  <c r="O100" i="19"/>
  <c r="O99" i="19"/>
  <c r="O98" i="19"/>
  <c r="O97" i="19"/>
  <c r="O96" i="19"/>
  <c r="O95" i="19"/>
  <c r="O94" i="19"/>
  <c r="O93" i="19"/>
  <c r="O92" i="19"/>
  <c r="O91" i="19"/>
  <c r="O90" i="19"/>
  <c r="O89" i="19"/>
  <c r="O88" i="19"/>
  <c r="O87" i="19"/>
  <c r="O86" i="19"/>
  <c r="O85" i="19"/>
  <c r="O84" i="19"/>
  <c r="O83" i="19"/>
  <c r="O82" i="19"/>
  <c r="O81" i="19"/>
  <c r="O80" i="19"/>
  <c r="O79" i="19"/>
  <c r="O78" i="19"/>
  <c r="O77" i="19"/>
  <c r="O76" i="19"/>
  <c r="O75" i="19"/>
  <c r="O74" i="19"/>
  <c r="O73" i="19"/>
  <c r="O72" i="19"/>
  <c r="O71" i="19"/>
  <c r="O70" i="19"/>
  <c r="O69" i="19"/>
  <c r="O68" i="19"/>
  <c r="O67" i="19"/>
  <c r="O66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O64" i="19"/>
  <c r="O63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O61" i="19"/>
  <c r="O60" i="19"/>
  <c r="O59" i="19"/>
  <c r="O58" i="19"/>
  <c r="O57" i="19"/>
  <c r="O56" i="19"/>
  <c r="N55" i="19"/>
  <c r="M55" i="19"/>
  <c r="L55" i="19"/>
  <c r="K55" i="19"/>
  <c r="J55" i="19"/>
  <c r="I55" i="19"/>
  <c r="H55" i="19"/>
  <c r="G55" i="19"/>
  <c r="F55" i="19"/>
  <c r="E55" i="19"/>
  <c r="E105" i="19" s="1"/>
  <c r="D55" i="19"/>
  <c r="C55" i="19"/>
  <c r="C105" i="19" s="1"/>
  <c r="O54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O51" i="19"/>
  <c r="O50" i="19"/>
  <c r="O49" i="19"/>
  <c r="O48" i="19"/>
  <c r="O47" i="19"/>
  <c r="O46" i="19"/>
  <c r="O45" i="19"/>
  <c r="O44" i="19"/>
  <c r="O43" i="19"/>
  <c r="O42" i="19"/>
  <c r="O41" i="19"/>
  <c r="O40" i="19"/>
  <c r="O39" i="19"/>
  <c r="O38" i="19"/>
  <c r="O37" i="19"/>
  <c r="O36" i="19"/>
  <c r="O35" i="19"/>
  <c r="O34" i="19"/>
  <c r="O33" i="19"/>
  <c r="O32" i="19"/>
  <c r="O31" i="19"/>
  <c r="O30" i="19"/>
  <c r="N29" i="19"/>
  <c r="M29" i="19"/>
  <c r="L29" i="19"/>
  <c r="K29" i="19"/>
  <c r="J29" i="19"/>
  <c r="I29" i="19"/>
  <c r="H29" i="19"/>
  <c r="H53" i="19" s="1"/>
  <c r="G29" i="19"/>
  <c r="F29" i="19"/>
  <c r="E29" i="19"/>
  <c r="D29" i="19"/>
  <c r="C29" i="19"/>
  <c r="O28" i="19"/>
  <c r="O27" i="19"/>
  <c r="O26" i="19"/>
  <c r="O25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N7" i="19"/>
  <c r="M7" i="19"/>
  <c r="L7" i="19"/>
  <c r="K7" i="19"/>
  <c r="J7" i="19"/>
  <c r="I7" i="19"/>
  <c r="I24" i="19" s="1"/>
  <c r="H7" i="19"/>
  <c r="G7" i="19"/>
  <c r="F7" i="19"/>
  <c r="F24" i="19" s="1"/>
  <c r="E7" i="19"/>
  <c r="D7" i="19"/>
  <c r="C7" i="19"/>
  <c r="O6" i="19"/>
  <c r="O5" i="19"/>
  <c r="O4" i="19"/>
  <c r="O3" i="19"/>
  <c r="O2" i="19"/>
  <c r="N24" i="12" l="1"/>
  <c r="N29" i="12" s="1"/>
  <c r="F24" i="12"/>
  <c r="F29" i="12" s="1"/>
  <c r="M24" i="12"/>
  <c r="M29" i="12" s="1"/>
  <c r="E24" i="12"/>
  <c r="E29" i="12" s="1"/>
  <c r="L24" i="12"/>
  <c r="L29" i="12" s="1"/>
  <c r="D24" i="12"/>
  <c r="D29" i="12" s="1"/>
  <c r="J24" i="12"/>
  <c r="J29" i="12" s="1"/>
  <c r="H24" i="12"/>
  <c r="H29" i="12" s="1"/>
  <c r="O7" i="12"/>
  <c r="J24" i="19"/>
  <c r="C24" i="19"/>
  <c r="K24" i="19"/>
  <c r="H105" i="19"/>
  <c r="H24" i="19"/>
  <c r="E53" i="19"/>
  <c r="E107" i="19" s="1"/>
  <c r="M53" i="19"/>
  <c r="M105" i="19" s="1"/>
  <c r="M107" i="19" s="1"/>
  <c r="F105" i="19"/>
  <c r="N24" i="19"/>
  <c r="M24" i="19"/>
  <c r="J53" i="19"/>
  <c r="J105" i="19" s="1"/>
  <c r="J107" i="19" s="1"/>
  <c r="O62" i="19"/>
  <c r="O65" i="19"/>
  <c r="C53" i="19"/>
  <c r="C107" i="19" s="1"/>
  <c r="K53" i="19"/>
  <c r="K105" i="19" s="1"/>
  <c r="K107" i="19" s="1"/>
  <c r="D105" i="19"/>
  <c r="E24" i="19"/>
  <c r="I53" i="19"/>
  <c r="I105" i="19" s="1"/>
  <c r="I107" i="19" s="1"/>
  <c r="F53" i="19"/>
  <c r="N53" i="19"/>
  <c r="N105" i="19" s="1"/>
  <c r="D53" i="19"/>
  <c r="L53" i="19"/>
  <c r="L105" i="19" s="1"/>
  <c r="O55" i="19"/>
  <c r="O29" i="19"/>
  <c r="O53" i="19" s="1"/>
  <c r="G53" i="19"/>
  <c r="G105" i="19" s="1"/>
  <c r="O52" i="19"/>
  <c r="O7" i="19"/>
  <c r="G24" i="19"/>
  <c r="G107" i="19" s="1"/>
  <c r="O23" i="19"/>
  <c r="O24" i="19" s="1"/>
  <c r="D24" i="19"/>
  <c r="L24" i="19"/>
  <c r="O23" i="12"/>
  <c r="O24" i="12" s="1"/>
  <c r="O23" i="9"/>
  <c r="O24" i="9" s="1"/>
  <c r="O29" i="9" s="1"/>
  <c r="C24" i="12"/>
  <c r="C29" i="12" s="1"/>
  <c r="C53" i="12" s="1"/>
  <c r="N107" i="19"/>
  <c r="H107" i="19"/>
  <c r="I106" i="14"/>
  <c r="J106" i="14"/>
  <c r="K106" i="14"/>
  <c r="L106" i="14"/>
  <c r="M106" i="14"/>
  <c r="N106" i="14"/>
  <c r="H106" i="14"/>
  <c r="L60" i="7"/>
  <c r="M60" i="7"/>
  <c r="N60" i="7"/>
  <c r="K60" i="7"/>
  <c r="F107" i="19" l="1"/>
  <c r="L107" i="19"/>
  <c r="O105" i="19"/>
  <c r="D107" i="19"/>
  <c r="O107" i="19"/>
  <c r="H7" i="17"/>
  <c r="I7" i="17"/>
  <c r="J7" i="17"/>
  <c r="K7" i="17"/>
  <c r="L7" i="17"/>
  <c r="M7" i="17"/>
  <c r="N7" i="17"/>
  <c r="M10" i="10"/>
  <c r="C61" i="10"/>
  <c r="D61" i="10"/>
  <c r="E61" i="10"/>
  <c r="F61" i="10"/>
  <c r="G61" i="10"/>
  <c r="H92" i="10"/>
  <c r="O92" i="10" s="1"/>
  <c r="D31" i="10"/>
  <c r="E31" i="10"/>
  <c r="F31" i="10"/>
  <c r="G31" i="10"/>
  <c r="C31" i="10"/>
  <c r="H112" i="17"/>
  <c r="O111" i="14"/>
  <c r="O61" i="10" l="1"/>
  <c r="M24" i="10"/>
  <c r="H10" i="10"/>
  <c r="I10" i="10"/>
  <c r="I24" i="10" s="1"/>
  <c r="N10" i="10"/>
  <c r="L10" i="10"/>
  <c r="L24" i="10" s="1"/>
  <c r="J10" i="10"/>
  <c r="J24" i="10" s="1"/>
  <c r="K10" i="10"/>
  <c r="K24" i="10" s="1"/>
  <c r="P28" i="14"/>
  <c r="P29" i="14"/>
  <c r="P27" i="14"/>
  <c r="P26" i="14"/>
  <c r="B119" i="1"/>
  <c r="N24" i="10" l="1"/>
  <c r="O19" i="10"/>
  <c r="O10" i="10"/>
  <c r="H24" i="10"/>
  <c r="P16" i="14"/>
  <c r="H16" i="14" s="1"/>
  <c r="H24" i="14" s="1"/>
  <c r="H25" i="14" s="1"/>
  <c r="P17" i="14"/>
  <c r="H17" i="14" s="1"/>
  <c r="H20" i="14"/>
  <c r="P23" i="14"/>
  <c r="D107" i="14" l="1"/>
  <c r="E107" i="14"/>
  <c r="F107" i="14"/>
  <c r="D30" i="14"/>
  <c r="E30" i="14"/>
  <c r="F30" i="14"/>
  <c r="G30" i="14"/>
  <c r="D106" i="18"/>
  <c r="E106" i="18"/>
  <c r="F106" i="18"/>
  <c r="G106" i="18"/>
  <c r="C106" i="18"/>
  <c r="D105" i="18"/>
  <c r="E105" i="18"/>
  <c r="F105" i="18"/>
  <c r="G105" i="18"/>
  <c r="C105" i="18"/>
  <c r="D101" i="18"/>
  <c r="E101" i="18"/>
  <c r="F101" i="18"/>
  <c r="G101" i="18"/>
  <c r="C101" i="18"/>
  <c r="D99" i="18"/>
  <c r="E99" i="18"/>
  <c r="F99" i="18"/>
  <c r="G99" i="18"/>
  <c r="C99" i="18"/>
  <c r="D87" i="18"/>
  <c r="E87" i="18"/>
  <c r="F87" i="18"/>
  <c r="G87" i="18"/>
  <c r="C87" i="18"/>
  <c r="D75" i="18"/>
  <c r="E75" i="18"/>
  <c r="F75" i="18"/>
  <c r="G75" i="18"/>
  <c r="C75" i="18"/>
  <c r="D73" i="18"/>
  <c r="E73" i="18"/>
  <c r="F73" i="18"/>
  <c r="G73" i="18"/>
  <c r="C73" i="18"/>
  <c r="D72" i="18"/>
  <c r="E72" i="18"/>
  <c r="F72" i="18"/>
  <c r="G72" i="18"/>
  <c r="C72" i="18"/>
  <c r="D71" i="18"/>
  <c r="E71" i="18"/>
  <c r="F71" i="18"/>
  <c r="G71" i="18"/>
  <c r="C71" i="18"/>
  <c r="D74" i="18"/>
  <c r="E74" i="18"/>
  <c r="F74" i="18"/>
  <c r="G74" i="18"/>
  <c r="C74" i="18"/>
  <c r="D61" i="18"/>
  <c r="E61" i="18"/>
  <c r="F61" i="18"/>
  <c r="G61" i="18"/>
  <c r="C61" i="18"/>
  <c r="D58" i="18"/>
  <c r="E58" i="18"/>
  <c r="F58" i="18"/>
  <c r="G58" i="18"/>
  <c r="C58" i="18"/>
  <c r="D44" i="18"/>
  <c r="E44" i="18"/>
  <c r="F44" i="18"/>
  <c r="G44" i="18"/>
  <c r="C44" i="18"/>
  <c r="D43" i="18"/>
  <c r="E43" i="18"/>
  <c r="F43" i="18"/>
  <c r="G43" i="18"/>
  <c r="C43" i="18"/>
  <c r="D42" i="18"/>
  <c r="E42" i="18"/>
  <c r="F42" i="18"/>
  <c r="G42" i="18"/>
  <c r="C42" i="18"/>
  <c r="D41" i="18"/>
  <c r="E41" i="18"/>
  <c r="F41" i="18"/>
  <c r="G41" i="18"/>
  <c r="C41" i="18"/>
  <c r="D40" i="18"/>
  <c r="E40" i="18"/>
  <c r="F40" i="18"/>
  <c r="G40" i="18"/>
  <c r="C40" i="18"/>
  <c r="D33" i="18"/>
  <c r="E33" i="18"/>
  <c r="F33" i="18"/>
  <c r="G33" i="18"/>
  <c r="C33" i="18"/>
  <c r="D31" i="18"/>
  <c r="E31" i="18"/>
  <c r="F31" i="18"/>
  <c r="G31" i="18"/>
  <c r="C31" i="18"/>
  <c r="D29" i="18"/>
  <c r="E29" i="18"/>
  <c r="F29" i="18"/>
  <c r="G29" i="18"/>
  <c r="C29" i="18"/>
  <c r="D28" i="18"/>
  <c r="E28" i="18"/>
  <c r="F28" i="18"/>
  <c r="G28" i="18"/>
  <c r="C28" i="18"/>
  <c r="C27" i="18"/>
  <c r="D27" i="18"/>
  <c r="E27" i="18"/>
  <c r="F27" i="18"/>
  <c r="G27" i="18"/>
  <c r="D26" i="18"/>
  <c r="E26" i="18"/>
  <c r="F26" i="18"/>
  <c r="G26" i="18"/>
  <c r="C26" i="18"/>
  <c r="D23" i="18"/>
  <c r="E23" i="18"/>
  <c r="F23" i="18"/>
  <c r="G23" i="18"/>
  <c r="C23" i="18"/>
  <c r="D20" i="18"/>
  <c r="E20" i="18"/>
  <c r="F20" i="18"/>
  <c r="G20" i="18"/>
  <c r="C20" i="18"/>
  <c r="D21" i="18"/>
  <c r="E21" i="18"/>
  <c r="F21" i="18"/>
  <c r="G21" i="18"/>
  <c r="C21" i="18"/>
  <c r="D18" i="18"/>
  <c r="E18" i="18"/>
  <c r="F18" i="18"/>
  <c r="G18" i="18"/>
  <c r="C18" i="18"/>
  <c r="D17" i="18"/>
  <c r="E17" i="18"/>
  <c r="F17" i="18"/>
  <c r="G17" i="18"/>
  <c r="C17" i="18"/>
  <c r="D14" i="18"/>
  <c r="E14" i="18"/>
  <c r="F14" i="18"/>
  <c r="G14" i="18"/>
  <c r="C14" i="18"/>
  <c r="D13" i="18"/>
  <c r="E13" i="18"/>
  <c r="F13" i="18"/>
  <c r="G13" i="18"/>
  <c r="C13" i="18"/>
  <c r="D12" i="18"/>
  <c r="E12" i="18"/>
  <c r="F12" i="18"/>
  <c r="G12" i="18"/>
  <c r="C12" i="18"/>
  <c r="D11" i="18"/>
  <c r="E11" i="18"/>
  <c r="F11" i="18"/>
  <c r="G11" i="18"/>
  <c r="C11" i="18"/>
  <c r="D9" i="18"/>
  <c r="E9" i="18"/>
  <c r="F9" i="18"/>
  <c r="G9" i="18"/>
  <c r="C9" i="18"/>
  <c r="I7" i="18"/>
  <c r="J7" i="18"/>
  <c r="K7" i="18"/>
  <c r="L7" i="18"/>
  <c r="M7" i="18"/>
  <c r="N7" i="18"/>
  <c r="D6" i="18"/>
  <c r="E6" i="18"/>
  <c r="F6" i="18"/>
  <c r="G6" i="18"/>
  <c r="C6" i="18"/>
  <c r="D4" i="18"/>
  <c r="E4" i="18"/>
  <c r="F4" i="18"/>
  <c r="G4" i="18"/>
  <c r="C4" i="18"/>
  <c r="D3" i="18"/>
  <c r="E3" i="18"/>
  <c r="F3" i="18"/>
  <c r="G3" i="18"/>
  <c r="C3" i="18"/>
  <c r="D2" i="18"/>
  <c r="E2" i="18"/>
  <c r="F2" i="18"/>
  <c r="G2" i="18"/>
  <c r="H2" i="18"/>
  <c r="H7" i="18" s="1"/>
  <c r="C2" i="18"/>
  <c r="O111" i="18"/>
  <c r="N53" i="18"/>
  <c r="M53" i="18"/>
  <c r="L53" i="18"/>
  <c r="K53" i="18"/>
  <c r="J53" i="18"/>
  <c r="I53" i="18"/>
  <c r="H53" i="18"/>
  <c r="N30" i="18"/>
  <c r="M30" i="18"/>
  <c r="L30" i="18"/>
  <c r="K30" i="18"/>
  <c r="J30" i="18"/>
  <c r="I30" i="18"/>
  <c r="H30" i="18"/>
  <c r="N24" i="18"/>
  <c r="M24" i="18"/>
  <c r="L24" i="18"/>
  <c r="K24" i="18"/>
  <c r="J24" i="18"/>
  <c r="I24" i="18"/>
  <c r="H24" i="18"/>
  <c r="O22" i="18"/>
  <c r="O19" i="18"/>
  <c r="O16" i="18"/>
  <c r="O15" i="18"/>
  <c r="O10" i="18"/>
  <c r="O8" i="18"/>
  <c r="K25" i="18"/>
  <c r="D31" i="17"/>
  <c r="E9" i="17"/>
  <c r="F9" i="17"/>
  <c r="G9" i="17"/>
  <c r="C9" i="17"/>
  <c r="D6" i="17"/>
  <c r="E6" i="17"/>
  <c r="F6" i="17"/>
  <c r="G6" i="17"/>
  <c r="C6" i="17"/>
  <c r="D4" i="17"/>
  <c r="E4" i="17"/>
  <c r="F4" i="17"/>
  <c r="G4" i="17"/>
  <c r="C4" i="17"/>
  <c r="D106" i="17"/>
  <c r="E106" i="17"/>
  <c r="F106" i="17"/>
  <c r="G106" i="17"/>
  <c r="C106" i="17"/>
  <c r="D105" i="17"/>
  <c r="E105" i="17"/>
  <c r="F105" i="17"/>
  <c r="G105" i="17"/>
  <c r="C105" i="17"/>
  <c r="D100" i="17"/>
  <c r="E100" i="17"/>
  <c r="F100" i="17"/>
  <c r="G100" i="17"/>
  <c r="C100" i="17"/>
  <c r="D99" i="17"/>
  <c r="E99" i="17"/>
  <c r="F99" i="17"/>
  <c r="G99" i="17"/>
  <c r="C99" i="17"/>
  <c r="D93" i="17"/>
  <c r="E93" i="17"/>
  <c r="F93" i="17"/>
  <c r="G93" i="17"/>
  <c r="C93" i="17"/>
  <c r="D91" i="17"/>
  <c r="E91" i="17"/>
  <c r="F91" i="17"/>
  <c r="G91" i="17"/>
  <c r="C91" i="17"/>
  <c r="D90" i="17"/>
  <c r="E90" i="17"/>
  <c r="F90" i="17"/>
  <c r="G90" i="17"/>
  <c r="C90" i="17"/>
  <c r="D87" i="17"/>
  <c r="E87" i="17"/>
  <c r="F87" i="17"/>
  <c r="G87" i="17"/>
  <c r="C87" i="17"/>
  <c r="D86" i="17"/>
  <c r="E86" i="17"/>
  <c r="F86" i="17"/>
  <c r="G86" i="17"/>
  <c r="C86" i="17"/>
  <c r="D85" i="17"/>
  <c r="E85" i="17"/>
  <c r="F85" i="17"/>
  <c r="G85" i="17"/>
  <c r="C85" i="17"/>
  <c r="D83" i="17"/>
  <c r="E83" i="17"/>
  <c r="F83" i="17"/>
  <c r="G83" i="17"/>
  <c r="C83" i="17"/>
  <c r="D82" i="17"/>
  <c r="E82" i="17"/>
  <c r="F82" i="17"/>
  <c r="G82" i="17"/>
  <c r="C82" i="17"/>
  <c r="D81" i="17"/>
  <c r="E81" i="17"/>
  <c r="F81" i="17"/>
  <c r="G81" i="17"/>
  <c r="C81" i="17"/>
  <c r="D78" i="17"/>
  <c r="E78" i="17"/>
  <c r="F78" i="17"/>
  <c r="G78" i="17"/>
  <c r="C78" i="17"/>
  <c r="D77" i="17"/>
  <c r="E77" i="17"/>
  <c r="F77" i="17"/>
  <c r="G77" i="17"/>
  <c r="C77" i="17"/>
  <c r="D76" i="17"/>
  <c r="E76" i="17"/>
  <c r="F76" i="17"/>
  <c r="G76" i="17"/>
  <c r="C76" i="17"/>
  <c r="D75" i="17"/>
  <c r="E75" i="17"/>
  <c r="F75" i="17"/>
  <c r="G75" i="17"/>
  <c r="C75" i="17"/>
  <c r="D74" i="17"/>
  <c r="E74" i="17"/>
  <c r="F74" i="17"/>
  <c r="G74" i="17"/>
  <c r="C74" i="17"/>
  <c r="D72" i="17"/>
  <c r="E72" i="17"/>
  <c r="F72" i="17"/>
  <c r="G72" i="17"/>
  <c r="C72" i="17"/>
  <c r="D71" i="17"/>
  <c r="E71" i="17"/>
  <c r="F71" i="17"/>
  <c r="G71" i="17"/>
  <c r="C71" i="17"/>
  <c r="D67" i="17"/>
  <c r="E67" i="17"/>
  <c r="F67" i="17"/>
  <c r="G67" i="17"/>
  <c r="C67" i="17"/>
  <c r="D62" i="17"/>
  <c r="E62" i="17"/>
  <c r="F62" i="17"/>
  <c r="G62" i="17"/>
  <c r="C62" i="17"/>
  <c r="D61" i="17"/>
  <c r="E61" i="17"/>
  <c r="F61" i="17"/>
  <c r="G61" i="17"/>
  <c r="C61" i="17"/>
  <c r="D58" i="17"/>
  <c r="E58" i="17"/>
  <c r="F58" i="17"/>
  <c r="G58" i="17"/>
  <c r="C58" i="17"/>
  <c r="D52" i="17"/>
  <c r="E52" i="17"/>
  <c r="F52" i="17"/>
  <c r="G52" i="17"/>
  <c r="C52" i="17"/>
  <c r="D34" i="17"/>
  <c r="E34" i="17"/>
  <c r="F34" i="17"/>
  <c r="G34" i="17"/>
  <c r="C34" i="17"/>
  <c r="D33" i="17"/>
  <c r="E33" i="17"/>
  <c r="F33" i="17"/>
  <c r="G33" i="17"/>
  <c r="C33" i="17"/>
  <c r="E31" i="17"/>
  <c r="F31" i="17"/>
  <c r="G31" i="17"/>
  <c r="C31" i="17"/>
  <c r="D32" i="17"/>
  <c r="E32" i="17"/>
  <c r="F32" i="17"/>
  <c r="G32" i="17"/>
  <c r="C32" i="17"/>
  <c r="AB59" i="17"/>
  <c r="Y59" i="17"/>
  <c r="Z59" i="17"/>
  <c r="AA59" i="17"/>
  <c r="X59" i="17"/>
  <c r="D26" i="17"/>
  <c r="E26" i="17"/>
  <c r="F26" i="17"/>
  <c r="G26" i="17"/>
  <c r="C26" i="17"/>
  <c r="G29" i="17"/>
  <c r="D29" i="17"/>
  <c r="E29" i="17"/>
  <c r="F29" i="17"/>
  <c r="C29" i="17"/>
  <c r="D28" i="17"/>
  <c r="E28" i="17"/>
  <c r="F28" i="17"/>
  <c r="G28" i="17"/>
  <c r="C28" i="17"/>
  <c r="D27" i="17"/>
  <c r="E27" i="17"/>
  <c r="F27" i="17"/>
  <c r="G27" i="17"/>
  <c r="C27" i="17"/>
  <c r="C18" i="17"/>
  <c r="E30" i="17" l="1"/>
  <c r="G30" i="17"/>
  <c r="P24" i="14"/>
  <c r="J25" i="18"/>
  <c r="F7" i="18"/>
  <c r="F107" i="18"/>
  <c r="G107" i="18"/>
  <c r="S107" i="18" s="1"/>
  <c r="E107" i="18"/>
  <c r="O6" i="18"/>
  <c r="D107" i="18"/>
  <c r="F30" i="17"/>
  <c r="D30" i="17"/>
  <c r="K54" i="18"/>
  <c r="E7" i="18"/>
  <c r="D7" i="18"/>
  <c r="C30" i="18"/>
  <c r="C7" i="18"/>
  <c r="L54" i="18"/>
  <c r="G7" i="18"/>
  <c r="O29" i="18"/>
  <c r="O21" i="18"/>
  <c r="O18" i="18"/>
  <c r="F24" i="18"/>
  <c r="O12" i="18"/>
  <c r="E24" i="18"/>
  <c r="E25" i="18" s="1"/>
  <c r="D24" i="18"/>
  <c r="D25" i="18" s="1"/>
  <c r="J54" i="18"/>
  <c r="H25" i="18"/>
  <c r="L25" i="18"/>
  <c r="M25" i="18"/>
  <c r="O3" i="18"/>
  <c r="N25" i="18"/>
  <c r="M54" i="18"/>
  <c r="N54" i="18"/>
  <c r="I25" i="18"/>
  <c r="H54" i="18"/>
  <c r="I54" i="18"/>
  <c r="O4" i="18"/>
  <c r="D30" i="18"/>
  <c r="O17" i="18"/>
  <c r="E30" i="18"/>
  <c r="O28" i="18"/>
  <c r="O5" i="18"/>
  <c r="O11" i="18"/>
  <c r="O14" i="18"/>
  <c r="F30" i="18"/>
  <c r="C53" i="18"/>
  <c r="G24" i="18"/>
  <c r="G25" i="18" s="1"/>
  <c r="O27" i="18"/>
  <c r="O20" i="18"/>
  <c r="G30" i="18"/>
  <c r="D53" i="18"/>
  <c r="F53" i="18"/>
  <c r="O9" i="18"/>
  <c r="E53" i="18"/>
  <c r="O13" i="18"/>
  <c r="O2" i="18"/>
  <c r="O26" i="18"/>
  <c r="C107" i="18"/>
  <c r="C24" i="18"/>
  <c r="G53" i="18"/>
  <c r="D21" i="17"/>
  <c r="E21" i="17"/>
  <c r="F21" i="17"/>
  <c r="G21" i="17"/>
  <c r="C21" i="17"/>
  <c r="D20" i="17"/>
  <c r="E20" i="17"/>
  <c r="F20" i="17"/>
  <c r="G20" i="17"/>
  <c r="C20" i="17"/>
  <c r="D18" i="17"/>
  <c r="E18" i="17"/>
  <c r="F18" i="17"/>
  <c r="G18" i="17"/>
  <c r="D17" i="17"/>
  <c r="E17" i="17"/>
  <c r="F17" i="17"/>
  <c r="G17" i="17"/>
  <c r="C17" i="17"/>
  <c r="D14" i="17"/>
  <c r="E14" i="17"/>
  <c r="F14" i="17"/>
  <c r="G14" i="17"/>
  <c r="C14" i="17"/>
  <c r="D13" i="17"/>
  <c r="E13" i="17"/>
  <c r="F13" i="17"/>
  <c r="G13" i="17"/>
  <c r="C13" i="17"/>
  <c r="D12" i="17"/>
  <c r="E12" i="17"/>
  <c r="F12" i="17"/>
  <c r="G12" i="17"/>
  <c r="C12" i="17"/>
  <c r="D11" i="17"/>
  <c r="E11" i="17"/>
  <c r="F11" i="17"/>
  <c r="F24" i="17" s="1"/>
  <c r="G11" i="17"/>
  <c r="C11" i="17"/>
  <c r="D3" i="17"/>
  <c r="E3" i="17"/>
  <c r="F3" i="17"/>
  <c r="G3" i="17"/>
  <c r="C3" i="17"/>
  <c r="D2" i="17"/>
  <c r="E2" i="17"/>
  <c r="F2" i="17"/>
  <c r="G2" i="17"/>
  <c r="C2" i="17"/>
  <c r="D24" i="17" l="1"/>
  <c r="E24" i="17"/>
  <c r="C24" i="17"/>
  <c r="F25" i="18"/>
  <c r="O7" i="18"/>
  <c r="G24" i="17"/>
  <c r="C25" i="18"/>
  <c r="C54" i="18"/>
  <c r="O24" i="18"/>
  <c r="O25" i="18" s="1"/>
  <c r="D54" i="18"/>
  <c r="O30" i="18"/>
  <c r="E54" i="18"/>
  <c r="G54" i="18"/>
  <c r="Y90" i="18" s="1"/>
  <c r="F54" i="18"/>
  <c r="X90" i="18" s="1"/>
  <c r="D5" i="17"/>
  <c r="D7" i="17" s="1"/>
  <c r="E5" i="17"/>
  <c r="E7" i="17" s="1"/>
  <c r="F5" i="17"/>
  <c r="F7" i="17" s="1"/>
  <c r="G5" i="17"/>
  <c r="G7" i="17" s="1"/>
  <c r="C5" i="17"/>
  <c r="C30" i="17"/>
  <c r="O9" i="17" l="1"/>
  <c r="O2" i="17"/>
  <c r="O3" i="17"/>
  <c r="O4" i="17"/>
  <c r="O5" i="17"/>
  <c r="O6" i="17"/>
  <c r="O8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I24" i="17"/>
  <c r="I25" i="17" s="1"/>
  <c r="J24" i="17"/>
  <c r="K24" i="17"/>
  <c r="L24" i="17"/>
  <c r="M24" i="17"/>
  <c r="N24" i="17"/>
  <c r="N25" i="17"/>
  <c r="O26" i="17"/>
  <c r="O27" i="17"/>
  <c r="O28" i="17"/>
  <c r="O29" i="17"/>
  <c r="I30" i="17"/>
  <c r="J30" i="17"/>
  <c r="K30" i="17"/>
  <c r="L30" i="17"/>
  <c r="M30" i="17"/>
  <c r="N30" i="17"/>
  <c r="O31" i="17"/>
  <c r="O32" i="17"/>
  <c r="O33" i="17"/>
  <c r="O34" i="17"/>
  <c r="O35" i="17"/>
  <c r="O36" i="17"/>
  <c r="O37" i="17"/>
  <c r="O38" i="17"/>
  <c r="O39" i="17"/>
  <c r="O41" i="17"/>
  <c r="O43" i="17"/>
  <c r="O44" i="17"/>
  <c r="O45" i="17"/>
  <c r="O46" i="17"/>
  <c r="O47" i="17"/>
  <c r="O48" i="17"/>
  <c r="O49" i="17"/>
  <c r="O50" i="17"/>
  <c r="O51" i="17"/>
  <c r="O52" i="17"/>
  <c r="I53" i="17"/>
  <c r="J53" i="17"/>
  <c r="J54" i="17" s="1"/>
  <c r="J107" i="17" s="1"/>
  <c r="K53" i="17"/>
  <c r="L53" i="17"/>
  <c r="M53" i="17"/>
  <c r="N53" i="17"/>
  <c r="O55" i="17"/>
  <c r="O57" i="17"/>
  <c r="O58" i="17"/>
  <c r="O59" i="17"/>
  <c r="O60" i="17"/>
  <c r="O61" i="17"/>
  <c r="O62" i="17"/>
  <c r="O64" i="17"/>
  <c r="O65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11" i="17"/>
  <c r="D56" i="17"/>
  <c r="D107" i="17" s="1"/>
  <c r="C56" i="17"/>
  <c r="C107" i="17" s="1"/>
  <c r="G56" i="17"/>
  <c r="G107" i="17" s="1"/>
  <c r="F56" i="17"/>
  <c r="F107" i="17" s="1"/>
  <c r="E56" i="17"/>
  <c r="E107" i="17" s="1"/>
  <c r="H53" i="17"/>
  <c r="H30" i="17"/>
  <c r="H24" i="17"/>
  <c r="C7" i="17"/>
  <c r="C25" i="17" s="1"/>
  <c r="O42" i="17" l="1"/>
  <c r="F53" i="17"/>
  <c r="F54" i="17" s="1"/>
  <c r="K54" i="17"/>
  <c r="K107" i="17" s="1"/>
  <c r="E53" i="17"/>
  <c r="E54" i="17" s="1"/>
  <c r="D53" i="17"/>
  <c r="D54" i="17" s="1"/>
  <c r="O30" i="17"/>
  <c r="J25" i="17"/>
  <c r="J109" i="17" s="1"/>
  <c r="N54" i="17"/>
  <c r="N107" i="17" s="1"/>
  <c r="N109" i="17" s="1"/>
  <c r="H54" i="17"/>
  <c r="H107" i="17" s="1"/>
  <c r="M54" i="17"/>
  <c r="M107" i="17" s="1"/>
  <c r="L25" i="17"/>
  <c r="M25" i="17"/>
  <c r="L54" i="17"/>
  <c r="L107" i="17" s="1"/>
  <c r="L109" i="17" s="1"/>
  <c r="O40" i="17"/>
  <c r="K25" i="17"/>
  <c r="K109" i="17" s="1"/>
  <c r="C53" i="17"/>
  <c r="C54" i="17" s="1"/>
  <c r="G53" i="17"/>
  <c r="F25" i="17"/>
  <c r="G25" i="17"/>
  <c r="O24" i="17"/>
  <c r="O7" i="17"/>
  <c r="D25" i="17"/>
  <c r="E25" i="17"/>
  <c r="O56" i="17"/>
  <c r="O63" i="17"/>
  <c r="I54" i="17"/>
  <c r="I107" i="17" s="1"/>
  <c r="I109" i="17" s="1"/>
  <c r="O13" i="10"/>
  <c r="G24" i="10"/>
  <c r="G25" i="10" s="1"/>
  <c r="O12" i="10"/>
  <c r="D24" i="10"/>
  <c r="D25" i="10" s="1"/>
  <c r="E24" i="10"/>
  <c r="E25" i="10" s="1"/>
  <c r="F24" i="10"/>
  <c r="F25" i="10" s="1"/>
  <c r="H61" i="9"/>
  <c r="C60" i="9" s="1"/>
  <c r="H58" i="14"/>
  <c r="I58" i="14"/>
  <c r="J58" i="14"/>
  <c r="K58" i="14"/>
  <c r="L58" i="14"/>
  <c r="M58" i="14"/>
  <c r="N58" i="14"/>
  <c r="D109" i="17" l="1"/>
  <c r="D113" i="17"/>
  <c r="D115" i="17" s="1"/>
  <c r="E109" i="17"/>
  <c r="E113" i="17"/>
  <c r="E115" i="17" s="1"/>
  <c r="C109" i="17"/>
  <c r="C115" i="17"/>
  <c r="F109" i="17"/>
  <c r="F113" i="17"/>
  <c r="F115" i="17" s="1"/>
  <c r="O53" i="17"/>
  <c r="O54" i="17" s="1"/>
  <c r="M109" i="17"/>
  <c r="G54" i="17"/>
  <c r="O25" i="17"/>
  <c r="O66" i="17"/>
  <c r="O107" i="17"/>
  <c r="G109" i="17" l="1"/>
  <c r="G113" i="17"/>
  <c r="G115" i="17" s="1"/>
  <c r="O109" i="17"/>
  <c r="D52" i="11"/>
  <c r="E52" i="11"/>
  <c r="F52" i="11"/>
  <c r="G52" i="11"/>
  <c r="H52" i="11"/>
  <c r="I52" i="11"/>
  <c r="J52" i="11"/>
  <c r="K52" i="11"/>
  <c r="L52" i="11"/>
  <c r="M52" i="11"/>
  <c r="N52" i="11"/>
  <c r="C52" i="11"/>
  <c r="D29" i="11"/>
  <c r="E29" i="11"/>
  <c r="F29" i="11"/>
  <c r="I29" i="11"/>
  <c r="K29" i="11"/>
  <c r="L29" i="11"/>
  <c r="M29" i="11"/>
  <c r="C29" i="11"/>
  <c r="C7" i="11"/>
  <c r="H64" i="9"/>
  <c r="I64" i="9"/>
  <c r="J64" i="9"/>
  <c r="K64" i="9"/>
  <c r="L64" i="9"/>
  <c r="M64" i="9"/>
  <c r="N64" i="9"/>
  <c r="L79" i="12"/>
  <c r="O79" i="12" s="1"/>
  <c r="L45" i="12"/>
  <c r="L76" i="12"/>
  <c r="O76" i="12" s="1"/>
  <c r="L78" i="12"/>
  <c r="O78" i="12" s="1"/>
  <c r="L75" i="12"/>
  <c r="O75" i="12" s="1"/>
  <c r="H60" i="7"/>
  <c r="D60" i="7"/>
  <c r="E60" i="7"/>
  <c r="F60" i="7"/>
  <c r="G60" i="7"/>
  <c r="C60" i="7"/>
  <c r="D26" i="10"/>
  <c r="E26" i="10"/>
  <c r="F26" i="10"/>
  <c r="C26" i="10"/>
  <c r="O23" i="14"/>
  <c r="O22" i="14"/>
  <c r="O21" i="14"/>
  <c r="O20" i="14"/>
  <c r="O19" i="14"/>
  <c r="O18" i="14"/>
  <c r="O17" i="14"/>
  <c r="O16" i="14"/>
  <c r="O24" i="14" s="1"/>
  <c r="O25" i="14" s="1"/>
  <c r="O15" i="14"/>
  <c r="O14" i="14"/>
  <c r="F109" i="14"/>
  <c r="E109" i="14"/>
  <c r="D109" i="14"/>
  <c r="O11" i="14"/>
  <c r="O10" i="14"/>
  <c r="O9" i="14"/>
  <c r="F28" i="10" l="1"/>
  <c r="F30" i="10"/>
  <c r="E28" i="10"/>
  <c r="E30" i="10" s="1"/>
  <c r="D28" i="10"/>
  <c r="D30" i="10"/>
  <c r="O45" i="12"/>
  <c r="L52" i="12"/>
  <c r="O3" i="14"/>
  <c r="M113" i="14"/>
  <c r="K53" i="11"/>
  <c r="I53" i="11"/>
  <c r="F53" i="11"/>
  <c r="M53" i="11"/>
  <c r="E53" i="11"/>
  <c r="L53" i="11"/>
  <c r="D53" i="11"/>
  <c r="G109" i="14"/>
  <c r="O13" i="14"/>
  <c r="N113" i="14"/>
  <c r="C25" i="14"/>
  <c r="J113" i="14" l="1"/>
  <c r="L113" i="14"/>
  <c r="K113" i="14"/>
  <c r="I113" i="14"/>
  <c r="N26" i="14"/>
  <c r="M26" i="14"/>
  <c r="L26" i="14"/>
  <c r="F114" i="14"/>
  <c r="G114" i="14"/>
  <c r="D114" i="14"/>
  <c r="E114" i="14"/>
  <c r="J26" i="14" l="1"/>
  <c r="J29" i="14" s="1"/>
  <c r="K26" i="14"/>
  <c r="K29" i="14" s="1"/>
  <c r="I26" i="14"/>
  <c r="I27" i="14" s="1"/>
  <c r="L29" i="14"/>
  <c r="L28" i="14"/>
  <c r="L27" i="14"/>
  <c r="M29" i="14"/>
  <c r="M28" i="14"/>
  <c r="M27" i="14"/>
  <c r="N29" i="14"/>
  <c r="N28" i="14"/>
  <c r="N27" i="14"/>
  <c r="L30" i="14" l="1"/>
  <c r="J27" i="14"/>
  <c r="J30" i="14" s="1"/>
  <c r="J28" i="14"/>
  <c r="K27" i="14"/>
  <c r="K28" i="14"/>
  <c r="M30" i="14"/>
  <c r="K30" i="14"/>
  <c r="I28" i="14"/>
  <c r="I29" i="14"/>
  <c r="N30" i="14"/>
  <c r="M79" i="15"/>
  <c r="M78" i="15"/>
  <c r="M76" i="15"/>
  <c r="M75" i="15"/>
  <c r="F79" i="15"/>
  <c r="J79" i="15"/>
  <c r="L79" i="15"/>
  <c r="K79" i="15"/>
  <c r="E79" i="15"/>
  <c r="F78" i="15"/>
  <c r="F76" i="15"/>
  <c r="F75" i="15"/>
  <c r="E78" i="15"/>
  <c r="E76" i="15"/>
  <c r="O76" i="15" s="1"/>
  <c r="E75" i="15"/>
  <c r="O75" i="15" s="1"/>
  <c r="L78" i="15"/>
  <c r="L76" i="15"/>
  <c r="L75" i="15"/>
  <c r="K78" i="15"/>
  <c r="K75" i="15"/>
  <c r="J75" i="15"/>
  <c r="K76" i="15"/>
  <c r="J78" i="15"/>
  <c r="J76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O54" i="15"/>
  <c r="N29" i="15"/>
  <c r="N53" i="15" s="1"/>
  <c r="M29" i="15"/>
  <c r="L29" i="15"/>
  <c r="J29" i="15"/>
  <c r="I29" i="15"/>
  <c r="H29" i="15"/>
  <c r="G29" i="15"/>
  <c r="F29" i="15"/>
  <c r="F53" i="15" s="1"/>
  <c r="E29" i="15"/>
  <c r="E53" i="15" s="1"/>
  <c r="D29" i="15"/>
  <c r="C29" i="15"/>
  <c r="C53" i="15" s="1"/>
  <c r="O28" i="15"/>
  <c r="O27" i="15"/>
  <c r="O26" i="15"/>
  <c r="O25" i="15"/>
  <c r="O29" i="15" s="1"/>
  <c r="N23" i="15"/>
  <c r="M23" i="15"/>
  <c r="L23" i="15"/>
  <c r="K23" i="15"/>
  <c r="J23" i="15"/>
  <c r="I23" i="15"/>
  <c r="H23" i="15"/>
  <c r="G23" i="15"/>
  <c r="F23" i="15"/>
  <c r="E23" i="15"/>
  <c r="D23" i="15"/>
  <c r="C23" i="15"/>
  <c r="N7" i="15"/>
  <c r="M7" i="15"/>
  <c r="L7" i="15"/>
  <c r="K7" i="15"/>
  <c r="J7" i="15"/>
  <c r="I7" i="15"/>
  <c r="H7" i="15"/>
  <c r="G7" i="15"/>
  <c r="F7" i="15"/>
  <c r="E7" i="15"/>
  <c r="D7" i="15"/>
  <c r="C7" i="15"/>
  <c r="M54" i="14" l="1"/>
  <c r="K54" i="14"/>
  <c r="N54" i="14"/>
  <c r="N114" i="14" s="1"/>
  <c r="J54" i="14"/>
  <c r="L54" i="14"/>
  <c r="I30" i="14"/>
  <c r="O65" i="15"/>
  <c r="O78" i="15"/>
  <c r="O55" i="15"/>
  <c r="O79" i="15"/>
  <c r="O62" i="15"/>
  <c r="K53" i="15"/>
  <c r="K106" i="15" s="1"/>
  <c r="D106" i="15"/>
  <c r="F24" i="15"/>
  <c r="N24" i="15"/>
  <c r="N108" i="15" s="1"/>
  <c r="I24" i="15"/>
  <c r="I108" i="15" s="1"/>
  <c r="C106" i="15"/>
  <c r="G24" i="15"/>
  <c r="G108" i="15" s="1"/>
  <c r="D24" i="15"/>
  <c r="D108" i="15" s="1"/>
  <c r="O23" i="15"/>
  <c r="L24" i="15"/>
  <c r="I53" i="15"/>
  <c r="I106" i="15" s="1"/>
  <c r="O7" i="15"/>
  <c r="H24" i="15"/>
  <c r="E24" i="15"/>
  <c r="E108" i="15" s="1"/>
  <c r="M24" i="15"/>
  <c r="M108" i="15" s="1"/>
  <c r="J24" i="15"/>
  <c r="J108" i="15" s="1"/>
  <c r="J53" i="15"/>
  <c r="J106" i="15" s="1"/>
  <c r="M53" i="15"/>
  <c r="M106" i="15" s="1"/>
  <c r="N106" i="15"/>
  <c r="D53" i="15"/>
  <c r="L53" i="15"/>
  <c r="L106" i="15" s="1"/>
  <c r="C24" i="15"/>
  <c r="C108" i="15" s="1"/>
  <c r="K24" i="15"/>
  <c r="K108" i="15" s="1"/>
  <c r="E106" i="15"/>
  <c r="F106" i="15"/>
  <c r="G53" i="15"/>
  <c r="G106" i="15" s="1"/>
  <c r="O52" i="15"/>
  <c r="O53" i="15" s="1"/>
  <c r="H53" i="15"/>
  <c r="H106" i="15" s="1"/>
  <c r="K109" i="14" l="1"/>
  <c r="J109" i="14"/>
  <c r="K114" i="14"/>
  <c r="J114" i="14"/>
  <c r="I54" i="14"/>
  <c r="M109" i="14"/>
  <c r="N109" i="14"/>
  <c r="L109" i="14"/>
  <c r="L114" i="14"/>
  <c r="M114" i="14"/>
  <c r="F108" i="15"/>
  <c r="H108" i="15"/>
  <c r="L108" i="15"/>
  <c r="O24" i="15"/>
  <c r="O106" i="15"/>
  <c r="E16" i="1"/>
  <c r="D11" i="6"/>
  <c r="F16" i="1" l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E11" i="6"/>
  <c r="E53" i="1"/>
  <c r="I109" i="14"/>
  <c r="I114" i="14"/>
  <c r="O108" i="15"/>
  <c r="K19" i="6" l="1"/>
  <c r="K25" i="6"/>
  <c r="L80" i="12"/>
  <c r="O80" i="12" s="1"/>
  <c r="L74" i="12"/>
  <c r="O74" i="12" s="1"/>
  <c r="M65" i="12"/>
  <c r="L65" i="12"/>
  <c r="K65" i="12"/>
  <c r="E65" i="12"/>
  <c r="D65" i="12"/>
  <c r="N65" i="12"/>
  <c r="J65" i="12"/>
  <c r="I65" i="12"/>
  <c r="H65" i="12"/>
  <c r="G65" i="12"/>
  <c r="F65" i="12"/>
  <c r="N62" i="12"/>
  <c r="H62" i="12"/>
  <c r="G62" i="12"/>
  <c r="F62" i="12"/>
  <c r="M62" i="12"/>
  <c r="L62" i="12"/>
  <c r="K62" i="12"/>
  <c r="J62" i="12"/>
  <c r="I62" i="12"/>
  <c r="E62" i="12"/>
  <c r="D62" i="12"/>
  <c r="N55" i="12"/>
  <c r="M55" i="12"/>
  <c r="M106" i="12" s="1"/>
  <c r="G55" i="12"/>
  <c r="F55" i="12"/>
  <c r="E55" i="12"/>
  <c r="L55" i="12"/>
  <c r="L106" i="12" s="1"/>
  <c r="K55" i="12"/>
  <c r="J55" i="12"/>
  <c r="I55" i="12"/>
  <c r="H55" i="12"/>
  <c r="O28" i="12"/>
  <c r="O27" i="12"/>
  <c r="O26" i="12"/>
  <c r="O25" i="12"/>
  <c r="O29" i="12" s="1"/>
  <c r="J106" i="12" l="1"/>
  <c r="O62" i="12"/>
  <c r="K106" i="12"/>
  <c r="O65" i="12"/>
  <c r="E106" i="12"/>
  <c r="E108" i="12" s="1"/>
  <c r="F106" i="12"/>
  <c r="G106" i="12"/>
  <c r="H106" i="12"/>
  <c r="H108" i="12" s="1"/>
  <c r="I106" i="12"/>
  <c r="N106" i="12"/>
  <c r="H53" i="12"/>
  <c r="F53" i="12"/>
  <c r="N53" i="12"/>
  <c r="I53" i="12"/>
  <c r="G53" i="12"/>
  <c r="M53" i="12"/>
  <c r="J53" i="12"/>
  <c r="O52" i="12"/>
  <c r="K53" i="12"/>
  <c r="J108" i="12"/>
  <c r="D53" i="12"/>
  <c r="L53" i="12"/>
  <c r="L108" i="12" s="1"/>
  <c r="E53" i="12"/>
  <c r="D55" i="12"/>
  <c r="D106" i="12" l="1"/>
  <c r="D108" i="12" s="1"/>
  <c r="O55" i="12"/>
  <c r="N108" i="12"/>
  <c r="I108" i="12"/>
  <c r="K108" i="12"/>
  <c r="F108" i="12"/>
  <c r="O53" i="12"/>
  <c r="M108" i="12"/>
  <c r="G108" i="12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C53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8" i="11"/>
  <c r="O27" i="11"/>
  <c r="N26" i="11"/>
  <c r="N29" i="11" s="1"/>
  <c r="N53" i="11" s="1"/>
  <c r="G29" i="11"/>
  <c r="G53" i="11" s="1"/>
  <c r="J25" i="11"/>
  <c r="J29" i="11" s="1"/>
  <c r="J53" i="11" s="1"/>
  <c r="H25" i="11"/>
  <c r="L24" i="11"/>
  <c r="L108" i="11" s="1"/>
  <c r="K24" i="11"/>
  <c r="H24" i="11"/>
  <c r="D24" i="11"/>
  <c r="D108" i="11" s="1"/>
  <c r="C24" i="11"/>
  <c r="O23" i="11"/>
  <c r="O8" i="11"/>
  <c r="N24" i="11"/>
  <c r="M24" i="11"/>
  <c r="M108" i="11" s="1"/>
  <c r="J24" i="11"/>
  <c r="I24" i="11"/>
  <c r="I108" i="11" s="1"/>
  <c r="G24" i="11"/>
  <c r="F24" i="11"/>
  <c r="E24" i="11"/>
  <c r="E108" i="11" s="1"/>
  <c r="O6" i="11"/>
  <c r="O5" i="11"/>
  <c r="O4" i="11"/>
  <c r="O3" i="11"/>
  <c r="O2" i="11"/>
  <c r="J108" i="11" l="1"/>
  <c r="K108" i="11"/>
  <c r="F108" i="11"/>
  <c r="N108" i="11"/>
  <c r="O25" i="11"/>
  <c r="H29" i="11"/>
  <c r="H53" i="11" s="1"/>
  <c r="H108" i="11" s="1"/>
  <c r="O106" i="11"/>
  <c r="G108" i="11"/>
  <c r="C108" i="11"/>
  <c r="O24" i="11"/>
  <c r="O7" i="11"/>
  <c r="O26" i="11"/>
  <c r="O52" i="11"/>
  <c r="O29" i="11" l="1"/>
  <c r="O53" i="11" s="1"/>
  <c r="G53" i="10" l="1"/>
  <c r="E53" i="10"/>
  <c r="D53" i="10"/>
  <c r="C53" i="10"/>
  <c r="C24" i="10"/>
  <c r="C25" i="10" s="1"/>
  <c r="O7" i="10"/>
  <c r="O6" i="10"/>
  <c r="C28" i="10" l="1"/>
  <c r="E54" i="10"/>
  <c r="D54" i="10"/>
  <c r="O55" i="10"/>
  <c r="D109" i="10" l="1"/>
  <c r="D114" i="10"/>
  <c r="E109" i="10"/>
  <c r="E114" i="10"/>
  <c r="C30" i="10"/>
  <c r="C54" i="10" s="1"/>
  <c r="C114" i="10" s="1"/>
  <c r="O24" i="10"/>
  <c r="O25" i="10" s="1"/>
  <c r="C109" i="10" l="1"/>
  <c r="F53" i="10"/>
  <c r="H65" i="9" l="1"/>
  <c r="I65" i="9"/>
  <c r="J65" i="9"/>
  <c r="K65" i="9"/>
  <c r="D65" i="9"/>
  <c r="E65" i="9"/>
  <c r="F65" i="9"/>
  <c r="G65" i="9"/>
  <c r="L65" i="9"/>
  <c r="M65" i="9"/>
  <c r="N65" i="9"/>
  <c r="G62" i="9" l="1"/>
  <c r="I61" i="9"/>
  <c r="J61" i="9"/>
  <c r="K61" i="9"/>
  <c r="L61" i="9"/>
  <c r="M61" i="9"/>
  <c r="M62" i="9" s="1"/>
  <c r="N61" i="9"/>
  <c r="N62" i="9" s="1"/>
  <c r="C62" i="9"/>
  <c r="D62" i="9"/>
  <c r="E62" i="9"/>
  <c r="F62" i="9"/>
  <c r="H62" i="9"/>
  <c r="D54" i="9"/>
  <c r="D55" i="9" s="1"/>
  <c r="E54" i="9"/>
  <c r="E55" i="9" s="1"/>
  <c r="F54" i="9"/>
  <c r="F55" i="9" s="1"/>
  <c r="G54" i="9"/>
  <c r="G55" i="9" s="1"/>
  <c r="H54" i="9"/>
  <c r="H55" i="9" s="1"/>
  <c r="I54" i="9"/>
  <c r="I55" i="9" s="1"/>
  <c r="J54" i="9"/>
  <c r="J55" i="9" s="1"/>
  <c r="K54" i="9"/>
  <c r="K55" i="9" s="1"/>
  <c r="L54" i="9"/>
  <c r="L55" i="9" s="1"/>
  <c r="M54" i="9"/>
  <c r="M55" i="9" s="1"/>
  <c r="N54" i="9"/>
  <c r="N55" i="9" s="1"/>
  <c r="C54" i="9"/>
  <c r="C55" i="9" s="1"/>
  <c r="I52" i="9"/>
  <c r="J52" i="9"/>
  <c r="K52" i="9"/>
  <c r="J7" i="9"/>
  <c r="I7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3" i="9"/>
  <c r="O59" i="9"/>
  <c r="O58" i="9"/>
  <c r="O57" i="9"/>
  <c r="O56" i="9"/>
  <c r="N52" i="9"/>
  <c r="M52" i="9"/>
  <c r="L52" i="9"/>
  <c r="H52" i="9"/>
  <c r="G52" i="9"/>
  <c r="F52" i="9"/>
  <c r="E52" i="9"/>
  <c r="D52" i="9"/>
  <c r="C52" i="9"/>
  <c r="O51" i="9"/>
  <c r="O50" i="9"/>
  <c r="O49" i="9"/>
  <c r="O48" i="9"/>
  <c r="O47" i="9"/>
  <c r="O46" i="9"/>
  <c r="O45" i="9"/>
  <c r="O44" i="9"/>
  <c r="O43" i="9"/>
  <c r="O42" i="9"/>
  <c r="O41" i="9"/>
  <c r="O40" i="9"/>
  <c r="O38" i="9"/>
  <c r="O37" i="9"/>
  <c r="O36" i="9"/>
  <c r="O35" i="9"/>
  <c r="O34" i="9"/>
  <c r="O33" i="9"/>
  <c r="O32" i="9"/>
  <c r="O31" i="9"/>
  <c r="N29" i="9"/>
  <c r="M29" i="9"/>
  <c r="L29" i="9"/>
  <c r="K29" i="9"/>
  <c r="K53" i="9" s="1"/>
  <c r="G29" i="9"/>
  <c r="F29" i="9"/>
  <c r="E29" i="9"/>
  <c r="D29" i="9"/>
  <c r="C29" i="9"/>
  <c r="H29" i="9"/>
  <c r="N23" i="9"/>
  <c r="M23" i="9"/>
  <c r="L23" i="9"/>
  <c r="K23" i="9"/>
  <c r="H23" i="9"/>
  <c r="G23" i="9"/>
  <c r="F23" i="9"/>
  <c r="E23" i="9"/>
  <c r="D23" i="9"/>
  <c r="C23" i="9"/>
  <c r="N7" i="9"/>
  <c r="M7" i="9"/>
  <c r="L7" i="9"/>
  <c r="K7" i="9"/>
  <c r="H7" i="9"/>
  <c r="G7" i="9"/>
  <c r="F7" i="9"/>
  <c r="E7" i="9"/>
  <c r="D7" i="9"/>
  <c r="C7" i="9"/>
  <c r="O2" i="9"/>
  <c r="O7" i="9" s="1"/>
  <c r="C53" i="9" l="1"/>
  <c r="K62" i="9"/>
  <c r="F60" i="9"/>
  <c r="J62" i="9"/>
  <c r="E60" i="9"/>
  <c r="I62" i="9"/>
  <c r="O62" i="9" s="1"/>
  <c r="D60" i="9"/>
  <c r="L62" i="9"/>
  <c r="G60" i="9"/>
  <c r="O52" i="9"/>
  <c r="O53" i="9" s="1"/>
  <c r="E24" i="9"/>
  <c r="M24" i="9"/>
  <c r="D24" i="9"/>
  <c r="F53" i="9"/>
  <c r="L24" i="9"/>
  <c r="G53" i="9"/>
  <c r="G106" i="9" s="1"/>
  <c r="O54" i="9"/>
  <c r="N24" i="9"/>
  <c r="G24" i="9"/>
  <c r="L53" i="9"/>
  <c r="H24" i="9"/>
  <c r="M53" i="9"/>
  <c r="M106" i="9" s="1"/>
  <c r="M108" i="9" s="1"/>
  <c r="F24" i="9"/>
  <c r="K24" i="9"/>
  <c r="H53" i="9"/>
  <c r="H106" i="9" s="1"/>
  <c r="N53" i="9"/>
  <c r="N106" i="9" s="1"/>
  <c r="D53" i="9"/>
  <c r="C24" i="9"/>
  <c r="E53" i="9"/>
  <c r="O55" i="9"/>
  <c r="O61" i="9"/>
  <c r="K106" i="9"/>
  <c r="O64" i="9"/>
  <c r="C106" i="9"/>
  <c r="D106" i="9"/>
  <c r="E106" i="9"/>
  <c r="O60" i="9" l="1"/>
  <c r="L106" i="9"/>
  <c r="L108" i="9" s="1"/>
  <c r="C108" i="9"/>
  <c r="H108" i="9"/>
  <c r="G108" i="9"/>
  <c r="F106" i="9"/>
  <c r="E108" i="9"/>
  <c r="K108" i="9"/>
  <c r="N108" i="9"/>
  <c r="D108" i="9"/>
  <c r="F108" i="9" l="1"/>
  <c r="I60" i="7" l="1"/>
  <c r="J60" i="7"/>
  <c r="BI131" i="1"/>
  <c r="BI132" i="1"/>
  <c r="E132" i="1"/>
  <c r="AJ132" i="1" s="1"/>
  <c r="E131" i="1"/>
  <c r="AJ131" i="1" s="1"/>
  <c r="H115" i="7"/>
  <c r="D115" i="7"/>
  <c r="E115" i="7"/>
  <c r="F115" i="7"/>
  <c r="G115" i="7"/>
  <c r="K115" i="7"/>
  <c r="L115" i="7"/>
  <c r="M115" i="7"/>
  <c r="N115" i="7"/>
  <c r="BJ131" i="1" l="1"/>
  <c r="BJ132" i="1"/>
  <c r="D64" i="7"/>
  <c r="E64" i="7"/>
  <c r="F64" i="7"/>
  <c r="G64" i="7"/>
  <c r="H64" i="7"/>
  <c r="I64" i="7"/>
  <c r="J64" i="7"/>
  <c r="K64" i="7"/>
  <c r="L64" i="7"/>
  <c r="M64" i="7"/>
  <c r="N64" i="7"/>
  <c r="C64" i="7"/>
  <c r="O60" i="7" l="1"/>
  <c r="AK2" i="6"/>
  <c r="Y16" i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20" i="1" l="1"/>
  <c r="BI119" i="1"/>
  <c r="AJ110" i="1"/>
  <c r="AJ111" i="1"/>
  <c r="B130" i="1"/>
  <c r="AK130" i="1" s="1"/>
  <c r="BI130" i="1" s="1"/>
  <c r="AK129" i="1"/>
  <c r="AK135" i="1" s="1"/>
  <c r="BI128" i="1"/>
  <c r="AL129" i="1"/>
  <c r="AL135" i="1" s="1"/>
  <c r="AM129" i="1"/>
  <c r="AM135" i="1" s="1"/>
  <c r="AN129" i="1"/>
  <c r="AN135" i="1" s="1"/>
  <c r="AO129" i="1"/>
  <c r="AO135" i="1" s="1"/>
  <c r="AP129" i="1"/>
  <c r="AP135" i="1" s="1"/>
  <c r="AQ129" i="1"/>
  <c r="AQ135" i="1" s="1"/>
  <c r="AR129" i="1"/>
  <c r="AR135" i="1" s="1"/>
  <c r="AS129" i="1"/>
  <c r="AS135" i="1" s="1"/>
  <c r="AT129" i="1"/>
  <c r="AT135" i="1" s="1"/>
  <c r="AU129" i="1"/>
  <c r="AU135" i="1" s="1"/>
  <c r="AV129" i="1"/>
  <c r="AV135" i="1" s="1"/>
  <c r="AW129" i="1"/>
  <c r="AW135" i="1" s="1"/>
  <c r="AX129" i="1"/>
  <c r="AX135" i="1" s="1"/>
  <c r="AY129" i="1"/>
  <c r="AY135" i="1" s="1"/>
  <c r="AZ129" i="1"/>
  <c r="AZ135" i="1" s="1"/>
  <c r="BA129" i="1"/>
  <c r="BA135" i="1" s="1"/>
  <c r="BB129" i="1"/>
  <c r="BB135" i="1" s="1"/>
  <c r="BC129" i="1"/>
  <c r="BC135" i="1" s="1"/>
  <c r="BD129" i="1"/>
  <c r="BD135" i="1" s="1"/>
  <c r="BE129" i="1"/>
  <c r="BE135" i="1" s="1"/>
  <c r="BF129" i="1"/>
  <c r="BF135" i="1" s="1"/>
  <c r="BG129" i="1"/>
  <c r="BG135" i="1" s="1"/>
  <c r="BH129" i="1"/>
  <c r="BH135" i="1" s="1"/>
  <c r="F129" i="1"/>
  <c r="F135" i="1" s="1"/>
  <c r="G129" i="1"/>
  <c r="G135" i="1" s="1"/>
  <c r="H129" i="1"/>
  <c r="H135" i="1" s="1"/>
  <c r="I129" i="1"/>
  <c r="I135" i="1" s="1"/>
  <c r="J129" i="1"/>
  <c r="J135" i="1" s="1"/>
  <c r="K129" i="1"/>
  <c r="K135" i="1" s="1"/>
  <c r="L129" i="1"/>
  <c r="L135" i="1" s="1"/>
  <c r="M129" i="1"/>
  <c r="M135" i="1" s="1"/>
  <c r="N129" i="1"/>
  <c r="N135" i="1" s="1"/>
  <c r="O129" i="1"/>
  <c r="O135" i="1" s="1"/>
  <c r="P129" i="1"/>
  <c r="P135" i="1" s="1"/>
  <c r="Q129" i="1"/>
  <c r="Q135" i="1" s="1"/>
  <c r="R129" i="1"/>
  <c r="R135" i="1" s="1"/>
  <c r="S129" i="1"/>
  <c r="S135" i="1" s="1"/>
  <c r="T129" i="1"/>
  <c r="T135" i="1" s="1"/>
  <c r="U129" i="1"/>
  <c r="U135" i="1" s="1"/>
  <c r="V129" i="1"/>
  <c r="V135" i="1" s="1"/>
  <c r="W129" i="1"/>
  <c r="W135" i="1" s="1"/>
  <c r="X129" i="1"/>
  <c r="X135" i="1" s="1"/>
  <c r="Y129" i="1"/>
  <c r="Y135" i="1" s="1"/>
  <c r="Z129" i="1"/>
  <c r="Z135" i="1" s="1"/>
  <c r="AA129" i="1"/>
  <c r="AA135" i="1" s="1"/>
  <c r="AB129" i="1"/>
  <c r="AB135" i="1" s="1"/>
  <c r="AC129" i="1"/>
  <c r="AC135" i="1" s="1"/>
  <c r="AD129" i="1"/>
  <c r="AD135" i="1" s="1"/>
  <c r="AE129" i="1"/>
  <c r="AE135" i="1" s="1"/>
  <c r="AF129" i="1"/>
  <c r="AF135" i="1" s="1"/>
  <c r="AG129" i="1"/>
  <c r="AG135" i="1" s="1"/>
  <c r="AH129" i="1"/>
  <c r="AH135" i="1" s="1"/>
  <c r="AI129" i="1"/>
  <c r="AI135" i="1" s="1"/>
  <c r="E129" i="1"/>
  <c r="AJ128" i="1"/>
  <c r="A135" i="1"/>
  <c r="AU102" i="1"/>
  <c r="AU109" i="1" s="1"/>
  <c r="AT102" i="1"/>
  <c r="AT109" i="1" s="1"/>
  <c r="AS102" i="1"/>
  <c r="AS109" i="1" s="1"/>
  <c r="AL58" i="6"/>
  <c r="AL59" i="6" s="1"/>
  <c r="AL61" i="6" s="1"/>
  <c r="AM58" i="6"/>
  <c r="AM59" i="6" s="1"/>
  <c r="AM61" i="6" s="1"/>
  <c r="AN58" i="6"/>
  <c r="AN59" i="6" s="1"/>
  <c r="AN61" i="6" s="1"/>
  <c r="AO58" i="6"/>
  <c r="AO59" i="6" s="1"/>
  <c r="AO61" i="6" s="1"/>
  <c r="AP58" i="6"/>
  <c r="AP59" i="6" s="1"/>
  <c r="AP61" i="6" s="1"/>
  <c r="AQ58" i="6"/>
  <c r="AQ59" i="6" s="1"/>
  <c r="AQ61" i="6" s="1"/>
  <c r="AR58" i="6"/>
  <c r="AR59" i="6" s="1"/>
  <c r="AR61" i="6" s="1"/>
  <c r="AS58" i="6"/>
  <c r="AS59" i="6" s="1"/>
  <c r="AS61" i="6" s="1"/>
  <c r="AT58" i="6"/>
  <c r="AT59" i="6" s="1"/>
  <c r="AT61" i="6" s="1"/>
  <c r="AU58" i="6"/>
  <c r="AU59" i="6" s="1"/>
  <c r="AU61" i="6" s="1"/>
  <c r="AV58" i="6"/>
  <c r="AV59" i="6" s="1"/>
  <c r="AV61" i="6" s="1"/>
  <c r="AW58" i="6"/>
  <c r="AW59" i="6" s="1"/>
  <c r="AW61" i="6" s="1"/>
  <c r="AX58" i="6"/>
  <c r="AX59" i="6" s="1"/>
  <c r="AX61" i="6" s="1"/>
  <c r="AY58" i="6"/>
  <c r="AY59" i="6" s="1"/>
  <c r="AY61" i="6" s="1"/>
  <c r="AZ58" i="6"/>
  <c r="AZ59" i="6" s="1"/>
  <c r="AZ61" i="6" s="1"/>
  <c r="BA58" i="6"/>
  <c r="BA59" i="6" s="1"/>
  <c r="BA61" i="6" s="1"/>
  <c r="BB58" i="6"/>
  <c r="BB59" i="6" s="1"/>
  <c r="BB61" i="6" s="1"/>
  <c r="BC58" i="6"/>
  <c r="BC59" i="6" s="1"/>
  <c r="BC61" i="6" s="1"/>
  <c r="BD58" i="6"/>
  <c r="BD59" i="6" s="1"/>
  <c r="BD61" i="6" s="1"/>
  <c r="BE58" i="6"/>
  <c r="BE59" i="6" s="1"/>
  <c r="BE61" i="6" s="1"/>
  <c r="BF58" i="6"/>
  <c r="BF59" i="6" s="1"/>
  <c r="BF61" i="6" s="1"/>
  <c r="BG58" i="6"/>
  <c r="BG59" i="6" s="1"/>
  <c r="BG61" i="6" s="1"/>
  <c r="BH58" i="6"/>
  <c r="BH59" i="6" s="1"/>
  <c r="BH61" i="6" s="1"/>
  <c r="AK58" i="6"/>
  <c r="AK59" i="6" s="1"/>
  <c r="AK61" i="6" s="1"/>
  <c r="F58" i="6"/>
  <c r="F59" i="6" s="1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E58" i="6"/>
  <c r="E66" i="1" s="1"/>
  <c r="E51" i="6"/>
  <c r="E65" i="1" s="1"/>
  <c r="AV123" i="1"/>
  <c r="AW123" i="1"/>
  <c r="AX123" i="1"/>
  <c r="AY123" i="1"/>
  <c r="BJ128" i="1" l="1"/>
  <c r="E130" i="1"/>
  <c r="E135" i="1" s="1"/>
  <c r="BI129" i="1"/>
  <c r="AJ129" i="1"/>
  <c r="AJ120" i="1"/>
  <c r="BJ120" i="1" s="1"/>
  <c r="AM101" i="1"/>
  <c r="BG66" i="1"/>
  <c r="AM66" i="1"/>
  <c r="BH51" i="6"/>
  <c r="BH65" i="1" s="1"/>
  <c r="BG51" i="6"/>
  <c r="BG65" i="1" s="1"/>
  <c r="BF51" i="6"/>
  <c r="BF65" i="1" s="1"/>
  <c r="BE51" i="6"/>
  <c r="BE65" i="1" s="1"/>
  <c r="BD51" i="6"/>
  <c r="BD65" i="1" s="1"/>
  <c r="BC51" i="6"/>
  <c r="BC65" i="1" s="1"/>
  <c r="BB51" i="6"/>
  <c r="BB65" i="1" s="1"/>
  <c r="BA51" i="6"/>
  <c r="BA65" i="1" s="1"/>
  <c r="AZ51" i="6"/>
  <c r="AZ65" i="1" s="1"/>
  <c r="AY51" i="6"/>
  <c r="AY65" i="1" s="1"/>
  <c r="AX51" i="6"/>
  <c r="AX65" i="1" s="1"/>
  <c r="AW51" i="6"/>
  <c r="AW65" i="1" s="1"/>
  <c r="AV51" i="6"/>
  <c r="AV65" i="1" s="1"/>
  <c r="AU51" i="6"/>
  <c r="AU65" i="1" s="1"/>
  <c r="AT51" i="6"/>
  <c r="AT65" i="1" s="1"/>
  <c r="AS51" i="6"/>
  <c r="AS65" i="1" s="1"/>
  <c r="AR51" i="6"/>
  <c r="AR65" i="1" s="1"/>
  <c r="AQ51" i="6"/>
  <c r="AQ65" i="1" s="1"/>
  <c r="AP51" i="6"/>
  <c r="AP65" i="1" s="1"/>
  <c r="AO51" i="6"/>
  <c r="AO65" i="1" s="1"/>
  <c r="AN51" i="6"/>
  <c r="AN65" i="1" s="1"/>
  <c r="AM51" i="6"/>
  <c r="AM65" i="1" s="1"/>
  <c r="AL51" i="6"/>
  <c r="AL65" i="1" s="1"/>
  <c r="AK51" i="6"/>
  <c r="AK65" i="1" s="1"/>
  <c r="AO66" i="1"/>
  <c r="AS66" i="1"/>
  <c r="AW66" i="1"/>
  <c r="BA66" i="1"/>
  <c r="BE66" i="1"/>
  <c r="H59" i="6"/>
  <c r="J59" i="6"/>
  <c r="P59" i="6"/>
  <c r="R59" i="6"/>
  <c r="U59" i="6"/>
  <c r="X59" i="6"/>
  <c r="AC59" i="6"/>
  <c r="AF59" i="6"/>
  <c r="AG59" i="6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F51" i="6"/>
  <c r="F65" i="1" s="1"/>
  <c r="G51" i="6"/>
  <c r="G65" i="1" s="1"/>
  <c r="H51" i="6"/>
  <c r="H65" i="1" s="1"/>
  <c r="I51" i="6"/>
  <c r="I65" i="1" s="1"/>
  <c r="J51" i="6"/>
  <c r="J65" i="1" s="1"/>
  <c r="K51" i="6"/>
  <c r="K65" i="1" s="1"/>
  <c r="L51" i="6"/>
  <c r="L65" i="1" s="1"/>
  <c r="M51" i="6"/>
  <c r="M65" i="1" s="1"/>
  <c r="N51" i="6"/>
  <c r="N65" i="1" s="1"/>
  <c r="O51" i="6"/>
  <c r="O65" i="1" s="1"/>
  <c r="P51" i="6"/>
  <c r="P65" i="1" s="1"/>
  <c r="Q51" i="6"/>
  <c r="Q65" i="1" s="1"/>
  <c r="R51" i="6"/>
  <c r="R65" i="1" s="1"/>
  <c r="S51" i="6"/>
  <c r="S65" i="1" s="1"/>
  <c r="T51" i="6"/>
  <c r="T65" i="1" s="1"/>
  <c r="U51" i="6"/>
  <c r="U65" i="1" s="1"/>
  <c r="V51" i="6"/>
  <c r="V65" i="1" s="1"/>
  <c r="W51" i="6"/>
  <c r="W65" i="1" s="1"/>
  <c r="X51" i="6"/>
  <c r="X65" i="1" s="1"/>
  <c r="Y51" i="6"/>
  <c r="Y65" i="1" s="1"/>
  <c r="Z51" i="6"/>
  <c r="Z65" i="1" s="1"/>
  <c r="AA51" i="6"/>
  <c r="AA65" i="1" s="1"/>
  <c r="AB51" i="6"/>
  <c r="AB65" i="1" s="1"/>
  <c r="AC51" i="6"/>
  <c r="AC65" i="1" s="1"/>
  <c r="AD51" i="6"/>
  <c r="AD65" i="1" s="1"/>
  <c r="AE51" i="6"/>
  <c r="AE65" i="1" s="1"/>
  <c r="AF51" i="6"/>
  <c r="AF65" i="1" s="1"/>
  <c r="AG51" i="6"/>
  <c r="AG65" i="1" s="1"/>
  <c r="AH51" i="6"/>
  <c r="AH65" i="1" s="1"/>
  <c r="AI51" i="6"/>
  <c r="AI65" i="1" s="1"/>
  <c r="Q101" i="1"/>
  <c r="B92" i="1"/>
  <c r="B91" i="1"/>
  <c r="AJ130" i="1" l="1"/>
  <c r="BJ130" i="1" s="1"/>
  <c r="AJ65" i="1"/>
  <c r="BI65" i="1"/>
  <c r="BJ129" i="1"/>
  <c r="BI135" i="1"/>
  <c r="J44" i="7" s="1"/>
  <c r="AC68" i="1"/>
  <c r="AJ135" i="1"/>
  <c r="AH68" i="1"/>
  <c r="Z68" i="1"/>
  <c r="R68" i="1"/>
  <c r="J68" i="1"/>
  <c r="AU66" i="1"/>
  <c r="AU68" i="1" s="1"/>
  <c r="Z59" i="6"/>
  <c r="N59" i="6"/>
  <c r="AV66" i="1"/>
  <c r="AV68" i="1" s="1"/>
  <c r="AB68" i="1"/>
  <c r="Y59" i="6"/>
  <c r="M59" i="6"/>
  <c r="AM68" i="1"/>
  <c r="AY66" i="1"/>
  <c r="AY68" i="1" s="1"/>
  <c r="L68" i="1"/>
  <c r="BC66" i="1"/>
  <c r="BC68" i="1" s="1"/>
  <c r="AH59" i="6"/>
  <c r="V59" i="6"/>
  <c r="I59" i="6"/>
  <c r="BD66" i="1"/>
  <c r="BD68" i="1" s="1"/>
  <c r="T68" i="1"/>
  <c r="BG68" i="1"/>
  <c r="AN66" i="1"/>
  <c r="AN68" i="1" s="1"/>
  <c r="AI68" i="1"/>
  <c r="AA68" i="1"/>
  <c r="S68" i="1"/>
  <c r="K68" i="1"/>
  <c r="AD59" i="6"/>
  <c r="Q59" i="6"/>
  <c r="AQ66" i="1"/>
  <c r="AQ68" i="1" s="1"/>
  <c r="H68" i="1"/>
  <c r="G68" i="1"/>
  <c r="U68" i="1"/>
  <c r="AE68" i="1"/>
  <c r="N68" i="1"/>
  <c r="AO68" i="1"/>
  <c r="AW68" i="1"/>
  <c r="BE68" i="1"/>
  <c r="Q68" i="1"/>
  <c r="AS68" i="1"/>
  <c r="X68" i="1"/>
  <c r="W68" i="1"/>
  <c r="AD68" i="1"/>
  <c r="V68" i="1"/>
  <c r="F68" i="1"/>
  <c r="M68" i="1"/>
  <c r="BA68" i="1"/>
  <c r="P68" i="1"/>
  <c r="Y68" i="1"/>
  <c r="I68" i="1"/>
  <c r="AG68" i="1"/>
  <c r="AF68" i="1"/>
  <c r="O68" i="1"/>
  <c r="AE59" i="6"/>
  <c r="W59" i="6"/>
  <c r="O59" i="6"/>
  <c r="G59" i="6"/>
  <c r="AP66" i="1"/>
  <c r="AP68" i="1" s="1"/>
  <c r="AX66" i="1"/>
  <c r="AX68" i="1" s="1"/>
  <c r="BF66" i="1"/>
  <c r="BF68" i="1" s="1"/>
  <c r="AR66" i="1"/>
  <c r="AR68" i="1" s="1"/>
  <c r="AZ66" i="1"/>
  <c r="AZ68" i="1" s="1"/>
  <c r="BH66" i="1"/>
  <c r="BH68" i="1" s="1"/>
  <c r="AB59" i="6"/>
  <c r="T59" i="6"/>
  <c r="L59" i="6"/>
  <c r="AK66" i="1"/>
  <c r="AI59" i="6"/>
  <c r="AA59" i="6"/>
  <c r="S59" i="6"/>
  <c r="K59" i="6"/>
  <c r="AL66" i="1"/>
  <c r="AL68" i="1" s="1"/>
  <c r="AT66" i="1"/>
  <c r="AT68" i="1" s="1"/>
  <c r="BB66" i="1"/>
  <c r="BB68" i="1" s="1"/>
  <c r="A123" i="1"/>
  <c r="A114" i="1"/>
  <c r="A97" i="1"/>
  <c r="A87" i="1"/>
  <c r="A77" i="1"/>
  <c r="A68" i="1"/>
  <c r="BJ65" i="1" l="1"/>
  <c r="BJ135" i="1"/>
  <c r="I44" i="7"/>
  <c r="BI66" i="1"/>
  <c r="AK68" i="1"/>
  <c r="BI68" i="1" s="1"/>
  <c r="H25" i="7"/>
  <c r="H27" i="7" s="1"/>
  <c r="C75" i="1"/>
  <c r="J41" i="7" l="1"/>
  <c r="J35" i="7"/>
  <c r="AL123" i="1"/>
  <c r="AM123" i="1"/>
  <c r="AN123" i="1"/>
  <c r="AO123" i="1"/>
  <c r="AP123" i="1"/>
  <c r="AQ123" i="1"/>
  <c r="AR123" i="1"/>
  <c r="AS123" i="1"/>
  <c r="AT123" i="1"/>
  <c r="AU123" i="1"/>
  <c r="AZ123" i="1"/>
  <c r="BA123" i="1"/>
  <c r="BB123" i="1"/>
  <c r="BC123" i="1"/>
  <c r="BD123" i="1"/>
  <c r="BE123" i="1"/>
  <c r="BF123" i="1"/>
  <c r="BG123" i="1"/>
  <c r="BH123" i="1"/>
  <c r="AK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E123" i="1"/>
  <c r="AJ119" i="1"/>
  <c r="BJ119" i="1" s="1"/>
  <c r="BI123" i="1" l="1"/>
  <c r="AJ123" i="1"/>
  <c r="BJ123" i="1" l="1"/>
  <c r="O31" i="7"/>
  <c r="O32" i="7"/>
  <c r="O33" i="7"/>
  <c r="O34" i="7"/>
  <c r="O36" i="7"/>
  <c r="O37" i="7"/>
  <c r="O38" i="7"/>
  <c r="O40" i="7"/>
  <c r="O42" i="7"/>
  <c r="O43" i="7"/>
  <c r="O44" i="7"/>
  <c r="O45" i="7"/>
  <c r="O46" i="7"/>
  <c r="O47" i="7"/>
  <c r="O48" i="7"/>
  <c r="O49" i="7"/>
  <c r="O50" i="7"/>
  <c r="O51" i="7"/>
  <c r="O55" i="7" l="1"/>
  <c r="O56" i="7"/>
  <c r="O57" i="7"/>
  <c r="O58" i="7"/>
  <c r="O59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54" i="7"/>
  <c r="O28" i="7"/>
  <c r="AK68" i="6"/>
  <c r="AL68" i="6"/>
  <c r="AO68" i="6"/>
  <c r="AP68" i="6"/>
  <c r="AQ68" i="6"/>
  <c r="AT68" i="6"/>
  <c r="AU68" i="6"/>
  <c r="AV68" i="6"/>
  <c r="AW68" i="6"/>
  <c r="AX68" i="6"/>
  <c r="AY68" i="6"/>
  <c r="AZ68" i="6"/>
  <c r="BB68" i="6"/>
  <c r="BC68" i="6"/>
  <c r="BD68" i="6"/>
  <c r="BE68" i="6"/>
  <c r="BF68" i="6"/>
  <c r="BG68" i="6"/>
  <c r="A68" i="6" l="1"/>
  <c r="F5" i="6" l="1"/>
  <c r="G5" i="6" s="1"/>
  <c r="E4" i="6"/>
  <c r="F3" i="6"/>
  <c r="G3" i="6" s="1"/>
  <c r="E2" i="6"/>
  <c r="E1" i="6"/>
  <c r="A47" i="1"/>
  <c r="A55" i="1"/>
  <c r="B93" i="1"/>
  <c r="A20" i="1"/>
  <c r="A21" i="1"/>
  <c r="A22" i="1"/>
  <c r="F106" i="7"/>
  <c r="E106" i="7"/>
  <c r="E117" i="7" s="1"/>
  <c r="D106" i="7"/>
  <c r="C106" i="7"/>
  <c r="C117" i="7" s="1"/>
  <c r="C52" i="7"/>
  <c r="N52" i="7"/>
  <c r="M52" i="7"/>
  <c r="L52" i="7"/>
  <c r="K52" i="7"/>
  <c r="H52" i="7"/>
  <c r="G52" i="7"/>
  <c r="F52" i="7"/>
  <c r="E52" i="7"/>
  <c r="D52" i="7"/>
  <c r="C29" i="7"/>
  <c r="N29" i="7"/>
  <c r="M29" i="7"/>
  <c r="M53" i="7" s="1"/>
  <c r="M106" i="7" s="1"/>
  <c r="M117" i="7" s="1"/>
  <c r="L29" i="7"/>
  <c r="L53" i="7" s="1"/>
  <c r="L106" i="7" s="1"/>
  <c r="L117" i="7" s="1"/>
  <c r="K29" i="7"/>
  <c r="K53" i="7" s="1"/>
  <c r="K106" i="7" s="1"/>
  <c r="K117" i="7" s="1"/>
  <c r="H29" i="7"/>
  <c r="G29" i="7"/>
  <c r="F29" i="7"/>
  <c r="E29" i="7"/>
  <c r="D29" i="7"/>
  <c r="D53" i="7" s="1"/>
  <c r="N7" i="7"/>
  <c r="N24" i="7" s="1"/>
  <c r="M7" i="7"/>
  <c r="M24" i="7" s="1"/>
  <c r="L7" i="7"/>
  <c r="L24" i="7" s="1"/>
  <c r="K7" i="7"/>
  <c r="K24" i="7" s="1"/>
  <c r="H7" i="7"/>
  <c r="H24" i="7" s="1"/>
  <c r="G7" i="7"/>
  <c r="G24" i="7" s="1"/>
  <c r="G116" i="7" s="1"/>
  <c r="F7" i="7"/>
  <c r="F24" i="7" s="1"/>
  <c r="F116" i="7" s="1"/>
  <c r="E7" i="7"/>
  <c r="E24" i="7" s="1"/>
  <c r="D7" i="7"/>
  <c r="C7" i="7"/>
  <c r="C24" i="7" s="1"/>
  <c r="C116" i="7" s="1"/>
  <c r="A32" i="1" l="1"/>
  <c r="A26" i="1"/>
  <c r="A34" i="1"/>
  <c r="A28" i="1"/>
  <c r="A33" i="1"/>
  <c r="A27" i="1"/>
  <c r="E53" i="7"/>
  <c r="N53" i="7"/>
  <c r="N106" i="7" s="1"/>
  <c r="N117" i="7" s="1"/>
  <c r="F53" i="7"/>
  <c r="G53" i="7"/>
  <c r="G106" i="7" s="1"/>
  <c r="G117" i="7" s="1"/>
  <c r="D24" i="7"/>
  <c r="D116" i="7" s="1"/>
  <c r="H53" i="7"/>
  <c r="H106" i="7" s="1"/>
  <c r="H117" i="7" s="1"/>
  <c r="D117" i="7"/>
  <c r="F108" i="7"/>
  <c r="F117" i="7"/>
  <c r="K108" i="7"/>
  <c r="C108" i="7"/>
  <c r="N116" i="7"/>
  <c r="E116" i="7"/>
  <c r="C53" i="7"/>
  <c r="K116" i="7"/>
  <c r="M116" i="7"/>
  <c r="L116" i="7"/>
  <c r="H116" i="7"/>
  <c r="F2" i="6"/>
  <c r="F4" i="6"/>
  <c r="F1" i="6"/>
  <c r="G4" i="6"/>
  <c r="G1" i="6"/>
  <c r="H3" i="6"/>
  <c r="H5" i="6"/>
  <c r="G2" i="6"/>
  <c r="BH68" i="6"/>
  <c r="AI68" i="6"/>
  <c r="AH68" i="6"/>
  <c r="AG68" i="6"/>
  <c r="AD68" i="6"/>
  <c r="AC68" i="6"/>
  <c r="AB68" i="6"/>
  <c r="AA68" i="6"/>
  <c r="Z68" i="6"/>
  <c r="U68" i="6"/>
  <c r="T68" i="6"/>
  <c r="S68" i="6"/>
  <c r="P68" i="6"/>
  <c r="O68" i="6"/>
  <c r="N68" i="6"/>
  <c r="M68" i="6"/>
  <c r="L68" i="6"/>
  <c r="I68" i="6"/>
  <c r="H68" i="6"/>
  <c r="G68" i="6"/>
  <c r="F68" i="6"/>
  <c r="E68" i="6"/>
  <c r="A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A54" i="6"/>
  <c r="BH52" i="6"/>
  <c r="BH54" i="6" s="1"/>
  <c r="BG52" i="6"/>
  <c r="BG54" i="6" s="1"/>
  <c r="BF52" i="6"/>
  <c r="BE52" i="6"/>
  <c r="BD52" i="6"/>
  <c r="BD54" i="6" s="1"/>
  <c r="BC52" i="6"/>
  <c r="BC54" i="6" s="1"/>
  <c r="BB52" i="6"/>
  <c r="BA52" i="6"/>
  <c r="BA54" i="6" s="1"/>
  <c r="AZ52" i="6"/>
  <c r="AY52" i="6"/>
  <c r="AY54" i="6" s="1"/>
  <c r="AX52" i="6"/>
  <c r="AW52" i="6"/>
  <c r="AW54" i="6" s="1"/>
  <c r="AV52" i="6"/>
  <c r="AV54" i="6" s="1"/>
  <c r="AU52" i="6"/>
  <c r="AU54" i="6" s="1"/>
  <c r="AT52" i="6"/>
  <c r="AT54" i="6" s="1"/>
  <c r="AS52" i="6"/>
  <c r="AS54" i="6" s="1"/>
  <c r="AR52" i="6"/>
  <c r="AR54" i="6" s="1"/>
  <c r="AQ52" i="6"/>
  <c r="AQ54" i="6" s="1"/>
  <c r="AP52" i="6"/>
  <c r="AO52" i="6"/>
  <c r="AO54" i="6" s="1"/>
  <c r="AN52" i="6"/>
  <c r="AN54" i="6" s="1"/>
  <c r="AM52" i="6"/>
  <c r="AM54" i="6" s="1"/>
  <c r="AL52" i="6"/>
  <c r="AL54" i="6" s="1"/>
  <c r="AK52" i="6"/>
  <c r="AK54" i="6" s="1"/>
  <c r="A59" i="6"/>
  <c r="A47" i="6"/>
  <c r="BH45" i="6"/>
  <c r="BH47" i="6" s="1"/>
  <c r="BG45" i="6"/>
  <c r="BG47" i="6" s="1"/>
  <c r="BF45" i="6"/>
  <c r="BF47" i="6" s="1"/>
  <c r="BE45" i="6"/>
  <c r="BE47" i="6" s="1"/>
  <c r="BD45" i="6"/>
  <c r="BD47" i="6" s="1"/>
  <c r="BC45" i="6"/>
  <c r="BC47" i="6" s="1"/>
  <c r="BB45" i="6"/>
  <c r="BB47" i="6" s="1"/>
  <c r="BA45" i="6"/>
  <c r="BA47" i="6" s="1"/>
  <c r="AZ45" i="6"/>
  <c r="AZ47" i="6" s="1"/>
  <c r="AY45" i="6"/>
  <c r="AY47" i="6" s="1"/>
  <c r="AX45" i="6"/>
  <c r="AX47" i="6" s="1"/>
  <c r="AW45" i="6"/>
  <c r="AW47" i="6" s="1"/>
  <c r="AV45" i="6"/>
  <c r="AV47" i="6" s="1"/>
  <c r="AU45" i="6"/>
  <c r="AU47" i="6" s="1"/>
  <c r="AT45" i="6"/>
  <c r="AT47" i="6" s="1"/>
  <c r="AS45" i="6"/>
  <c r="AS47" i="6" s="1"/>
  <c r="AR45" i="6"/>
  <c r="AR47" i="6" s="1"/>
  <c r="AQ45" i="6"/>
  <c r="AQ47" i="6" s="1"/>
  <c r="AP45" i="6"/>
  <c r="AP47" i="6" s="1"/>
  <c r="AO45" i="6"/>
  <c r="AO47" i="6" s="1"/>
  <c r="AN45" i="6"/>
  <c r="AN47" i="6" s="1"/>
  <c r="AM45" i="6"/>
  <c r="AM47" i="6" s="1"/>
  <c r="AL45" i="6"/>
  <c r="AL47" i="6" s="1"/>
  <c r="AK45" i="6"/>
  <c r="AK47" i="6" s="1"/>
  <c r="AI45" i="6"/>
  <c r="AI47" i="6" s="1"/>
  <c r="AH45" i="6"/>
  <c r="AH47" i="6" s="1"/>
  <c r="AG45" i="6"/>
  <c r="AG47" i="6" s="1"/>
  <c r="AF45" i="6"/>
  <c r="AF47" i="6" s="1"/>
  <c r="AE45" i="6"/>
  <c r="AE47" i="6" s="1"/>
  <c r="AD45" i="6"/>
  <c r="AD47" i="6" s="1"/>
  <c r="AC45" i="6"/>
  <c r="AC47" i="6" s="1"/>
  <c r="AB45" i="6"/>
  <c r="AB47" i="6" s="1"/>
  <c r="AA45" i="6"/>
  <c r="AA47" i="6" s="1"/>
  <c r="Z45" i="6"/>
  <c r="Z47" i="6" s="1"/>
  <c r="Y45" i="6"/>
  <c r="Y47" i="6" s="1"/>
  <c r="X45" i="6"/>
  <c r="X47" i="6" s="1"/>
  <c r="W45" i="6"/>
  <c r="W47" i="6" s="1"/>
  <c r="V45" i="6"/>
  <c r="V47" i="6" s="1"/>
  <c r="U45" i="6"/>
  <c r="U47" i="6" s="1"/>
  <c r="T45" i="6"/>
  <c r="T47" i="6" s="1"/>
  <c r="S45" i="6"/>
  <c r="S47" i="6" s="1"/>
  <c r="R45" i="6"/>
  <c r="R47" i="6" s="1"/>
  <c r="Q45" i="6"/>
  <c r="Q47" i="6" s="1"/>
  <c r="P45" i="6"/>
  <c r="P47" i="6" s="1"/>
  <c r="O45" i="6"/>
  <c r="O47" i="6" s="1"/>
  <c r="N45" i="6"/>
  <c r="N47" i="6" s="1"/>
  <c r="M45" i="6"/>
  <c r="M47" i="6" s="1"/>
  <c r="L45" i="6"/>
  <c r="L47" i="6" s="1"/>
  <c r="K45" i="6"/>
  <c r="K47" i="6" s="1"/>
  <c r="J45" i="6"/>
  <c r="J47" i="6" s="1"/>
  <c r="I45" i="6"/>
  <c r="I47" i="6" s="1"/>
  <c r="H45" i="6"/>
  <c r="H47" i="6" s="1"/>
  <c r="G45" i="6"/>
  <c r="G47" i="6" s="1"/>
  <c r="F45" i="6"/>
  <c r="F47" i="6" s="1"/>
  <c r="E45" i="6"/>
  <c r="A34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A27" i="6"/>
  <c r="K27" i="6"/>
  <c r="A25" i="6"/>
  <c r="A21" i="6"/>
  <c r="K21" i="6"/>
  <c r="A15" i="6"/>
  <c r="A12" i="6"/>
  <c r="A11" i="6"/>
  <c r="G108" i="7" l="1"/>
  <c r="D108" i="7"/>
  <c r="N108" i="7"/>
  <c r="M108" i="7"/>
  <c r="L108" i="7"/>
  <c r="H108" i="7"/>
  <c r="E108" i="7"/>
  <c r="BG82" i="1"/>
  <c r="BE82" i="1"/>
  <c r="BE54" i="6"/>
  <c r="AZ54" i="6"/>
  <c r="BB54" i="6"/>
  <c r="AJ31" i="6"/>
  <c r="AJ45" i="6"/>
  <c r="H4" i="6"/>
  <c r="H1" i="6"/>
  <c r="I3" i="6"/>
  <c r="I5" i="6"/>
  <c r="H2" i="6"/>
  <c r="E47" i="6"/>
  <c r="AJ47" i="6" s="1"/>
  <c r="I14" i="7" s="1"/>
  <c r="BI31" i="6"/>
  <c r="BI47" i="6"/>
  <c r="J14" i="7" s="1"/>
  <c r="BI59" i="6"/>
  <c r="BI45" i="6"/>
  <c r="AP54" i="6"/>
  <c r="AX54" i="6"/>
  <c r="BF54" i="6"/>
  <c r="BI52" i="6"/>
  <c r="AX82" i="1"/>
  <c r="AZ82" i="1"/>
  <c r="H87" i="1"/>
  <c r="O14" i="7" l="1"/>
  <c r="J5" i="6"/>
  <c r="I2" i="6"/>
  <c r="I1" i="6"/>
  <c r="J3" i="6"/>
  <c r="I4" i="6"/>
  <c r="BJ40" i="6"/>
  <c r="BJ38" i="6"/>
  <c r="BJ31" i="6"/>
  <c r="BI54" i="6"/>
  <c r="BI61" i="6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38" i="6" l="1"/>
  <c r="J21" i="7" s="1"/>
  <c r="J1" i="6"/>
  <c r="K3" i="6"/>
  <c r="J4" i="6"/>
  <c r="J2" i="6"/>
  <c r="K5" i="6"/>
  <c r="AJ52" i="1"/>
  <c r="BH114" i="1"/>
  <c r="BG114" i="1"/>
  <c r="I114" i="1"/>
  <c r="G114" i="1"/>
  <c r="E114" i="1"/>
  <c r="F114" i="1"/>
  <c r="J97" i="1"/>
  <c r="K97" i="1"/>
  <c r="Q97" i="1"/>
  <c r="R97" i="1"/>
  <c r="X97" i="1"/>
  <c r="Y97" i="1"/>
  <c r="AE97" i="1"/>
  <c r="AF97" i="1"/>
  <c r="AM97" i="1"/>
  <c r="AN97" i="1"/>
  <c r="AT97" i="1"/>
  <c r="AU97" i="1"/>
  <c r="BA97" i="1"/>
  <c r="BB97" i="1"/>
  <c r="J87" i="1"/>
  <c r="K87" i="1"/>
  <c r="L87" i="1"/>
  <c r="Q87" i="1"/>
  <c r="R87" i="1"/>
  <c r="X87" i="1"/>
  <c r="Y87" i="1"/>
  <c r="Z87" i="1"/>
  <c r="AE87" i="1"/>
  <c r="AF87" i="1"/>
  <c r="AG87" i="1"/>
  <c r="AM87" i="1"/>
  <c r="AN87" i="1"/>
  <c r="AO87" i="1"/>
  <c r="AT87" i="1"/>
  <c r="AU87" i="1"/>
  <c r="AV87" i="1"/>
  <c r="BA87" i="1"/>
  <c r="BB87" i="1"/>
  <c r="BC87" i="1"/>
  <c r="E87" i="1"/>
  <c r="K2" i="6" l="1"/>
  <c r="L5" i="6"/>
  <c r="L3" i="6"/>
  <c r="K4" i="6"/>
  <c r="K1" i="6"/>
  <c r="H114" i="1"/>
  <c r="M3" i="6" l="1"/>
  <c r="L4" i="6"/>
  <c r="L1" i="6"/>
  <c r="M5" i="6"/>
  <c r="L2" i="6"/>
  <c r="K73" i="1"/>
  <c r="E2" i="1"/>
  <c r="F5" i="1"/>
  <c r="F3" i="1"/>
  <c r="E1" i="1"/>
  <c r="E4" i="1"/>
  <c r="AF73" i="1" l="1"/>
  <c r="AF19" i="6"/>
  <c r="AF21" i="6" s="1"/>
  <c r="AF25" i="6"/>
  <c r="AF27" i="6" s="1"/>
  <c r="AX73" i="1"/>
  <c r="AX19" i="6"/>
  <c r="AX21" i="6" s="1"/>
  <c r="AX25" i="6"/>
  <c r="AX27" i="6" s="1"/>
  <c r="Z73" i="1"/>
  <c r="Z19" i="6"/>
  <c r="Z21" i="6" s="1"/>
  <c r="Z25" i="6"/>
  <c r="Z27" i="6" s="1"/>
  <c r="AA73" i="1"/>
  <c r="AA19" i="6"/>
  <c r="AA21" i="6" s="1"/>
  <c r="AA25" i="6"/>
  <c r="AA27" i="6" s="1"/>
  <c r="AZ73" i="1"/>
  <c r="AZ25" i="6"/>
  <c r="AZ27" i="6" s="1"/>
  <c r="AZ19" i="6"/>
  <c r="AZ21" i="6" s="1"/>
  <c r="BH73" i="1"/>
  <c r="BH25" i="6"/>
  <c r="BH27" i="6" s="1"/>
  <c r="BH19" i="6"/>
  <c r="BH21" i="6" s="1"/>
  <c r="H73" i="1"/>
  <c r="H19" i="6"/>
  <c r="H21" i="6" s="1"/>
  <c r="H25" i="6"/>
  <c r="H27" i="6" s="1"/>
  <c r="AW73" i="1"/>
  <c r="AW25" i="6"/>
  <c r="AW27" i="6" s="1"/>
  <c r="AW19" i="6"/>
  <c r="AW21" i="6" s="1"/>
  <c r="AP73" i="1"/>
  <c r="AP19" i="6"/>
  <c r="AP21" i="6" s="1"/>
  <c r="AP25" i="6"/>
  <c r="AP27" i="6" s="1"/>
  <c r="BG73" i="1"/>
  <c r="BG19" i="6"/>
  <c r="BG21" i="6" s="1"/>
  <c r="BG25" i="6"/>
  <c r="BG27" i="6" s="1"/>
  <c r="T73" i="1"/>
  <c r="T25" i="6"/>
  <c r="T27" i="6" s="1"/>
  <c r="T19" i="6"/>
  <c r="T21" i="6" s="1"/>
  <c r="BA73" i="1"/>
  <c r="BA19" i="6"/>
  <c r="BA21" i="6" s="1"/>
  <c r="BA25" i="6"/>
  <c r="BA27" i="6" s="1"/>
  <c r="X73" i="1"/>
  <c r="X19" i="6"/>
  <c r="X21" i="6" s="1"/>
  <c r="X25" i="6"/>
  <c r="X27" i="6" s="1"/>
  <c r="Q73" i="1"/>
  <c r="Q25" i="6"/>
  <c r="Q27" i="6" s="1"/>
  <c r="Q19" i="6"/>
  <c r="Q21" i="6" s="1"/>
  <c r="BF73" i="1"/>
  <c r="BF19" i="6"/>
  <c r="BF21" i="6" s="1"/>
  <c r="BF25" i="6"/>
  <c r="BF27" i="6" s="1"/>
  <c r="AY73" i="1"/>
  <c r="AY19" i="6"/>
  <c r="AY21" i="6" s="1"/>
  <c r="AY25" i="6"/>
  <c r="AY27" i="6" s="1"/>
  <c r="AR73" i="1"/>
  <c r="AR19" i="6"/>
  <c r="AR21" i="6" s="1"/>
  <c r="AR25" i="6"/>
  <c r="AR27" i="6" s="1"/>
  <c r="AK73" i="1"/>
  <c r="AK19" i="6"/>
  <c r="AK25" i="6"/>
  <c r="E73" i="1"/>
  <c r="E25" i="6"/>
  <c r="E19" i="6"/>
  <c r="M73" i="1"/>
  <c r="M19" i="6"/>
  <c r="M21" i="6" s="1"/>
  <c r="M25" i="6"/>
  <c r="M27" i="6" s="1"/>
  <c r="U73" i="1"/>
  <c r="U19" i="6"/>
  <c r="U21" i="6" s="1"/>
  <c r="U25" i="6"/>
  <c r="U27" i="6" s="1"/>
  <c r="AC73" i="1"/>
  <c r="AC19" i="6"/>
  <c r="AC21" i="6" s="1"/>
  <c r="AC25" i="6"/>
  <c r="AC27" i="6" s="1"/>
  <c r="AL73" i="1"/>
  <c r="AL19" i="6"/>
  <c r="AL21" i="6" s="1"/>
  <c r="AL25" i="6"/>
  <c r="AL27" i="6" s="1"/>
  <c r="AT73" i="1"/>
  <c r="AT19" i="6"/>
  <c r="AT21" i="6" s="1"/>
  <c r="AT25" i="6"/>
  <c r="AT27" i="6" s="1"/>
  <c r="BB73" i="1"/>
  <c r="BB19" i="6"/>
  <c r="BB21" i="6" s="1"/>
  <c r="BB25" i="6"/>
  <c r="BB27" i="6" s="1"/>
  <c r="P73" i="1"/>
  <c r="P25" i="6"/>
  <c r="P27" i="6" s="1"/>
  <c r="P19" i="6"/>
  <c r="P21" i="6" s="1"/>
  <c r="BE73" i="1"/>
  <c r="BE25" i="6"/>
  <c r="BE27" i="6" s="1"/>
  <c r="BE19" i="6"/>
  <c r="BE21" i="6" s="1"/>
  <c r="Y73" i="1"/>
  <c r="Y25" i="6"/>
  <c r="Y27" i="6" s="1"/>
  <c r="Y19" i="6"/>
  <c r="Y21" i="6" s="1"/>
  <c r="J73" i="1"/>
  <c r="J19" i="6"/>
  <c r="J21" i="6" s="1"/>
  <c r="J25" i="6"/>
  <c r="J27" i="6" s="1"/>
  <c r="AQ73" i="1"/>
  <c r="AQ19" i="6"/>
  <c r="AQ21" i="6" s="1"/>
  <c r="AQ25" i="6"/>
  <c r="AQ27" i="6" s="1"/>
  <c r="AI73" i="1"/>
  <c r="AI19" i="6"/>
  <c r="AI21" i="6" s="1"/>
  <c r="AI25" i="6"/>
  <c r="AI27" i="6" s="1"/>
  <c r="AB73" i="1"/>
  <c r="AB19" i="6"/>
  <c r="AB21" i="6" s="1"/>
  <c r="AB25" i="6"/>
  <c r="AB27" i="6" s="1"/>
  <c r="F73" i="1"/>
  <c r="F19" i="6"/>
  <c r="F21" i="6" s="1"/>
  <c r="F25" i="6"/>
  <c r="F27" i="6" s="1"/>
  <c r="N73" i="1"/>
  <c r="N19" i="6"/>
  <c r="N21" i="6" s="1"/>
  <c r="N25" i="6"/>
  <c r="N27" i="6" s="1"/>
  <c r="V73" i="1"/>
  <c r="V19" i="6"/>
  <c r="V21" i="6" s="1"/>
  <c r="V25" i="6"/>
  <c r="V27" i="6" s="1"/>
  <c r="AD73" i="1"/>
  <c r="AD25" i="6"/>
  <c r="AD27" i="6" s="1"/>
  <c r="AD19" i="6"/>
  <c r="AD21" i="6" s="1"/>
  <c r="AM73" i="1"/>
  <c r="AM25" i="6"/>
  <c r="AM27" i="6" s="1"/>
  <c r="AM19" i="6"/>
  <c r="AM21" i="6" s="1"/>
  <c r="AU73" i="1"/>
  <c r="AU19" i="6"/>
  <c r="AU21" i="6" s="1"/>
  <c r="AU25" i="6"/>
  <c r="AU27" i="6" s="1"/>
  <c r="BC73" i="1"/>
  <c r="BC19" i="6"/>
  <c r="BC21" i="6" s="1"/>
  <c r="BC25" i="6"/>
  <c r="BC27" i="6" s="1"/>
  <c r="AO73" i="1"/>
  <c r="AO25" i="6"/>
  <c r="AO27" i="6" s="1"/>
  <c r="AO19" i="6"/>
  <c r="AO21" i="6" s="1"/>
  <c r="I73" i="1"/>
  <c r="I25" i="6"/>
  <c r="I27" i="6" s="1"/>
  <c r="I19" i="6"/>
  <c r="I21" i="6" s="1"/>
  <c r="AG73" i="1"/>
  <c r="AG25" i="6"/>
  <c r="AG27" i="6" s="1"/>
  <c r="AG19" i="6"/>
  <c r="AG21" i="6" s="1"/>
  <c r="R73" i="1"/>
  <c r="R19" i="6"/>
  <c r="R21" i="6" s="1"/>
  <c r="R25" i="6"/>
  <c r="R27" i="6" s="1"/>
  <c r="AH73" i="1"/>
  <c r="AH19" i="6"/>
  <c r="AH21" i="6" s="1"/>
  <c r="AH25" i="6"/>
  <c r="AH27" i="6" s="1"/>
  <c r="S73" i="1"/>
  <c r="S19" i="6"/>
  <c r="S21" i="6" s="1"/>
  <c r="S25" i="6"/>
  <c r="S27" i="6" s="1"/>
  <c r="L73" i="1"/>
  <c r="L19" i="6"/>
  <c r="L21" i="6" s="1"/>
  <c r="L25" i="6"/>
  <c r="L27" i="6" s="1"/>
  <c r="AS73" i="1"/>
  <c r="AS19" i="6"/>
  <c r="AS21" i="6" s="1"/>
  <c r="AS25" i="6"/>
  <c r="AS27" i="6" s="1"/>
  <c r="G73" i="1"/>
  <c r="G25" i="6"/>
  <c r="G27" i="6" s="1"/>
  <c r="G19" i="6"/>
  <c r="G21" i="6" s="1"/>
  <c r="O73" i="1"/>
  <c r="O19" i="6"/>
  <c r="O21" i="6" s="1"/>
  <c r="O25" i="6"/>
  <c r="O27" i="6" s="1"/>
  <c r="W73" i="1"/>
  <c r="W19" i="6"/>
  <c r="W21" i="6" s="1"/>
  <c r="W25" i="6"/>
  <c r="W27" i="6" s="1"/>
  <c r="AE73" i="1"/>
  <c r="AE19" i="6"/>
  <c r="AE21" i="6" s="1"/>
  <c r="AE25" i="6"/>
  <c r="AE27" i="6" s="1"/>
  <c r="AN73" i="1"/>
  <c r="AN25" i="6"/>
  <c r="AN27" i="6" s="1"/>
  <c r="AN19" i="6"/>
  <c r="AN21" i="6" s="1"/>
  <c r="AV73" i="1"/>
  <c r="AV19" i="6"/>
  <c r="AV21" i="6" s="1"/>
  <c r="AV25" i="6"/>
  <c r="AV27" i="6" s="1"/>
  <c r="BD73" i="1"/>
  <c r="BD25" i="6"/>
  <c r="BD27" i="6" s="1"/>
  <c r="BD19" i="6"/>
  <c r="BD21" i="6" s="1"/>
  <c r="AJ66" i="1"/>
  <c r="BJ66" i="1" s="1"/>
  <c r="E59" i="6"/>
  <c r="E22" i="1"/>
  <c r="N5" i="6"/>
  <c r="M2" i="6"/>
  <c r="M4" i="6"/>
  <c r="M1" i="6"/>
  <c r="N3" i="6"/>
  <c r="AJ44" i="1"/>
  <c r="BI44" i="1"/>
  <c r="AI75" i="1"/>
  <c r="AI74" i="1"/>
  <c r="J75" i="1"/>
  <c r="J74" i="1"/>
  <c r="R75" i="1"/>
  <c r="R74" i="1"/>
  <c r="Z75" i="1"/>
  <c r="Z74" i="1"/>
  <c r="AH75" i="1"/>
  <c r="AH74" i="1"/>
  <c r="AQ75" i="1"/>
  <c r="AQ74" i="1"/>
  <c r="AY75" i="1"/>
  <c r="AY74" i="1"/>
  <c r="BG75" i="1"/>
  <c r="BG74" i="1"/>
  <c r="BH75" i="1"/>
  <c r="BH74" i="1"/>
  <c r="AA75" i="1"/>
  <c r="AA74" i="1"/>
  <c r="L75" i="1"/>
  <c r="L74" i="1"/>
  <c r="T75" i="1"/>
  <c r="T74" i="1"/>
  <c r="AB75" i="1"/>
  <c r="AB74" i="1"/>
  <c r="AK75" i="1"/>
  <c r="AK74" i="1"/>
  <c r="AS75" i="1"/>
  <c r="AS74" i="1"/>
  <c r="BA75" i="1"/>
  <c r="BA74" i="1"/>
  <c r="AZ75" i="1"/>
  <c r="AZ74" i="1"/>
  <c r="M75" i="1"/>
  <c r="M74" i="1"/>
  <c r="U75" i="1"/>
  <c r="U74" i="1"/>
  <c r="AC75" i="1"/>
  <c r="AC74" i="1"/>
  <c r="AL75" i="1"/>
  <c r="AL74" i="1"/>
  <c r="AT75" i="1"/>
  <c r="AT74" i="1"/>
  <c r="BB75" i="1"/>
  <c r="BB74" i="1"/>
  <c r="K75" i="1"/>
  <c r="K74" i="1"/>
  <c r="F75" i="1"/>
  <c r="F74" i="1"/>
  <c r="N75" i="1"/>
  <c r="N74" i="1"/>
  <c r="V75" i="1"/>
  <c r="V74" i="1"/>
  <c r="AD75" i="1"/>
  <c r="AD74" i="1"/>
  <c r="AM75" i="1"/>
  <c r="AM74" i="1"/>
  <c r="AU75" i="1"/>
  <c r="AU74" i="1"/>
  <c r="BC75" i="1"/>
  <c r="BC74" i="1"/>
  <c r="G75" i="1"/>
  <c r="G74" i="1"/>
  <c r="O75" i="1"/>
  <c r="O74" i="1"/>
  <c r="W75" i="1"/>
  <c r="W74" i="1"/>
  <c r="AE75" i="1"/>
  <c r="AE74" i="1"/>
  <c r="AN75" i="1"/>
  <c r="AN74" i="1"/>
  <c r="AV75" i="1"/>
  <c r="AV74" i="1"/>
  <c r="BD75" i="1"/>
  <c r="BD74" i="1"/>
  <c r="S75" i="1"/>
  <c r="S74" i="1"/>
  <c r="H75" i="1"/>
  <c r="H74" i="1"/>
  <c r="P75" i="1"/>
  <c r="P74" i="1"/>
  <c r="X75" i="1"/>
  <c r="X74" i="1"/>
  <c r="AF75" i="1"/>
  <c r="AF74" i="1"/>
  <c r="AO75" i="1"/>
  <c r="AO74" i="1"/>
  <c r="AW75" i="1"/>
  <c r="AW74" i="1"/>
  <c r="BE75" i="1"/>
  <c r="BE74" i="1"/>
  <c r="AR75" i="1"/>
  <c r="AR74" i="1"/>
  <c r="I75" i="1"/>
  <c r="I74" i="1"/>
  <c r="Q75" i="1"/>
  <c r="Q74" i="1"/>
  <c r="Y75" i="1"/>
  <c r="Y74" i="1"/>
  <c r="AG75" i="1"/>
  <c r="AG74" i="1"/>
  <c r="AP75" i="1"/>
  <c r="AP74" i="1"/>
  <c r="AX75" i="1"/>
  <c r="AX74" i="1"/>
  <c r="BF75" i="1"/>
  <c r="BF74" i="1"/>
  <c r="E75" i="1"/>
  <c r="F2" i="1"/>
  <c r="F47" i="1" s="1"/>
  <c r="G5" i="1"/>
  <c r="G3" i="1"/>
  <c r="G4" i="1" s="1"/>
  <c r="F4" i="1"/>
  <c r="F1" i="1"/>
  <c r="E12" i="6" l="1"/>
  <c r="E15" i="6" s="1"/>
  <c r="E34" i="1"/>
  <c r="AJ25" i="6"/>
  <c r="AK27" i="6"/>
  <c r="BI27" i="6" s="1"/>
  <c r="J11" i="7" s="1"/>
  <c r="BI25" i="6"/>
  <c r="AK21" i="6"/>
  <c r="BI21" i="6" s="1"/>
  <c r="J12" i="7" s="1"/>
  <c r="BI19" i="6"/>
  <c r="AJ19" i="6"/>
  <c r="E68" i="1"/>
  <c r="AJ68" i="1" s="1"/>
  <c r="E47" i="1"/>
  <c r="N4" i="6"/>
  <c r="N1" i="6"/>
  <c r="O3" i="6"/>
  <c r="O5" i="6"/>
  <c r="N2" i="6"/>
  <c r="BJ44" i="1"/>
  <c r="E27" i="6"/>
  <c r="AJ27" i="6" s="1"/>
  <c r="I11" i="7" s="1"/>
  <c r="E21" i="6"/>
  <c r="AJ21" i="6" s="1"/>
  <c r="I12" i="7" s="1"/>
  <c r="BI75" i="1"/>
  <c r="AJ74" i="1"/>
  <c r="BI74" i="1"/>
  <c r="BI73" i="1"/>
  <c r="AJ75" i="1"/>
  <c r="I35" i="7" s="1"/>
  <c r="O35" i="7" s="1"/>
  <c r="X77" i="1"/>
  <c r="AR77" i="1"/>
  <c r="H5" i="1"/>
  <c r="AT77" i="1"/>
  <c r="F22" i="1"/>
  <c r="AV77" i="1"/>
  <c r="AE77" i="1"/>
  <c r="F77" i="1"/>
  <c r="G2" i="1"/>
  <c r="G27" i="1" s="1"/>
  <c r="G1" i="1"/>
  <c r="H3" i="1"/>
  <c r="BB77" i="1"/>
  <c r="BD77" i="1"/>
  <c r="Q77" i="1"/>
  <c r="BF77" i="1"/>
  <c r="BE77" i="1"/>
  <c r="AN77" i="1"/>
  <c r="AZ77" i="1"/>
  <c r="N77" i="1"/>
  <c r="G28" i="1" l="1"/>
  <c r="G39" i="6" s="1"/>
  <c r="G45" i="1"/>
  <c r="O11" i="7"/>
  <c r="F12" i="6"/>
  <c r="F34" i="1"/>
  <c r="BJ25" i="6"/>
  <c r="BJ19" i="6"/>
  <c r="O12" i="7"/>
  <c r="BJ68" i="1"/>
  <c r="I41" i="7"/>
  <c r="O41" i="7" s="1"/>
  <c r="E52" i="6"/>
  <c r="E54" i="6" s="1"/>
  <c r="BJ21" i="6"/>
  <c r="BJ27" i="6"/>
  <c r="P5" i="6"/>
  <c r="O2" i="6"/>
  <c r="O4" i="6"/>
  <c r="O1" i="6"/>
  <c r="P3" i="6"/>
  <c r="E32" i="6"/>
  <c r="BJ74" i="1"/>
  <c r="BJ75" i="1"/>
  <c r="E55" i="1"/>
  <c r="I5" i="1"/>
  <c r="I2" i="1" s="1"/>
  <c r="I27" i="1" s="1"/>
  <c r="I45" i="1" s="1"/>
  <c r="G77" i="1"/>
  <c r="AI77" i="1"/>
  <c r="AG77" i="1"/>
  <c r="AX77" i="1"/>
  <c r="S77" i="1"/>
  <c r="AK77" i="1"/>
  <c r="H77" i="1"/>
  <c r="M77" i="1"/>
  <c r="K77" i="1"/>
  <c r="AC77" i="1"/>
  <c r="AU77" i="1"/>
  <c r="AL77" i="1"/>
  <c r="AP77" i="1"/>
  <c r="W77" i="1"/>
  <c r="R77" i="1"/>
  <c r="BC77" i="1"/>
  <c r="AM77" i="1"/>
  <c r="U77" i="1"/>
  <c r="Y77" i="1"/>
  <c r="H2" i="1"/>
  <c r="BH77" i="1"/>
  <c r="L77" i="1"/>
  <c r="I77" i="1"/>
  <c r="AO77" i="1"/>
  <c r="AA77" i="1"/>
  <c r="O77" i="1"/>
  <c r="AQ77" i="1"/>
  <c r="V77" i="1"/>
  <c r="AD77" i="1"/>
  <c r="BA77" i="1"/>
  <c r="AS77" i="1"/>
  <c r="AH77" i="1"/>
  <c r="J77" i="1"/>
  <c r="AY77" i="1"/>
  <c r="T77" i="1"/>
  <c r="Z77" i="1"/>
  <c r="AB77" i="1"/>
  <c r="AF77" i="1"/>
  <c r="I3" i="1"/>
  <c r="I4" i="1" s="1"/>
  <c r="AW77" i="1"/>
  <c r="BG77" i="1"/>
  <c r="G21" i="1"/>
  <c r="P77" i="1"/>
  <c r="H4" i="1"/>
  <c r="H1" i="1"/>
  <c r="F52" i="6"/>
  <c r="F54" i="6" s="1"/>
  <c r="G13" i="6" l="1"/>
  <c r="G59" i="1"/>
  <c r="H27" i="1"/>
  <c r="G41" i="6"/>
  <c r="G61" i="1"/>
  <c r="G33" i="1"/>
  <c r="G22" i="1"/>
  <c r="G34" i="1" s="1"/>
  <c r="P4" i="6"/>
  <c r="P1" i="6"/>
  <c r="Q3" i="6"/>
  <c r="Q5" i="6"/>
  <c r="P2" i="6"/>
  <c r="E34" i="6"/>
  <c r="F32" i="6"/>
  <c r="F34" i="6" s="1"/>
  <c r="F11" i="6"/>
  <c r="F15" i="6" s="1"/>
  <c r="E79" i="6"/>
  <c r="E93" i="1"/>
  <c r="BI77" i="1"/>
  <c r="F53" i="1"/>
  <c r="F55" i="1" s="1"/>
  <c r="E92" i="1"/>
  <c r="J5" i="1"/>
  <c r="K5" i="1" s="1"/>
  <c r="G47" i="1"/>
  <c r="H21" i="1"/>
  <c r="J3" i="1"/>
  <c r="J4" i="1" s="1"/>
  <c r="I1" i="1"/>
  <c r="I21" i="1"/>
  <c r="I47" i="1"/>
  <c r="F93" i="1"/>
  <c r="G52" i="6"/>
  <c r="G54" i="6" s="1"/>
  <c r="H28" i="1" l="1"/>
  <c r="H39" i="6" s="1"/>
  <c r="H45" i="1"/>
  <c r="H47" i="1" s="1"/>
  <c r="H33" i="1"/>
  <c r="I33" i="1"/>
  <c r="G12" i="6"/>
  <c r="C106" i="12"/>
  <c r="R5" i="6"/>
  <c r="Q2" i="6"/>
  <c r="Q4" i="6"/>
  <c r="Q1" i="6"/>
  <c r="R3" i="6"/>
  <c r="G32" i="6"/>
  <c r="G11" i="6"/>
  <c r="F91" i="1"/>
  <c r="F97" i="1" s="1"/>
  <c r="G53" i="1"/>
  <c r="G55" i="1" s="1"/>
  <c r="E97" i="1"/>
  <c r="J2" i="1"/>
  <c r="H22" i="1"/>
  <c r="J1" i="1"/>
  <c r="K3" i="1"/>
  <c r="K4" i="1" s="1"/>
  <c r="L5" i="1"/>
  <c r="K2" i="1"/>
  <c r="K27" i="1" s="1"/>
  <c r="K45" i="1" s="1"/>
  <c r="H52" i="6"/>
  <c r="H54" i="6" s="1"/>
  <c r="H13" i="6" l="1"/>
  <c r="H34" i="1"/>
  <c r="H93" i="1" s="1"/>
  <c r="I28" i="1"/>
  <c r="I39" i="6" s="1"/>
  <c r="I41" i="6" s="1"/>
  <c r="H59" i="1"/>
  <c r="H61" i="1" s="1"/>
  <c r="I13" i="6"/>
  <c r="I59" i="1"/>
  <c r="I61" i="1" s="1"/>
  <c r="J27" i="1"/>
  <c r="G15" i="6"/>
  <c r="G76" i="6" s="1"/>
  <c r="H41" i="6"/>
  <c r="H12" i="6"/>
  <c r="C108" i="12"/>
  <c r="O106" i="12"/>
  <c r="O108" i="12" s="1"/>
  <c r="G81" i="1"/>
  <c r="G84" i="1" s="1"/>
  <c r="G83" i="1"/>
  <c r="F79" i="6"/>
  <c r="R1" i="6"/>
  <c r="S3" i="6"/>
  <c r="R4" i="6"/>
  <c r="S5" i="6"/>
  <c r="R2" i="6"/>
  <c r="G34" i="6"/>
  <c r="H11" i="6"/>
  <c r="H32" i="6"/>
  <c r="H34" i="6" s="1"/>
  <c r="G93" i="1"/>
  <c r="I22" i="1"/>
  <c r="H53" i="1"/>
  <c r="H55" i="1" s="1"/>
  <c r="J21" i="1"/>
  <c r="G92" i="1"/>
  <c r="F87" i="1"/>
  <c r="F138" i="1" s="1"/>
  <c r="K1" i="1"/>
  <c r="L3" i="1"/>
  <c r="M3" i="1" s="1"/>
  <c r="M5" i="1"/>
  <c r="L2" i="1"/>
  <c r="L27" i="1" s="1"/>
  <c r="L45" i="1" s="1"/>
  <c r="K21" i="1"/>
  <c r="K47" i="1"/>
  <c r="I52" i="6"/>
  <c r="I54" i="6" s="1"/>
  <c r="I34" i="1" l="1"/>
  <c r="J28" i="1"/>
  <c r="J39" i="6" s="1"/>
  <c r="J45" i="1"/>
  <c r="J47" i="1" s="1"/>
  <c r="H15" i="6"/>
  <c r="H76" i="6" s="1"/>
  <c r="J33" i="1"/>
  <c r="K33" i="1"/>
  <c r="I12" i="6"/>
  <c r="G79" i="6"/>
  <c r="S2" i="6"/>
  <c r="T5" i="6"/>
  <c r="T3" i="6"/>
  <c r="S4" i="6"/>
  <c r="S1" i="6"/>
  <c r="I32" i="6"/>
  <c r="I11" i="6"/>
  <c r="G87" i="1"/>
  <c r="J22" i="1"/>
  <c r="H91" i="1"/>
  <c r="H97" i="1" s="1"/>
  <c r="H138" i="1" s="1"/>
  <c r="I53" i="1"/>
  <c r="I55" i="1" s="1"/>
  <c r="G97" i="1"/>
  <c r="L1" i="1"/>
  <c r="L4" i="1"/>
  <c r="L21" i="1"/>
  <c r="N5" i="1"/>
  <c r="M2" i="1"/>
  <c r="M27" i="1" s="1"/>
  <c r="M45" i="1" s="1"/>
  <c r="I81" i="1"/>
  <c r="I84" i="1" s="1"/>
  <c r="J52" i="6"/>
  <c r="J54" i="6" s="1"/>
  <c r="N3" i="1"/>
  <c r="M4" i="1"/>
  <c r="M1" i="1"/>
  <c r="J59" i="1" l="1"/>
  <c r="J61" i="1" s="1"/>
  <c r="K28" i="1"/>
  <c r="K39" i="6" s="1"/>
  <c r="K41" i="6" s="1"/>
  <c r="J34" i="1"/>
  <c r="J13" i="6"/>
  <c r="J41" i="6"/>
  <c r="I15" i="6"/>
  <c r="I76" i="6" s="1"/>
  <c r="L33" i="1"/>
  <c r="J12" i="6"/>
  <c r="G138" i="1"/>
  <c r="I83" i="1"/>
  <c r="H79" i="6"/>
  <c r="U3" i="6"/>
  <c r="T4" i="6"/>
  <c r="T1" i="6"/>
  <c r="U5" i="6"/>
  <c r="T2" i="6"/>
  <c r="J32" i="6"/>
  <c r="J34" i="6" s="1"/>
  <c r="J11" i="6"/>
  <c r="I34" i="6"/>
  <c r="I93" i="1"/>
  <c r="K22" i="1"/>
  <c r="J53" i="1"/>
  <c r="J55" i="1" s="1"/>
  <c r="I92" i="1"/>
  <c r="L47" i="1"/>
  <c r="M21" i="1"/>
  <c r="M47" i="1"/>
  <c r="N2" i="1"/>
  <c r="N27" i="1" s="1"/>
  <c r="N45" i="1" s="1"/>
  <c r="O5" i="1"/>
  <c r="O3" i="1"/>
  <c r="N4" i="1"/>
  <c r="N1" i="1"/>
  <c r="K34" i="1" l="1"/>
  <c r="L28" i="1"/>
  <c r="K59" i="1"/>
  <c r="K61" i="1" s="1"/>
  <c r="K13" i="6"/>
  <c r="L39" i="6"/>
  <c r="L41" i="6" s="1"/>
  <c r="L59" i="1"/>
  <c r="L61" i="1" s="1"/>
  <c r="M28" i="1"/>
  <c r="L13" i="6"/>
  <c r="J15" i="6"/>
  <c r="M33" i="1"/>
  <c r="K12" i="6"/>
  <c r="K52" i="6"/>
  <c r="K54" i="6" s="1"/>
  <c r="J66" i="6"/>
  <c r="J68" i="6" s="1"/>
  <c r="I79" i="6"/>
  <c r="V5" i="6"/>
  <c r="U2" i="6"/>
  <c r="U4" i="6"/>
  <c r="V3" i="6"/>
  <c r="U1" i="6"/>
  <c r="K32" i="6"/>
  <c r="K11" i="6"/>
  <c r="L22" i="1"/>
  <c r="L34" i="1" s="1"/>
  <c r="I87" i="1"/>
  <c r="K53" i="1"/>
  <c r="K55" i="1" s="1"/>
  <c r="I97" i="1"/>
  <c r="O2" i="1"/>
  <c r="O27" i="1" s="1"/>
  <c r="O45" i="1" s="1"/>
  <c r="P5" i="1"/>
  <c r="N47" i="1"/>
  <c r="N21" i="1"/>
  <c r="O1" i="1"/>
  <c r="O4" i="1"/>
  <c r="P3" i="1"/>
  <c r="J76" i="6" l="1"/>
  <c r="M39" i="6"/>
  <c r="M41" i="6" s="1"/>
  <c r="M59" i="1"/>
  <c r="M61" i="1" s="1"/>
  <c r="N28" i="1"/>
  <c r="M13" i="6"/>
  <c r="K15" i="6"/>
  <c r="N33" i="1"/>
  <c r="L12" i="6"/>
  <c r="K66" i="6"/>
  <c r="K68" i="6" s="1"/>
  <c r="L52" i="6"/>
  <c r="L54" i="6" s="1"/>
  <c r="L93" i="1"/>
  <c r="I138" i="1"/>
  <c r="J102" i="1"/>
  <c r="J107" i="1" s="1"/>
  <c r="J79" i="6"/>
  <c r="V4" i="6"/>
  <c r="V1" i="6"/>
  <c r="W3" i="6"/>
  <c r="V2" i="6"/>
  <c r="W5" i="6"/>
  <c r="M22" i="1"/>
  <c r="M34" i="1" s="1"/>
  <c r="L32" i="6"/>
  <c r="L34" i="6" s="1"/>
  <c r="L11" i="6"/>
  <c r="K34" i="6"/>
  <c r="L53" i="1"/>
  <c r="L55" i="1" s="1"/>
  <c r="O47" i="1"/>
  <c r="O21" i="1"/>
  <c r="Q5" i="1"/>
  <c r="P2" i="1"/>
  <c r="P27" i="1" s="1"/>
  <c r="P45" i="1" s="1"/>
  <c r="Q3" i="1"/>
  <c r="P1" i="1"/>
  <c r="P4" i="1"/>
  <c r="K76" i="6" l="1"/>
  <c r="N39" i="6"/>
  <c r="N41" i="6" s="1"/>
  <c r="N59" i="1"/>
  <c r="N61" i="1" s="1"/>
  <c r="N13" i="6"/>
  <c r="O28" i="1"/>
  <c r="L15" i="6"/>
  <c r="L76" i="6" s="1"/>
  <c r="O33" i="1"/>
  <c r="M12" i="6"/>
  <c r="M52" i="6"/>
  <c r="M54" i="6" s="1"/>
  <c r="J106" i="1"/>
  <c r="J109" i="1"/>
  <c r="J105" i="1"/>
  <c r="K79" i="6"/>
  <c r="N22" i="1"/>
  <c r="N34" i="1" s="1"/>
  <c r="X5" i="6"/>
  <c r="W2" i="6"/>
  <c r="X3" i="6"/>
  <c r="W4" i="6"/>
  <c r="W1" i="6"/>
  <c r="M32" i="6"/>
  <c r="M34" i="6" s="1"/>
  <c r="M11" i="6"/>
  <c r="M53" i="1"/>
  <c r="M55" i="1" s="1"/>
  <c r="K102" i="1"/>
  <c r="K106" i="1" s="1"/>
  <c r="L92" i="1"/>
  <c r="R5" i="1"/>
  <c r="Q2" i="1"/>
  <c r="P21" i="1"/>
  <c r="P47" i="1"/>
  <c r="R3" i="1"/>
  <c r="Q1" i="1"/>
  <c r="Q4" i="1"/>
  <c r="O39" i="6" l="1"/>
  <c r="O41" i="6" s="1"/>
  <c r="O13" i="6"/>
  <c r="P28" i="1"/>
  <c r="O59" i="1"/>
  <c r="O61" i="1" s="1"/>
  <c r="M15" i="6"/>
  <c r="P33" i="1"/>
  <c r="N12" i="6"/>
  <c r="M81" i="1"/>
  <c r="M84" i="1" s="1"/>
  <c r="N52" i="6"/>
  <c r="N54" i="6" s="1"/>
  <c r="M72" i="6"/>
  <c r="K105" i="1"/>
  <c r="M83" i="1"/>
  <c r="K109" i="1"/>
  <c r="M93" i="1"/>
  <c r="L79" i="6"/>
  <c r="O22" i="1"/>
  <c r="O34" i="1" s="1"/>
  <c r="X4" i="6"/>
  <c r="X1" i="6"/>
  <c r="Y3" i="6"/>
  <c r="Y5" i="6"/>
  <c r="X2" i="6"/>
  <c r="N32" i="6"/>
  <c r="N34" i="6" s="1"/>
  <c r="N11" i="6"/>
  <c r="M91" i="1"/>
  <c r="N53" i="1"/>
  <c r="N55" i="1" s="1"/>
  <c r="J114" i="1"/>
  <c r="J138" i="1" s="1"/>
  <c r="AA114" i="1"/>
  <c r="O114" i="1"/>
  <c r="AK114" i="1"/>
  <c r="AH114" i="1"/>
  <c r="AL114" i="1"/>
  <c r="AC114" i="1"/>
  <c r="P114" i="1"/>
  <c r="AV114" i="1"/>
  <c r="AY114" i="1"/>
  <c r="AP114" i="1"/>
  <c r="AD114" i="1"/>
  <c r="BE114" i="1"/>
  <c r="N114" i="1"/>
  <c r="BB114" i="1"/>
  <c r="AQ114" i="1"/>
  <c r="U114" i="1"/>
  <c r="AZ114" i="1"/>
  <c r="BD114" i="1"/>
  <c r="AX114" i="1"/>
  <c r="BF114" i="1"/>
  <c r="Z114" i="1"/>
  <c r="T114" i="1"/>
  <c r="AB114" i="1"/>
  <c r="S114" i="1"/>
  <c r="BC114" i="1"/>
  <c r="AI114" i="1"/>
  <c r="AO114" i="1"/>
  <c r="AG114" i="1"/>
  <c r="AW114" i="1"/>
  <c r="M114" i="1"/>
  <c r="L114" i="1"/>
  <c r="L97" i="1"/>
  <c r="L138" i="1" s="1"/>
  <c r="S5" i="1"/>
  <c r="R2" i="1"/>
  <c r="Q47" i="1"/>
  <c r="R4" i="1"/>
  <c r="R1" i="1"/>
  <c r="S3" i="1"/>
  <c r="P39" i="6" l="1"/>
  <c r="P41" i="6" s="1"/>
  <c r="Q28" i="1"/>
  <c r="P13" i="6"/>
  <c r="P59" i="1"/>
  <c r="P61" i="1" s="1"/>
  <c r="N15" i="6"/>
  <c r="N76" i="6" s="1"/>
  <c r="O12" i="6"/>
  <c r="M74" i="6"/>
  <c r="M76" i="6" s="1"/>
  <c r="O52" i="6"/>
  <c r="O54" i="6" s="1"/>
  <c r="O93" i="1"/>
  <c r="N83" i="1"/>
  <c r="N81" i="1"/>
  <c r="N84" i="1" s="1"/>
  <c r="M97" i="1"/>
  <c r="M79" i="6"/>
  <c r="P22" i="1"/>
  <c r="P34" i="1" s="1"/>
  <c r="Y1" i="6"/>
  <c r="Z3" i="6"/>
  <c r="Y4" i="6"/>
  <c r="Z5" i="6"/>
  <c r="Y2" i="6"/>
  <c r="O32" i="6"/>
  <c r="O34" i="6" s="1"/>
  <c r="O11" i="6"/>
  <c r="N93" i="1"/>
  <c r="O53" i="1"/>
  <c r="O55" i="1" s="1"/>
  <c r="K114" i="1"/>
  <c r="K138" i="1" s="1"/>
  <c r="N92" i="1"/>
  <c r="M87" i="1"/>
  <c r="R47" i="1"/>
  <c r="T5" i="1"/>
  <c r="S2" i="1"/>
  <c r="S27" i="1" s="1"/>
  <c r="S45" i="1" s="1"/>
  <c r="S4" i="1"/>
  <c r="S1" i="1"/>
  <c r="T3" i="1"/>
  <c r="Q39" i="6" l="1"/>
  <c r="Q41" i="6" s="1"/>
  <c r="R28" i="1"/>
  <c r="Q13" i="6"/>
  <c r="Q59" i="1"/>
  <c r="Q61" i="1" s="1"/>
  <c r="O15" i="6"/>
  <c r="O76" i="6" s="1"/>
  <c r="P12" i="6"/>
  <c r="P52" i="6"/>
  <c r="P54" i="6" s="1"/>
  <c r="M138" i="1"/>
  <c r="N79" i="6"/>
  <c r="Q22" i="1"/>
  <c r="Q34" i="1" s="1"/>
  <c r="Z1" i="6"/>
  <c r="AA3" i="6"/>
  <c r="Z4" i="6"/>
  <c r="Z2" i="6"/>
  <c r="AA5" i="6"/>
  <c r="P11" i="6"/>
  <c r="P32" i="6"/>
  <c r="P34" i="6" s="1"/>
  <c r="N87" i="1"/>
  <c r="O91" i="1"/>
  <c r="O97" i="1" s="1"/>
  <c r="P53" i="1"/>
  <c r="P55" i="1" s="1"/>
  <c r="N97" i="1"/>
  <c r="S21" i="1"/>
  <c r="S47" i="1"/>
  <c r="T2" i="1"/>
  <c r="T27" i="1" s="1"/>
  <c r="T45" i="1" s="1"/>
  <c r="U5" i="1"/>
  <c r="T4" i="1"/>
  <c r="T1" i="1"/>
  <c r="U3" i="1"/>
  <c r="Q52" i="6"/>
  <c r="Q54" i="6" s="1"/>
  <c r="R39" i="6" l="1"/>
  <c r="R41" i="6" s="1"/>
  <c r="S28" i="1"/>
  <c r="R13" i="6"/>
  <c r="R59" i="1"/>
  <c r="R61" i="1" s="1"/>
  <c r="P15" i="6"/>
  <c r="P76" i="6" s="1"/>
  <c r="S33" i="1"/>
  <c r="Q12" i="6"/>
  <c r="N138" i="1"/>
  <c r="P83" i="1"/>
  <c r="P81" i="1"/>
  <c r="P84" i="1" s="1"/>
  <c r="O79" i="6"/>
  <c r="R22" i="1"/>
  <c r="R34" i="1" s="1"/>
  <c r="AB3" i="6"/>
  <c r="AA4" i="6"/>
  <c r="AA1" i="6"/>
  <c r="AA2" i="6"/>
  <c r="AB5" i="6"/>
  <c r="Q32" i="6"/>
  <c r="Q34" i="6" s="1"/>
  <c r="Q11" i="6"/>
  <c r="P93" i="1"/>
  <c r="Q53" i="1"/>
  <c r="Q55" i="1" s="1"/>
  <c r="P92" i="1"/>
  <c r="O87" i="1"/>
  <c r="O138" i="1" s="1"/>
  <c r="U2" i="1"/>
  <c r="U27" i="1" s="1"/>
  <c r="U45" i="1" s="1"/>
  <c r="V5" i="1"/>
  <c r="T47" i="1"/>
  <c r="T21" i="1"/>
  <c r="R52" i="6"/>
  <c r="R54" i="6" s="1"/>
  <c r="U1" i="1"/>
  <c r="U4" i="1"/>
  <c r="V3" i="1"/>
  <c r="S39" i="6" l="1"/>
  <c r="S41" i="6" s="1"/>
  <c r="S13" i="6"/>
  <c r="T28" i="1"/>
  <c r="S59" i="1"/>
  <c r="S61" i="1" s="1"/>
  <c r="Q15" i="6"/>
  <c r="T33" i="1"/>
  <c r="R12" i="6"/>
  <c r="Q66" i="6"/>
  <c r="Q68" i="6" s="1"/>
  <c r="Q76" i="6" s="1"/>
  <c r="P79" i="6"/>
  <c r="S22" i="1"/>
  <c r="S34" i="1" s="1"/>
  <c r="AC5" i="6"/>
  <c r="AB2" i="6"/>
  <c r="AC3" i="6"/>
  <c r="AB4" i="6"/>
  <c r="AB1" i="6"/>
  <c r="R32" i="6"/>
  <c r="R34" i="6" s="1"/>
  <c r="R11" i="6"/>
  <c r="P87" i="1"/>
  <c r="R53" i="1"/>
  <c r="R55" i="1" s="1"/>
  <c r="P97" i="1"/>
  <c r="U21" i="1"/>
  <c r="U47" i="1"/>
  <c r="V2" i="1"/>
  <c r="W5" i="1"/>
  <c r="S52" i="6"/>
  <c r="S54" i="6" s="1"/>
  <c r="W3" i="1"/>
  <c r="V1" i="1"/>
  <c r="V4" i="1"/>
  <c r="T39" i="6" l="1"/>
  <c r="T41" i="6" s="1"/>
  <c r="T13" i="6"/>
  <c r="U28" i="1"/>
  <c r="T59" i="1"/>
  <c r="T61" i="1" s="1"/>
  <c r="R15" i="6"/>
  <c r="U33" i="1"/>
  <c r="S12" i="6"/>
  <c r="Q102" i="1"/>
  <c r="Q108" i="1" s="1"/>
  <c r="P138" i="1"/>
  <c r="R66" i="6"/>
  <c r="R68" i="6" s="1"/>
  <c r="Q79" i="6"/>
  <c r="T22" i="1"/>
  <c r="T34" i="1" s="1"/>
  <c r="AC4" i="6"/>
  <c r="AC1" i="6"/>
  <c r="AD3" i="6"/>
  <c r="AD5" i="6"/>
  <c r="AC2" i="6"/>
  <c r="S32" i="6"/>
  <c r="S34" i="6" s="1"/>
  <c r="S11" i="6"/>
  <c r="S53" i="1"/>
  <c r="S55" i="1" s="1"/>
  <c r="W2" i="1"/>
  <c r="W27" i="1" s="1"/>
  <c r="W45" i="1" s="1"/>
  <c r="X5" i="1"/>
  <c r="V47" i="1"/>
  <c r="X3" i="1"/>
  <c r="W1" i="1"/>
  <c r="W4" i="1"/>
  <c r="T52" i="6"/>
  <c r="T54" i="6" s="1"/>
  <c r="S81" i="1"/>
  <c r="S84" i="1" s="1"/>
  <c r="R76" i="6" l="1"/>
  <c r="U39" i="6"/>
  <c r="U41" i="6" s="1"/>
  <c r="U59" i="1"/>
  <c r="U61" i="1" s="1"/>
  <c r="V28" i="1"/>
  <c r="U13" i="6"/>
  <c r="S15" i="6"/>
  <c r="S76" i="6" s="1"/>
  <c r="T12" i="6"/>
  <c r="Q106" i="1"/>
  <c r="R108" i="1"/>
  <c r="AJ108" i="1" s="1"/>
  <c r="Q107" i="1"/>
  <c r="R105" i="1"/>
  <c r="R106" i="1"/>
  <c r="R102" i="1"/>
  <c r="R107" i="1" s="1"/>
  <c r="Q105" i="1"/>
  <c r="S83" i="1"/>
  <c r="R79" i="6"/>
  <c r="U22" i="1"/>
  <c r="U34" i="1" s="1"/>
  <c r="AD4" i="6"/>
  <c r="AD1" i="6"/>
  <c r="AE3" i="6"/>
  <c r="AE5" i="6"/>
  <c r="AD2" i="6"/>
  <c r="T32" i="6"/>
  <c r="T34" i="6" s="1"/>
  <c r="T11" i="6"/>
  <c r="S93" i="1"/>
  <c r="T53" i="1"/>
  <c r="T55" i="1" s="1"/>
  <c r="S92" i="1"/>
  <c r="W47" i="1"/>
  <c r="W21" i="1"/>
  <c r="X2" i="1"/>
  <c r="X27" i="1" s="1"/>
  <c r="X45" i="1" s="1"/>
  <c r="Y5" i="1"/>
  <c r="X4" i="1"/>
  <c r="X1" i="1"/>
  <c r="Y3" i="1"/>
  <c r="U52" i="6"/>
  <c r="U54" i="6" s="1"/>
  <c r="T81" i="1"/>
  <c r="T84" i="1" s="1"/>
  <c r="V39" i="6" l="1"/>
  <c r="V41" i="6" s="1"/>
  <c r="V13" i="6"/>
  <c r="W28" i="1"/>
  <c r="V59" i="1"/>
  <c r="V61" i="1" s="1"/>
  <c r="T15" i="6"/>
  <c r="T76" i="6" s="1"/>
  <c r="W33" i="1"/>
  <c r="U12" i="6"/>
  <c r="T83" i="1"/>
  <c r="R109" i="1"/>
  <c r="S79" i="6"/>
  <c r="V22" i="1"/>
  <c r="V34" i="1" s="1"/>
  <c r="AF5" i="6"/>
  <c r="AE2" i="6"/>
  <c r="AE4" i="6"/>
  <c r="AE1" i="6"/>
  <c r="AF3" i="6"/>
  <c r="U32" i="6"/>
  <c r="U34" i="6" s="1"/>
  <c r="U11" i="6"/>
  <c r="T93" i="1"/>
  <c r="S87" i="1"/>
  <c r="T91" i="1"/>
  <c r="U53" i="1"/>
  <c r="U55" i="1" s="1"/>
  <c r="S97" i="1"/>
  <c r="X21" i="1"/>
  <c r="X47" i="1"/>
  <c r="Z5" i="1"/>
  <c r="Y2" i="1"/>
  <c r="Y4" i="1"/>
  <c r="Y1" i="1"/>
  <c r="Z3" i="1"/>
  <c r="U81" i="1"/>
  <c r="U84" i="1" s="1"/>
  <c r="V52" i="6"/>
  <c r="V54" i="6" s="1"/>
  <c r="W39" i="6" l="1"/>
  <c r="W41" i="6" s="1"/>
  <c r="W13" i="6"/>
  <c r="W59" i="1"/>
  <c r="W61" i="1" s="1"/>
  <c r="X28" i="1"/>
  <c r="U15" i="6"/>
  <c r="U76" i="6" s="1"/>
  <c r="X33" i="1"/>
  <c r="V12" i="6"/>
  <c r="S138" i="1"/>
  <c r="U83" i="1"/>
  <c r="T79" i="6"/>
  <c r="W22" i="1"/>
  <c r="W34" i="1" s="1"/>
  <c r="AF4" i="6"/>
  <c r="AF1" i="6"/>
  <c r="AG3" i="6"/>
  <c r="AG5" i="6"/>
  <c r="AF2" i="6"/>
  <c r="V32" i="6"/>
  <c r="V34" i="6" s="1"/>
  <c r="V11" i="6"/>
  <c r="T97" i="1"/>
  <c r="U93" i="1"/>
  <c r="V53" i="1"/>
  <c r="V55" i="1" s="1"/>
  <c r="R114" i="1"/>
  <c r="R138" i="1" s="1"/>
  <c r="U92" i="1"/>
  <c r="T87" i="1"/>
  <c r="Y47" i="1"/>
  <c r="Z2" i="1"/>
  <c r="Z27" i="1" s="1"/>
  <c r="Z45" i="1" s="1"/>
  <c r="AA5" i="1"/>
  <c r="AA3" i="1"/>
  <c r="Z1" i="1"/>
  <c r="Z4" i="1"/>
  <c r="W52" i="6"/>
  <c r="W54" i="6" s="1"/>
  <c r="AR66" i="6"/>
  <c r="X39" i="6" l="1"/>
  <c r="X41" i="6" s="1"/>
  <c r="X59" i="1"/>
  <c r="X61" i="1" s="1"/>
  <c r="X13" i="6"/>
  <c r="Y28" i="1"/>
  <c r="V15" i="6"/>
  <c r="V79" i="6" s="1"/>
  <c r="W12" i="6"/>
  <c r="V66" i="6"/>
  <c r="V68" i="6" s="1"/>
  <c r="W66" i="6"/>
  <c r="X66" i="6"/>
  <c r="Y66" i="6"/>
  <c r="T138" i="1"/>
  <c r="U79" i="6"/>
  <c r="X22" i="1"/>
  <c r="X34" i="1" s="1"/>
  <c r="AG4" i="6"/>
  <c r="AG1" i="6"/>
  <c r="AH3" i="6"/>
  <c r="AH5" i="6"/>
  <c r="AG2" i="6"/>
  <c r="W32" i="6"/>
  <c r="W34" i="6" s="1"/>
  <c r="W11" i="6"/>
  <c r="V93" i="1"/>
  <c r="U87" i="1"/>
  <c r="V91" i="1"/>
  <c r="W53" i="1"/>
  <c r="W55" i="1" s="1"/>
  <c r="U97" i="1"/>
  <c r="Z47" i="1"/>
  <c r="Z21" i="1"/>
  <c r="AB5" i="1"/>
  <c r="AA2" i="1"/>
  <c r="AA27" i="1" s="1"/>
  <c r="AA45" i="1" s="1"/>
  <c r="X52" i="6"/>
  <c r="X54" i="6" s="1"/>
  <c r="AA4" i="1"/>
  <c r="AA1" i="1"/>
  <c r="AB3" i="1"/>
  <c r="V76" i="6" l="1"/>
  <c r="Y39" i="6"/>
  <c r="Y41" i="6" s="1"/>
  <c r="Y59" i="1"/>
  <c r="Y61" i="1" s="1"/>
  <c r="Z28" i="1"/>
  <c r="Y13" i="6"/>
  <c r="W15" i="6"/>
  <c r="Z33" i="1"/>
  <c r="X12" i="6"/>
  <c r="U138" i="1"/>
  <c r="W68" i="6"/>
  <c r="W81" i="1"/>
  <c r="Y22" i="1"/>
  <c r="Y34" i="1" s="1"/>
  <c r="AH1" i="6"/>
  <c r="AI3" i="6"/>
  <c r="AH4" i="6"/>
  <c r="AI5" i="6"/>
  <c r="AH2" i="6"/>
  <c r="V97" i="1"/>
  <c r="V102" i="1"/>
  <c r="X11" i="6"/>
  <c r="X32" i="6"/>
  <c r="X34" i="6" s="1"/>
  <c r="W93" i="1"/>
  <c r="X53" i="1"/>
  <c r="X55" i="1" s="1"/>
  <c r="W92" i="1"/>
  <c r="V87" i="1"/>
  <c r="AA47" i="1"/>
  <c r="AA21" i="1"/>
  <c r="AB2" i="1"/>
  <c r="AB27" i="1" s="1"/>
  <c r="AB45" i="1" s="1"/>
  <c r="AC5" i="1"/>
  <c r="Y52" i="6"/>
  <c r="Y54" i="6" s="1"/>
  <c r="AB4" i="1"/>
  <c r="AC3" i="1"/>
  <c r="AB1" i="1"/>
  <c r="W76" i="6" l="1"/>
  <c r="Z39" i="6"/>
  <c r="Z41" i="6" s="1"/>
  <c r="Z59" i="1"/>
  <c r="Z61" i="1" s="1"/>
  <c r="AA28" i="1"/>
  <c r="Z13" i="6"/>
  <c r="X15" i="6"/>
  <c r="AA33" i="1"/>
  <c r="Y12" i="6"/>
  <c r="X68" i="6"/>
  <c r="AR105" i="1"/>
  <c r="AU106" i="1"/>
  <c r="AT105" i="1"/>
  <c r="AT106" i="1"/>
  <c r="AU105" i="1"/>
  <c r="AS105" i="1"/>
  <c r="AS106" i="1"/>
  <c r="AR106" i="1"/>
  <c r="V105" i="1"/>
  <c r="W105" i="1"/>
  <c r="X105" i="1"/>
  <c r="Y105" i="1"/>
  <c r="V106" i="1"/>
  <c r="W106" i="1"/>
  <c r="X106" i="1"/>
  <c r="Y106" i="1"/>
  <c r="V109" i="1"/>
  <c r="W102" i="1"/>
  <c r="W109" i="1" s="1"/>
  <c r="W79" i="6"/>
  <c r="Z22" i="1"/>
  <c r="Z34" i="1" s="1"/>
  <c r="AI2" i="6"/>
  <c r="AK3" i="6"/>
  <c r="AI4" i="6"/>
  <c r="AI1" i="6"/>
  <c r="Y32" i="6"/>
  <c r="Y34" i="6" s="1"/>
  <c r="Y11" i="6"/>
  <c r="W87" i="1"/>
  <c r="Y53" i="1"/>
  <c r="Y55" i="1" s="1"/>
  <c r="W97" i="1"/>
  <c r="X102" i="1"/>
  <c r="X109" i="1" s="1"/>
  <c r="AC2" i="1"/>
  <c r="AC27" i="1" s="1"/>
  <c r="AC45" i="1" s="1"/>
  <c r="AD5" i="1"/>
  <c r="AB47" i="1"/>
  <c r="AB21" i="1"/>
  <c r="Z52" i="6"/>
  <c r="Z54" i="6" s="1"/>
  <c r="AD3" i="1"/>
  <c r="AC4" i="1"/>
  <c r="AC1" i="1"/>
  <c r="X76" i="6" l="1"/>
  <c r="AA39" i="6"/>
  <c r="AA41" i="6" s="1"/>
  <c r="AA59" i="1"/>
  <c r="AA61" i="1" s="1"/>
  <c r="AB28" i="1"/>
  <c r="AA13" i="6"/>
  <c r="Y15" i="6"/>
  <c r="AB33" i="1"/>
  <c r="Z12" i="6"/>
  <c r="Y68" i="6"/>
  <c r="AU114" i="1"/>
  <c r="X79" i="6"/>
  <c r="AA22" i="1"/>
  <c r="AA34" i="1" s="1"/>
  <c r="AL3" i="6"/>
  <c r="AK4" i="6"/>
  <c r="AK1" i="6"/>
  <c r="AL5" i="6"/>
  <c r="V114" i="1"/>
  <c r="V138" i="1" s="1"/>
  <c r="Z32" i="6"/>
  <c r="Z34" i="6" s="1"/>
  <c r="Z11" i="6"/>
  <c r="Z53" i="1"/>
  <c r="Z55" i="1" s="1"/>
  <c r="Y102" i="1"/>
  <c r="Y109" i="1" s="1"/>
  <c r="AE5" i="1"/>
  <c r="AD2" i="1"/>
  <c r="AD27" i="1" s="1"/>
  <c r="AD45" i="1" s="1"/>
  <c r="AC21" i="1"/>
  <c r="AC47" i="1"/>
  <c r="AD4" i="1"/>
  <c r="AD1" i="1"/>
  <c r="AE3" i="1"/>
  <c r="Z93" i="1"/>
  <c r="AA52" i="6"/>
  <c r="AA54" i="6" s="1"/>
  <c r="Y76" i="6" l="1"/>
  <c r="AB39" i="6"/>
  <c r="AB41" i="6" s="1"/>
  <c r="AC28" i="1"/>
  <c r="AB13" i="6"/>
  <c r="AB59" i="1"/>
  <c r="AB61" i="1" s="1"/>
  <c r="Z15" i="6"/>
  <c r="Z76" i="6" s="1"/>
  <c r="AC33" i="1"/>
  <c r="AA12" i="6"/>
  <c r="Y79" i="6"/>
  <c r="AB22" i="1"/>
  <c r="AB34" i="1" s="1"/>
  <c r="AM5" i="6"/>
  <c r="AL2" i="6"/>
  <c r="AM3" i="6"/>
  <c r="AL4" i="6"/>
  <c r="AL1" i="6"/>
  <c r="AA32" i="6"/>
  <c r="AA34" i="6" s="1"/>
  <c r="AA11" i="6"/>
  <c r="AA53" i="1"/>
  <c r="AA55" i="1" s="1"/>
  <c r="W114" i="1"/>
  <c r="W138" i="1" s="1"/>
  <c r="Z92" i="1"/>
  <c r="AD47" i="1"/>
  <c r="AD21" i="1"/>
  <c r="AE2" i="1"/>
  <c r="AF5" i="1"/>
  <c r="AA93" i="1"/>
  <c r="AB52" i="6"/>
  <c r="AB54" i="6" s="1"/>
  <c r="AF3" i="1"/>
  <c r="AE4" i="1"/>
  <c r="AE1" i="1"/>
  <c r="AC39" i="6" l="1"/>
  <c r="AC41" i="6" s="1"/>
  <c r="AC59" i="1"/>
  <c r="AC61" i="1" s="1"/>
  <c r="AC13" i="6"/>
  <c r="AD28" i="1"/>
  <c r="AA15" i="6"/>
  <c r="AA76" i="6" s="1"/>
  <c r="AD33" i="1"/>
  <c r="AB12" i="6"/>
  <c r="Z79" i="6"/>
  <c r="AC22" i="1"/>
  <c r="AC34" i="1" s="1"/>
  <c r="AN3" i="6"/>
  <c r="AM4" i="6"/>
  <c r="AM1" i="6"/>
  <c r="AM2" i="6"/>
  <c r="AN5" i="6"/>
  <c r="AB32" i="6"/>
  <c r="AB34" i="6" s="1"/>
  <c r="AB11" i="6"/>
  <c r="AA91" i="1"/>
  <c r="AA97" i="1" s="1"/>
  <c r="AB53" i="1"/>
  <c r="AB55" i="1" s="1"/>
  <c r="X114" i="1"/>
  <c r="X138" i="1" s="1"/>
  <c r="Z97" i="1"/>
  <c r="Z138" i="1" s="1"/>
  <c r="AF2" i="1"/>
  <c r="AF27" i="1" s="1"/>
  <c r="AF45" i="1" s="1"/>
  <c r="AG5" i="1"/>
  <c r="AE47" i="1"/>
  <c r="AC52" i="6"/>
  <c r="AC54" i="6" s="1"/>
  <c r="AB83" i="1"/>
  <c r="AF4" i="1"/>
  <c r="AG3" i="1"/>
  <c r="AF1" i="1"/>
  <c r="AD39" i="6" l="1"/>
  <c r="AD41" i="6" s="1"/>
  <c r="AE28" i="1"/>
  <c r="AD13" i="6"/>
  <c r="AD59" i="1"/>
  <c r="AD61" i="1" s="1"/>
  <c r="AB15" i="6"/>
  <c r="AB76" i="6" s="1"/>
  <c r="AC12" i="6"/>
  <c r="AA79" i="6"/>
  <c r="AD22" i="1"/>
  <c r="AD34" i="1" s="1"/>
  <c r="AO5" i="6"/>
  <c r="AN2" i="6"/>
  <c r="AO3" i="6"/>
  <c r="AN4" i="6"/>
  <c r="AN1" i="6"/>
  <c r="AC32" i="6"/>
  <c r="AC34" i="6" s="1"/>
  <c r="AC11" i="6"/>
  <c r="AB93" i="1"/>
  <c r="AB84" i="1"/>
  <c r="AC53" i="1"/>
  <c r="AC55" i="1" s="1"/>
  <c r="Y114" i="1"/>
  <c r="Y138" i="1" s="1"/>
  <c r="AB92" i="1"/>
  <c r="AA87" i="1"/>
  <c r="AA138" i="1" s="1"/>
  <c r="AF21" i="1"/>
  <c r="AF47" i="1"/>
  <c r="AG2" i="1"/>
  <c r="AH5" i="1"/>
  <c r="AG4" i="1"/>
  <c r="AH3" i="1"/>
  <c r="AG1" i="1"/>
  <c r="AD52" i="6"/>
  <c r="AD54" i="6" s="1"/>
  <c r="AC93" i="1"/>
  <c r="AE39" i="6" l="1"/>
  <c r="AE41" i="6" s="1"/>
  <c r="AE59" i="1"/>
  <c r="AE61" i="1" s="1"/>
  <c r="AF28" i="1"/>
  <c r="AE13" i="6"/>
  <c r="AC15" i="6"/>
  <c r="AC76" i="6" s="1"/>
  <c r="AF33" i="1"/>
  <c r="AD12" i="6"/>
  <c r="AB79" i="6"/>
  <c r="AE22" i="1"/>
  <c r="AE34" i="1" s="1"/>
  <c r="AO4" i="6"/>
  <c r="AO1" i="6"/>
  <c r="AP3" i="6"/>
  <c r="AP5" i="6"/>
  <c r="AO2" i="6"/>
  <c r="AD32" i="6"/>
  <c r="AD34" i="6" s="1"/>
  <c r="AD11" i="6"/>
  <c r="AB87" i="1"/>
  <c r="AC91" i="1"/>
  <c r="AC97" i="1" s="1"/>
  <c r="AD53" i="1"/>
  <c r="AD55" i="1" s="1"/>
  <c r="AB97" i="1"/>
  <c r="AH2" i="1"/>
  <c r="AH27" i="1" s="1"/>
  <c r="AH45" i="1" s="1"/>
  <c r="AI5" i="1"/>
  <c r="AG47" i="1"/>
  <c r="AI3" i="1"/>
  <c r="AH4" i="1"/>
  <c r="AH1" i="1"/>
  <c r="AE52" i="6"/>
  <c r="AE54" i="6" s="1"/>
  <c r="AD83" i="1"/>
  <c r="AF39" i="6" l="1"/>
  <c r="AF41" i="6" s="1"/>
  <c r="AF59" i="1"/>
  <c r="AF61" i="1" s="1"/>
  <c r="AG28" i="1"/>
  <c r="AF13" i="6"/>
  <c r="AD15" i="6"/>
  <c r="AD76" i="6" s="1"/>
  <c r="AE12" i="6"/>
  <c r="AB138" i="1"/>
  <c r="AC79" i="6"/>
  <c r="AF22" i="1"/>
  <c r="AF34" i="1" s="1"/>
  <c r="AQ5" i="6"/>
  <c r="AP2" i="6"/>
  <c r="AP1" i="6"/>
  <c r="AQ3" i="6"/>
  <c r="AP4" i="6"/>
  <c r="AE32" i="6"/>
  <c r="AE34" i="6" s="1"/>
  <c r="AE11" i="6"/>
  <c r="AD93" i="1"/>
  <c r="AD84" i="1"/>
  <c r="AE53" i="1"/>
  <c r="AE55" i="1" s="1"/>
  <c r="AD92" i="1"/>
  <c r="AC87" i="1"/>
  <c r="AC138" i="1" s="1"/>
  <c r="AH47" i="1"/>
  <c r="AH21" i="1"/>
  <c r="AI2" i="1"/>
  <c r="AI27" i="1" s="1"/>
  <c r="AI45" i="1" s="1"/>
  <c r="AE66" i="6"/>
  <c r="AE102" i="1" s="1"/>
  <c r="AF52" i="6"/>
  <c r="AF54" i="6" s="1"/>
  <c r="AI1" i="1"/>
  <c r="AK3" i="1"/>
  <c r="AI4" i="1"/>
  <c r="AG39" i="6" l="1"/>
  <c r="AG41" i="6" s="1"/>
  <c r="AG13" i="6"/>
  <c r="AG59" i="1"/>
  <c r="AG61" i="1" s="1"/>
  <c r="AH28" i="1"/>
  <c r="AE15" i="6"/>
  <c r="AH33" i="1"/>
  <c r="AF12" i="6"/>
  <c r="AE107" i="1"/>
  <c r="AJ107" i="1" s="1"/>
  <c r="AE105" i="1"/>
  <c r="AE106" i="1"/>
  <c r="AE68" i="6"/>
  <c r="AD79" i="6"/>
  <c r="AG22" i="1"/>
  <c r="AG34" i="1" s="1"/>
  <c r="AQ1" i="6"/>
  <c r="AR3" i="6"/>
  <c r="AQ4" i="6"/>
  <c r="AQ2" i="6"/>
  <c r="AR5" i="6"/>
  <c r="AF11" i="6"/>
  <c r="AF32" i="6"/>
  <c r="AF34" i="6" s="1"/>
  <c r="AD87" i="1"/>
  <c r="AF53" i="1"/>
  <c r="AF55" i="1" s="1"/>
  <c r="AD97" i="1"/>
  <c r="AI21" i="1"/>
  <c r="AL5" i="1"/>
  <c r="AK2" i="1"/>
  <c r="AF66" i="6"/>
  <c r="AF102" i="1" s="1"/>
  <c r="AG52" i="6"/>
  <c r="AG54" i="6" s="1"/>
  <c r="AK4" i="1"/>
  <c r="AK1" i="1"/>
  <c r="AL3" i="1"/>
  <c r="AE76" i="6" l="1"/>
  <c r="AH39" i="6"/>
  <c r="AH41" i="6" s="1"/>
  <c r="AH59" i="1"/>
  <c r="AH61" i="1" s="1"/>
  <c r="AH13" i="6"/>
  <c r="AI28" i="1"/>
  <c r="AK27" i="1"/>
  <c r="AK45" i="1" s="1"/>
  <c r="AK21" i="1"/>
  <c r="AF15" i="6"/>
  <c r="AJ38" i="6"/>
  <c r="AI33" i="1"/>
  <c r="AG12" i="6"/>
  <c r="AD138" i="1"/>
  <c r="AF106" i="1"/>
  <c r="AJ106" i="1" s="1"/>
  <c r="AF105" i="1"/>
  <c r="AE109" i="1"/>
  <c r="AF68" i="6"/>
  <c r="AF109" i="1"/>
  <c r="AE79" i="6"/>
  <c r="AH22" i="1"/>
  <c r="AH34" i="1" s="1"/>
  <c r="AR2" i="6"/>
  <c r="AS5" i="6"/>
  <c r="AS3" i="6"/>
  <c r="AR4" i="6"/>
  <c r="AR1" i="6"/>
  <c r="AG32" i="6"/>
  <c r="AG34" i="6" s="1"/>
  <c r="AG11" i="6"/>
  <c r="AG53" i="1"/>
  <c r="AG55" i="1" s="1"/>
  <c r="AI47" i="1"/>
  <c r="AJ47" i="1" s="1"/>
  <c r="AJ45" i="1"/>
  <c r="AM5" i="1"/>
  <c r="AL2" i="1"/>
  <c r="AM3" i="1"/>
  <c r="AL4" i="1"/>
  <c r="AL1" i="1"/>
  <c r="AH52" i="6"/>
  <c r="AH54" i="6" s="1"/>
  <c r="AG93" i="1"/>
  <c r="AK33" i="1" l="1"/>
  <c r="AJ68" i="6"/>
  <c r="AF76" i="6"/>
  <c r="AI39" i="6"/>
  <c r="AI59" i="1"/>
  <c r="AK28" i="1"/>
  <c r="AI13" i="6"/>
  <c r="AJ13" i="6" s="1"/>
  <c r="AL27" i="1"/>
  <c r="AL45" i="1" s="1"/>
  <c r="AL47" i="1" s="1"/>
  <c r="AL21" i="1"/>
  <c r="I21" i="7"/>
  <c r="O21" i="7" s="1"/>
  <c r="AG15" i="6"/>
  <c r="AG76" i="6" s="1"/>
  <c r="AH12" i="6"/>
  <c r="I15" i="7"/>
  <c r="AF79" i="6"/>
  <c r="AI22" i="1"/>
  <c r="AT3" i="6"/>
  <c r="AS4" i="6"/>
  <c r="AS1" i="6"/>
  <c r="AT5" i="6"/>
  <c r="AS2" i="6"/>
  <c r="AH32" i="6"/>
  <c r="AH34" i="6" s="1"/>
  <c r="AH11" i="6"/>
  <c r="AH53" i="1"/>
  <c r="AH55" i="1" s="1"/>
  <c r="AK47" i="1"/>
  <c r="AG92" i="1"/>
  <c r="AN5" i="1"/>
  <c r="AM2" i="1"/>
  <c r="AN3" i="1"/>
  <c r="AM1" i="1"/>
  <c r="AM4" i="1"/>
  <c r="AI52" i="6"/>
  <c r="AH72" i="6"/>
  <c r="AL33" i="1" l="1"/>
  <c r="AK39" i="6"/>
  <c r="AK41" i="6" s="1"/>
  <c r="AK13" i="6"/>
  <c r="AL28" i="1"/>
  <c r="AK59" i="1"/>
  <c r="AJ59" i="1"/>
  <c r="I22" i="7" s="1"/>
  <c r="AI61" i="1"/>
  <c r="AM27" i="1"/>
  <c r="AM45" i="1" s="1"/>
  <c r="AM47" i="1" s="1"/>
  <c r="AM21" i="1"/>
  <c r="AJ39" i="6"/>
  <c r="I20" i="7" s="1"/>
  <c r="AI41" i="6"/>
  <c r="AJ41" i="6" s="1"/>
  <c r="AH15" i="6"/>
  <c r="AI34" i="1"/>
  <c r="AK22" i="1"/>
  <c r="AK52" i="1" s="1"/>
  <c r="BI52" i="1" s="1"/>
  <c r="AI12" i="6"/>
  <c r="AH74" i="6"/>
  <c r="AJ74" i="6" s="1"/>
  <c r="AI54" i="6"/>
  <c r="AJ54" i="6" s="1"/>
  <c r="AJ52" i="6"/>
  <c r="BJ46" i="6" s="1"/>
  <c r="AH93" i="1"/>
  <c r="AH84" i="1"/>
  <c r="AH83" i="1"/>
  <c r="AG79" i="6"/>
  <c r="AU5" i="6"/>
  <c r="AT2" i="6"/>
  <c r="AU3" i="6"/>
  <c r="AT4" i="6"/>
  <c r="AT1" i="6"/>
  <c r="AI32" i="6"/>
  <c r="AJ32" i="6" s="1"/>
  <c r="I18" i="7" s="1"/>
  <c r="AI11" i="6"/>
  <c r="AH91" i="1"/>
  <c r="AI53" i="1"/>
  <c r="AI55" i="1" s="1"/>
  <c r="AJ55" i="1" s="1"/>
  <c r="AE114" i="1"/>
  <c r="AE138" i="1" s="1"/>
  <c r="AJ105" i="1"/>
  <c r="AG97" i="1"/>
  <c r="AG138" i="1" s="1"/>
  <c r="AO5" i="1"/>
  <c r="AN2" i="1"/>
  <c r="AN4" i="1"/>
  <c r="AN1" i="1"/>
  <c r="AO3" i="1"/>
  <c r="AH76" i="6" l="1"/>
  <c r="AN27" i="1"/>
  <c r="AN45" i="1" s="1"/>
  <c r="AN21" i="1"/>
  <c r="AK61" i="1"/>
  <c r="AL59" i="1"/>
  <c r="AL61" i="1" s="1"/>
  <c r="AL39" i="6"/>
  <c r="AL41" i="6" s="1"/>
  <c r="AM28" i="1"/>
  <c r="AL13" i="6"/>
  <c r="AM33" i="1"/>
  <c r="AI15" i="6"/>
  <c r="AI76" i="6" s="1"/>
  <c r="BJ52" i="1"/>
  <c r="AK34" i="1"/>
  <c r="AL22" i="1"/>
  <c r="AJ12" i="6"/>
  <c r="AK12" i="6"/>
  <c r="AK15" i="6" s="1"/>
  <c r="AK76" i="6" s="1"/>
  <c r="AI83" i="1"/>
  <c r="AJ83" i="1" s="1"/>
  <c r="BJ48" i="6"/>
  <c r="AH97" i="1"/>
  <c r="AH79" i="6"/>
  <c r="AJ11" i="6"/>
  <c r="AV3" i="6"/>
  <c r="AU4" i="6"/>
  <c r="AU1" i="6"/>
  <c r="AV5" i="6"/>
  <c r="AU2" i="6"/>
  <c r="AK32" i="6"/>
  <c r="AK11" i="6"/>
  <c r="AI34" i="6"/>
  <c r="AI93" i="1"/>
  <c r="AJ93" i="1" s="1"/>
  <c r="AI84" i="1"/>
  <c r="AJ84" i="1" s="1"/>
  <c r="AJ53" i="1"/>
  <c r="AK55" i="1"/>
  <c r="AF114" i="1"/>
  <c r="AF138" i="1" s="1"/>
  <c r="AI92" i="1"/>
  <c r="AJ92" i="1" s="1"/>
  <c r="AJ91" i="1"/>
  <c r="AH87" i="1"/>
  <c r="AO2" i="1"/>
  <c r="AP5" i="1"/>
  <c r="AN47" i="1"/>
  <c r="AO4" i="1"/>
  <c r="AO1" i="1"/>
  <c r="AP3" i="1"/>
  <c r="AN33" i="1" l="1"/>
  <c r="AJ15" i="6"/>
  <c r="I5" i="7" s="1"/>
  <c r="AM59" i="1"/>
  <c r="AM61" i="1" s="1"/>
  <c r="AM39" i="6"/>
  <c r="AM41" i="6" s="1"/>
  <c r="AN28" i="1"/>
  <c r="AM13" i="6"/>
  <c r="AO27" i="1"/>
  <c r="AO45" i="1" s="1"/>
  <c r="AO47" i="1" s="1"/>
  <c r="AO21" i="1"/>
  <c r="AL34" i="1"/>
  <c r="AL83" i="1" s="1"/>
  <c r="AM22" i="1"/>
  <c r="AL12" i="6"/>
  <c r="I19" i="7"/>
  <c r="AH138" i="1"/>
  <c r="AI79" i="6"/>
  <c r="AW5" i="6"/>
  <c r="AV2" i="6"/>
  <c r="AV4" i="6"/>
  <c r="AV1" i="6"/>
  <c r="AW3" i="6"/>
  <c r="AJ34" i="6"/>
  <c r="AL11" i="6"/>
  <c r="AL32" i="6"/>
  <c r="AL34" i="6" s="1"/>
  <c r="AK79" i="6"/>
  <c r="AK34" i="6"/>
  <c r="AI87" i="1"/>
  <c r="AJ87" i="1" s="1"/>
  <c r="AK93" i="1"/>
  <c r="AK91" i="1"/>
  <c r="AL53" i="1"/>
  <c r="AL55" i="1" s="1"/>
  <c r="AI97" i="1"/>
  <c r="AQ5" i="1"/>
  <c r="AP2" i="1"/>
  <c r="AQ3" i="1"/>
  <c r="AP4" i="1"/>
  <c r="AP1" i="1"/>
  <c r="AO33" i="1" l="1"/>
  <c r="AN59" i="1"/>
  <c r="AN61" i="1" s="1"/>
  <c r="AN39" i="6"/>
  <c r="AN41" i="6" s="1"/>
  <c r="AO28" i="1"/>
  <c r="AN13" i="6"/>
  <c r="AP27" i="1"/>
  <c r="AP45" i="1" s="1"/>
  <c r="AP47" i="1" s="1"/>
  <c r="AP21" i="1"/>
  <c r="AN22" i="1"/>
  <c r="AM34" i="1"/>
  <c r="AM66" i="6" s="1"/>
  <c r="AM102" i="1" s="1"/>
  <c r="AM107" i="1" s="1"/>
  <c r="AL15" i="6"/>
  <c r="AM12" i="6"/>
  <c r="I7" i="7"/>
  <c r="I23" i="9"/>
  <c r="AI138" i="1"/>
  <c r="AW4" i="6"/>
  <c r="AW1" i="6"/>
  <c r="AX3" i="6"/>
  <c r="AX5" i="6"/>
  <c r="AW2" i="6"/>
  <c r="AK97" i="1"/>
  <c r="AM32" i="6"/>
  <c r="AM11" i="6"/>
  <c r="AL93" i="1"/>
  <c r="AL84" i="1"/>
  <c r="AM53" i="1"/>
  <c r="AM55" i="1" s="1"/>
  <c r="AJ79" i="6"/>
  <c r="AJ97" i="1"/>
  <c r="AL92" i="1"/>
  <c r="AK87" i="1"/>
  <c r="AR5" i="1"/>
  <c r="AQ2" i="1"/>
  <c r="AQ4" i="1"/>
  <c r="AQ1" i="1"/>
  <c r="AR3" i="1"/>
  <c r="AP33" i="1" l="1"/>
  <c r="AL79" i="6"/>
  <c r="AL76" i="6"/>
  <c r="AQ21" i="1"/>
  <c r="AQ27" i="1"/>
  <c r="AQ45" i="1" s="1"/>
  <c r="AQ47" i="1" s="1"/>
  <c r="AO59" i="1"/>
  <c r="AO13" i="6"/>
  <c r="AO39" i="6"/>
  <c r="AO41" i="6" s="1"/>
  <c r="AP28" i="1"/>
  <c r="AO22" i="1"/>
  <c r="AN34" i="1"/>
  <c r="AN66" i="6" s="1"/>
  <c r="AN68" i="6" s="1"/>
  <c r="AM15" i="6"/>
  <c r="AN12" i="6"/>
  <c r="AK138" i="1"/>
  <c r="I30" i="7"/>
  <c r="I25" i="7"/>
  <c r="I27" i="7" s="1"/>
  <c r="I24" i="9"/>
  <c r="AN105" i="1"/>
  <c r="AM109" i="1"/>
  <c r="AN102" i="1"/>
  <c r="AM108" i="1"/>
  <c r="AN106" i="1"/>
  <c r="AM106" i="1"/>
  <c r="AM105" i="1"/>
  <c r="AN108" i="1"/>
  <c r="AM68" i="6"/>
  <c r="AY5" i="6"/>
  <c r="AX2" i="6"/>
  <c r="AX1" i="6"/>
  <c r="AY3" i="6"/>
  <c r="AX4" i="6"/>
  <c r="AN32" i="6"/>
  <c r="AN34" i="6" s="1"/>
  <c r="AN11" i="6"/>
  <c r="AM34" i="6"/>
  <c r="AL87" i="1"/>
  <c r="AN53" i="1"/>
  <c r="AN55" i="1" s="1"/>
  <c r="AL97" i="1"/>
  <c r="AS5" i="1"/>
  <c r="AR2" i="1"/>
  <c r="AR1" i="1"/>
  <c r="AS3" i="1"/>
  <c r="AR4" i="1"/>
  <c r="AM76" i="6" l="1"/>
  <c r="AR21" i="1"/>
  <c r="AR27" i="1"/>
  <c r="AR45" i="1" s="1"/>
  <c r="AR47" i="1" s="1"/>
  <c r="AP59" i="1"/>
  <c r="AP61" i="1" s="1"/>
  <c r="AP39" i="6"/>
  <c r="AP41" i="6" s="1"/>
  <c r="AQ28" i="1"/>
  <c r="AP13" i="6"/>
  <c r="AO61" i="1"/>
  <c r="AQ33" i="1"/>
  <c r="AP22" i="1"/>
  <c r="AO34" i="1"/>
  <c r="AO93" i="1" s="1"/>
  <c r="AN15" i="6"/>
  <c r="AN79" i="6" s="1"/>
  <c r="AO12" i="6"/>
  <c r="AL138" i="1"/>
  <c r="I29" i="7"/>
  <c r="AN109" i="1"/>
  <c r="AN107" i="1"/>
  <c r="AM79" i="6"/>
  <c r="AY1" i="6"/>
  <c r="AZ3" i="6"/>
  <c r="AY4" i="6"/>
  <c r="AZ5" i="6"/>
  <c r="AY2" i="6"/>
  <c r="AO32" i="6"/>
  <c r="AO34" i="6" s="1"/>
  <c r="AO11" i="6"/>
  <c r="AO53" i="1"/>
  <c r="AO55" i="1" s="1"/>
  <c r="AS2" i="1"/>
  <c r="AT5" i="1"/>
  <c r="AS4" i="1"/>
  <c r="AS1" i="1"/>
  <c r="AT3" i="1"/>
  <c r="AN76" i="6" l="1"/>
  <c r="AQ59" i="1"/>
  <c r="AQ39" i="6"/>
  <c r="AQ41" i="6" s="1"/>
  <c r="AQ13" i="6"/>
  <c r="AR28" i="1"/>
  <c r="AS27" i="1"/>
  <c r="AS45" i="1" s="1"/>
  <c r="AS47" i="1" s="1"/>
  <c r="AS21" i="1"/>
  <c r="AR33" i="1"/>
  <c r="AO15" i="6"/>
  <c r="AQ22" i="1"/>
  <c r="AP34" i="1"/>
  <c r="AP93" i="1" s="1"/>
  <c r="AP12" i="6"/>
  <c r="I29" i="9"/>
  <c r="I53" i="9" s="1"/>
  <c r="AZ2" i="6"/>
  <c r="BA5" i="6"/>
  <c r="BA3" i="6"/>
  <c r="AZ4" i="6"/>
  <c r="AZ1" i="6"/>
  <c r="AP32" i="6"/>
  <c r="AP34" i="6" s="1"/>
  <c r="AP11" i="6"/>
  <c r="AP53" i="1"/>
  <c r="AP55" i="1" s="1"/>
  <c r="AO92" i="1"/>
  <c r="AU5" i="1"/>
  <c r="AT2" i="1"/>
  <c r="AT4" i="1"/>
  <c r="AU3" i="1"/>
  <c r="AT1" i="1"/>
  <c r="AS33" i="1" l="1"/>
  <c r="AO79" i="6"/>
  <c r="AO76" i="6"/>
  <c r="AR59" i="1"/>
  <c r="AR61" i="1" s="1"/>
  <c r="AR13" i="6"/>
  <c r="AR39" i="6"/>
  <c r="AR41" i="6" s="1"/>
  <c r="AS28" i="1"/>
  <c r="AT27" i="1"/>
  <c r="AT45" i="1" s="1"/>
  <c r="AT47" i="1" s="1"/>
  <c r="AT21" i="1"/>
  <c r="AQ61" i="1"/>
  <c r="AR22" i="1"/>
  <c r="AQ34" i="1"/>
  <c r="AQ83" i="1" s="1"/>
  <c r="AP15" i="6"/>
  <c r="AQ12" i="6"/>
  <c r="BB3" i="6"/>
  <c r="BA4" i="6"/>
  <c r="BA1" i="6"/>
  <c r="BB5" i="6"/>
  <c r="BA2" i="6"/>
  <c r="AQ32" i="6"/>
  <c r="AQ11" i="6"/>
  <c r="AP91" i="1"/>
  <c r="AP97" i="1" s="1"/>
  <c r="AQ53" i="1"/>
  <c r="AQ55" i="1" s="1"/>
  <c r="BI108" i="1"/>
  <c r="BJ108" i="1" s="1"/>
  <c r="AM114" i="1"/>
  <c r="AM138" i="1" s="1"/>
  <c r="AO97" i="1"/>
  <c r="AO138" i="1" s="1"/>
  <c r="AU2" i="1"/>
  <c r="AV5" i="1"/>
  <c r="AV3" i="1"/>
  <c r="AU4" i="1"/>
  <c r="AU1" i="1"/>
  <c r="AT33" i="1" l="1"/>
  <c r="AP79" i="6"/>
  <c r="AP76" i="6"/>
  <c r="AS59" i="1"/>
  <c r="AS61" i="1" s="1"/>
  <c r="AS39" i="6"/>
  <c r="AS41" i="6" s="1"/>
  <c r="AT28" i="1"/>
  <c r="AS13" i="6"/>
  <c r="AU27" i="1"/>
  <c r="AU45" i="1" s="1"/>
  <c r="AU47" i="1" s="1"/>
  <c r="AU21" i="1"/>
  <c r="AS22" i="1"/>
  <c r="AR34" i="1"/>
  <c r="AQ15" i="6"/>
  <c r="AQ76" i="6" s="1"/>
  <c r="AR12" i="6"/>
  <c r="BC5" i="6"/>
  <c r="BB2" i="6"/>
  <c r="BC3" i="6"/>
  <c r="BB4" i="6"/>
  <c r="BB1" i="6"/>
  <c r="AR32" i="6"/>
  <c r="AR34" i="6" s="1"/>
  <c r="AR11" i="6"/>
  <c r="AQ34" i="6"/>
  <c r="AQ93" i="1"/>
  <c r="AQ84" i="1"/>
  <c r="AR53" i="1"/>
  <c r="AR55" i="1" s="1"/>
  <c r="AN114" i="1"/>
  <c r="AN138" i="1" s="1"/>
  <c r="AP87" i="1"/>
  <c r="AP138" i="1" s="1"/>
  <c r="AQ92" i="1"/>
  <c r="AW5" i="1"/>
  <c r="AV2" i="1"/>
  <c r="AW3" i="1"/>
  <c r="AV4" i="1"/>
  <c r="AV1" i="1"/>
  <c r="AU33" i="1" l="1"/>
  <c r="AV27" i="1"/>
  <c r="AV45" i="1" s="1"/>
  <c r="AV47" i="1" s="1"/>
  <c r="AV21" i="1"/>
  <c r="AT59" i="1"/>
  <c r="AT61" i="1" s="1"/>
  <c r="AT13" i="6"/>
  <c r="AT39" i="6"/>
  <c r="AT41" i="6" s="1"/>
  <c r="AU28" i="1"/>
  <c r="AT22" i="1"/>
  <c r="AS34" i="1"/>
  <c r="AS83" i="1" s="1"/>
  <c r="AR15" i="6"/>
  <c r="AS12" i="6"/>
  <c r="AQ79" i="6"/>
  <c r="BD3" i="6"/>
  <c r="BC4" i="6"/>
  <c r="BC1" i="6"/>
  <c r="BC2" i="6"/>
  <c r="BD5" i="6"/>
  <c r="AS32" i="6"/>
  <c r="AS34" i="6" s="1"/>
  <c r="AS11" i="6"/>
  <c r="AR93" i="1"/>
  <c r="AQ87" i="1"/>
  <c r="AR91" i="1"/>
  <c r="AS53" i="1"/>
  <c r="AS55" i="1" s="1"/>
  <c r="AQ97" i="1"/>
  <c r="AX5" i="1"/>
  <c r="AW2" i="1"/>
  <c r="AW4" i="1"/>
  <c r="AW1" i="1"/>
  <c r="AX3" i="1"/>
  <c r="AV33" i="1" l="1"/>
  <c r="AU59" i="1"/>
  <c r="AU61" i="1" s="1"/>
  <c r="AV28" i="1"/>
  <c r="AU13" i="6"/>
  <c r="AU39" i="6"/>
  <c r="AU41" i="6" s="1"/>
  <c r="AW27" i="1"/>
  <c r="AW45" i="1" s="1"/>
  <c r="AW47" i="1" s="1"/>
  <c r="AW21" i="1"/>
  <c r="AU22" i="1"/>
  <c r="AT34" i="1"/>
  <c r="AS15" i="6"/>
  <c r="AT12" i="6"/>
  <c r="AQ138" i="1"/>
  <c r="AR68" i="6"/>
  <c r="AR76" i="6" s="1"/>
  <c r="AR102" i="1"/>
  <c r="AR109" i="1" s="1"/>
  <c r="AS68" i="6"/>
  <c r="AR79" i="6"/>
  <c r="BE5" i="6"/>
  <c r="BD2" i="6"/>
  <c r="BE3" i="6"/>
  <c r="BD4" i="6"/>
  <c r="BD1" i="6"/>
  <c r="AR97" i="1"/>
  <c r="AT11" i="6"/>
  <c r="AT32" i="6"/>
  <c r="AT34" i="6" s="1"/>
  <c r="AS93" i="1"/>
  <c r="AS84" i="1"/>
  <c r="AT53" i="1"/>
  <c r="AT55" i="1" s="1"/>
  <c r="AR87" i="1"/>
  <c r="AS92" i="1"/>
  <c r="AY5" i="1"/>
  <c r="AX2" i="1"/>
  <c r="AY3" i="1"/>
  <c r="AX4" i="1"/>
  <c r="AX1" i="1"/>
  <c r="AW33" i="1" l="1"/>
  <c r="AS79" i="6"/>
  <c r="AS76" i="6"/>
  <c r="AX27" i="1"/>
  <c r="AX45" i="1" s="1"/>
  <c r="AX21" i="1"/>
  <c r="AV59" i="1"/>
  <c r="AV61" i="1" s="1"/>
  <c r="AV39" i="6"/>
  <c r="AV41" i="6" s="1"/>
  <c r="AW28" i="1"/>
  <c r="AV13" i="6"/>
  <c r="AV22" i="1"/>
  <c r="AU34" i="1"/>
  <c r="AT15" i="6"/>
  <c r="AU12" i="6"/>
  <c r="BE4" i="6"/>
  <c r="BE1" i="6"/>
  <c r="BF3" i="6"/>
  <c r="BF5" i="6"/>
  <c r="BE2" i="6"/>
  <c r="AU32" i="6"/>
  <c r="AU34" i="6" s="1"/>
  <c r="AU11" i="6"/>
  <c r="AS87" i="1"/>
  <c r="AU53" i="1"/>
  <c r="AU55" i="1" s="1"/>
  <c r="AU138" i="1" s="1"/>
  <c r="AS97" i="1"/>
  <c r="AX47" i="1"/>
  <c r="AY2" i="1"/>
  <c r="AZ5" i="1"/>
  <c r="AY4" i="1"/>
  <c r="AY1" i="1"/>
  <c r="AZ3" i="1"/>
  <c r="AX33" i="1" l="1"/>
  <c r="AT79" i="6"/>
  <c r="AT76" i="6"/>
  <c r="AW59" i="1"/>
  <c r="AW61" i="1" s="1"/>
  <c r="AW39" i="6"/>
  <c r="AW41" i="6" s="1"/>
  <c r="AX28" i="1"/>
  <c r="AW13" i="6"/>
  <c r="AY21" i="1"/>
  <c r="AY27" i="1"/>
  <c r="AY45" i="1" s="1"/>
  <c r="AY47" i="1" s="1"/>
  <c r="AW22" i="1"/>
  <c r="AV34" i="1"/>
  <c r="AV93" i="1" s="1"/>
  <c r="AU15" i="6"/>
  <c r="AV12" i="6"/>
  <c r="BG5" i="6"/>
  <c r="BF2" i="6"/>
  <c r="BF4" i="6"/>
  <c r="BF1" i="6"/>
  <c r="BG3" i="6"/>
  <c r="AV11" i="6"/>
  <c r="AV32" i="6"/>
  <c r="AV34" i="6" s="1"/>
  <c r="AV53" i="1"/>
  <c r="AV55" i="1" s="1"/>
  <c r="AR114" i="1"/>
  <c r="AR138" i="1" s="1"/>
  <c r="BA5" i="1"/>
  <c r="AZ2" i="1"/>
  <c r="BA3" i="1"/>
  <c r="AZ4" i="1"/>
  <c r="AZ1" i="1"/>
  <c r="AU79" i="6" l="1"/>
  <c r="AU76" i="6"/>
  <c r="AZ21" i="1"/>
  <c r="AZ27" i="1"/>
  <c r="AZ45" i="1" s="1"/>
  <c r="AZ47" i="1" s="1"/>
  <c r="AY33" i="1"/>
  <c r="AX59" i="1"/>
  <c r="AX61" i="1" s="1"/>
  <c r="AX39" i="6"/>
  <c r="AX41" i="6" s="1"/>
  <c r="AY28" i="1"/>
  <c r="AX13" i="6"/>
  <c r="AX22" i="1"/>
  <c r="AW34" i="1"/>
  <c r="AW93" i="1" s="1"/>
  <c r="AV15" i="6"/>
  <c r="AV76" i="6" s="1"/>
  <c r="AW12" i="6"/>
  <c r="BG1" i="6"/>
  <c r="BH3" i="6"/>
  <c r="BG4" i="6"/>
  <c r="BG2" i="6"/>
  <c r="BH5" i="6"/>
  <c r="BH2" i="6" s="1"/>
  <c r="AW11" i="6"/>
  <c r="AW32" i="6"/>
  <c r="AW34" i="6" s="1"/>
  <c r="AW53" i="1"/>
  <c r="AW55" i="1" s="1"/>
  <c r="AS114" i="1"/>
  <c r="AS138" i="1" s="1"/>
  <c r="AT114" i="1"/>
  <c r="AT138" i="1" s="1"/>
  <c r="AV92" i="1"/>
  <c r="BB5" i="1"/>
  <c r="BA2" i="1"/>
  <c r="BA1" i="1"/>
  <c r="BB3" i="1"/>
  <c r="BA4" i="1"/>
  <c r="AV79" i="6" l="1"/>
  <c r="AY39" i="6"/>
  <c r="AY41" i="6" s="1"/>
  <c r="AZ28" i="1"/>
  <c r="AY59" i="1"/>
  <c r="AY61" i="1" s="1"/>
  <c r="AY13" i="6"/>
  <c r="BA27" i="1"/>
  <c r="BA45" i="1" s="1"/>
  <c r="BA47" i="1" s="1"/>
  <c r="BA21" i="1"/>
  <c r="BA33" i="1" s="1"/>
  <c r="AZ33" i="1"/>
  <c r="AY22" i="1"/>
  <c r="AX34" i="1"/>
  <c r="AX83" i="1" s="1"/>
  <c r="AW15" i="6"/>
  <c r="AX12" i="6"/>
  <c r="BH4" i="6"/>
  <c r="BH1" i="6"/>
  <c r="AX32" i="6"/>
  <c r="AX34" i="6" s="1"/>
  <c r="AX11" i="6"/>
  <c r="AW91" i="1"/>
  <c r="AW97" i="1" s="1"/>
  <c r="AX53" i="1"/>
  <c r="AX55" i="1" s="1"/>
  <c r="AV97" i="1"/>
  <c r="AV138" i="1" s="1"/>
  <c r="BC5" i="1"/>
  <c r="BB2" i="1"/>
  <c r="BC3" i="1"/>
  <c r="BB4" i="1"/>
  <c r="BB1" i="1"/>
  <c r="AW79" i="6" l="1"/>
  <c r="AW76" i="6"/>
  <c r="BB27" i="1"/>
  <c r="BB45" i="1" s="1"/>
  <c r="BB47" i="1" s="1"/>
  <c r="BB21" i="1"/>
  <c r="AX15" i="6"/>
  <c r="AX76" i="6" s="1"/>
  <c r="AZ59" i="1"/>
  <c r="AZ61" i="1" s="1"/>
  <c r="AZ39" i="6"/>
  <c r="AZ41" i="6" s="1"/>
  <c r="BA28" i="1"/>
  <c r="AZ13" i="6"/>
  <c r="AZ22" i="1"/>
  <c r="AY34" i="1"/>
  <c r="AY72" i="6" s="1"/>
  <c r="AY12" i="6"/>
  <c r="AY32" i="6"/>
  <c r="AY34" i="6" s="1"/>
  <c r="AY11" i="6"/>
  <c r="AX93" i="1"/>
  <c r="AX84" i="1"/>
  <c r="AY53" i="1"/>
  <c r="AY55" i="1" s="1"/>
  <c r="AW87" i="1"/>
  <c r="AW138" i="1" s="1"/>
  <c r="AX92" i="1"/>
  <c r="BD5" i="1"/>
  <c r="BC2" i="1"/>
  <c r="BC4" i="1"/>
  <c r="BC1" i="1"/>
  <c r="BD3" i="1"/>
  <c r="BB33" i="1" l="1"/>
  <c r="AX79" i="6"/>
  <c r="BA59" i="1"/>
  <c r="BA61" i="1" s="1"/>
  <c r="BB28" i="1"/>
  <c r="BA39" i="6"/>
  <c r="BA41" i="6" s="1"/>
  <c r="BA13" i="6"/>
  <c r="BC27" i="1"/>
  <c r="BC45" i="1" s="1"/>
  <c r="BC47" i="1" s="1"/>
  <c r="BC21" i="1"/>
  <c r="BA22" i="1"/>
  <c r="AZ34" i="1"/>
  <c r="AZ83" i="1" s="1"/>
  <c r="AY15" i="6"/>
  <c r="AZ12" i="6"/>
  <c r="AY93" i="1"/>
  <c r="AY74" i="6"/>
  <c r="BI74" i="6" s="1"/>
  <c r="BJ68" i="6" s="1"/>
  <c r="AZ32" i="6"/>
  <c r="AZ34" i="6" s="1"/>
  <c r="AZ11" i="6"/>
  <c r="AX87" i="1"/>
  <c r="AY91" i="1"/>
  <c r="AZ53" i="1"/>
  <c r="AZ55" i="1" s="1"/>
  <c r="AX97" i="1"/>
  <c r="BD2" i="1"/>
  <c r="BE5" i="1"/>
  <c r="BD1" i="1"/>
  <c r="BE3" i="1"/>
  <c r="BD4" i="1"/>
  <c r="BC33" i="1" l="1"/>
  <c r="AY79" i="6"/>
  <c r="AY76" i="6"/>
  <c r="BD27" i="1"/>
  <c r="BD45" i="1" s="1"/>
  <c r="BD47" i="1" s="1"/>
  <c r="BD21" i="1"/>
  <c r="AZ15" i="6"/>
  <c r="AZ76" i="6" s="1"/>
  <c r="BB13" i="6"/>
  <c r="BB59" i="1"/>
  <c r="BB61" i="1" s="1"/>
  <c r="BB39" i="6"/>
  <c r="BB41" i="6" s="1"/>
  <c r="BC28" i="1"/>
  <c r="BB22" i="1"/>
  <c r="BA34" i="1"/>
  <c r="BA66" i="6" s="1"/>
  <c r="BA68" i="6" s="1"/>
  <c r="BA12" i="6"/>
  <c r="AX138" i="1"/>
  <c r="AY97" i="1"/>
  <c r="BA32" i="6"/>
  <c r="BA34" i="6" s="1"/>
  <c r="BA11" i="6"/>
  <c r="AZ93" i="1"/>
  <c r="AZ84" i="1"/>
  <c r="BA53" i="1"/>
  <c r="BA55" i="1" s="1"/>
  <c r="AY87" i="1"/>
  <c r="AZ92" i="1"/>
  <c r="BF5" i="1"/>
  <c r="BE2" i="1"/>
  <c r="BE1" i="1"/>
  <c r="BF3" i="1"/>
  <c r="BE4" i="1"/>
  <c r="AZ79" i="6" l="1"/>
  <c r="BD33" i="1"/>
  <c r="BC59" i="1"/>
  <c r="BC61" i="1" s="1"/>
  <c r="BD28" i="1"/>
  <c r="BC13" i="6"/>
  <c r="BC39" i="6"/>
  <c r="BC41" i="6" s="1"/>
  <c r="BE27" i="1"/>
  <c r="BE45" i="1" s="1"/>
  <c r="BE47" i="1" s="1"/>
  <c r="BE21" i="1"/>
  <c r="BC22" i="1"/>
  <c r="BB34" i="1"/>
  <c r="BA15" i="6"/>
  <c r="BA76" i="6" s="1"/>
  <c r="BB12" i="6"/>
  <c r="AY138" i="1"/>
  <c r="BA79" i="6"/>
  <c r="BB11" i="6"/>
  <c r="BB32" i="6"/>
  <c r="BB34" i="6" s="1"/>
  <c r="BI68" i="6"/>
  <c r="J9" i="7" s="1"/>
  <c r="AZ87" i="1"/>
  <c r="BB53" i="1"/>
  <c r="BB55" i="1" s="1"/>
  <c r="BB138" i="1" s="1"/>
  <c r="AZ97" i="1"/>
  <c r="BA102" i="1"/>
  <c r="BA107" i="1" s="1"/>
  <c r="BG5" i="1"/>
  <c r="BF2" i="1"/>
  <c r="BF4" i="1"/>
  <c r="BG3" i="1"/>
  <c r="BF1" i="1"/>
  <c r="BE33" i="1" l="1"/>
  <c r="BE28" i="1"/>
  <c r="BD59" i="1"/>
  <c r="BD61" i="1" s="1"/>
  <c r="BD39" i="6"/>
  <c r="BD41" i="6" s="1"/>
  <c r="BD13" i="6"/>
  <c r="BF27" i="1"/>
  <c r="BF45" i="1" s="1"/>
  <c r="BF47" i="1" s="1"/>
  <c r="BF21" i="1"/>
  <c r="BD22" i="1"/>
  <c r="BC34" i="1"/>
  <c r="BC93" i="1" s="1"/>
  <c r="BB15" i="6"/>
  <c r="BC12" i="6"/>
  <c r="AZ138" i="1"/>
  <c r="BA109" i="1"/>
  <c r="BI109" i="1" s="1"/>
  <c r="BJ62" i="6"/>
  <c r="BC11" i="6"/>
  <c r="BC32" i="6"/>
  <c r="BC34" i="6" s="1"/>
  <c r="BC53" i="1"/>
  <c r="BC55" i="1" s="1"/>
  <c r="BI105" i="1"/>
  <c r="BJ105" i="1" s="1"/>
  <c r="BH5" i="1"/>
  <c r="BG2" i="1"/>
  <c r="BG4" i="1"/>
  <c r="BG1" i="1"/>
  <c r="BH3" i="1"/>
  <c r="BF33" i="1" l="1"/>
  <c r="BB79" i="6"/>
  <c r="BB76" i="6"/>
  <c r="BG21" i="1"/>
  <c r="BG27" i="1"/>
  <c r="BG45" i="1" s="1"/>
  <c r="BE59" i="1"/>
  <c r="BE61" i="1" s="1"/>
  <c r="BF28" i="1"/>
  <c r="BE39" i="6"/>
  <c r="BE41" i="6" s="1"/>
  <c r="BE13" i="6"/>
  <c r="BC15" i="6"/>
  <c r="BE22" i="1"/>
  <c r="BD34" i="1"/>
  <c r="BD12" i="6"/>
  <c r="BD11" i="6"/>
  <c r="BD32" i="6"/>
  <c r="BD34" i="6" s="1"/>
  <c r="BI107" i="1"/>
  <c r="BJ107" i="1" s="1"/>
  <c r="BI106" i="1"/>
  <c r="BJ106" i="1" s="1"/>
  <c r="BD53" i="1"/>
  <c r="BD55" i="1" s="1"/>
  <c r="BA114" i="1"/>
  <c r="BA138" i="1" s="1"/>
  <c r="BC92" i="1"/>
  <c r="BH2" i="1"/>
  <c r="BH1" i="1"/>
  <c r="BH4" i="1"/>
  <c r="BC79" i="6" l="1"/>
  <c r="BC76" i="6"/>
  <c r="BG33" i="1"/>
  <c r="BH21" i="1"/>
  <c r="BH27" i="1"/>
  <c r="BH45" i="1" s="1"/>
  <c r="BH47" i="1" s="1"/>
  <c r="BF39" i="6"/>
  <c r="BF41" i="6" s="1"/>
  <c r="BG28" i="1"/>
  <c r="BF13" i="6"/>
  <c r="BF59" i="1"/>
  <c r="BF61" i="1" s="1"/>
  <c r="BF22" i="1"/>
  <c r="BE34" i="1"/>
  <c r="BD15" i="6"/>
  <c r="BE12" i="6"/>
  <c r="BD93" i="1"/>
  <c r="BI114" i="1"/>
  <c r="BE11" i="6"/>
  <c r="BE32" i="6"/>
  <c r="BE34" i="6" s="1"/>
  <c r="BD91" i="1"/>
  <c r="BE53" i="1"/>
  <c r="BE55" i="1" s="1"/>
  <c r="BC97" i="1"/>
  <c r="BC138" i="1" s="1"/>
  <c r="BG47" i="1"/>
  <c r="BI47" i="1" l="1"/>
  <c r="J15" i="7" s="1"/>
  <c r="BI45" i="1"/>
  <c r="BJ45" i="1" s="1"/>
  <c r="BD79" i="6"/>
  <c r="BD76" i="6"/>
  <c r="BH33" i="1"/>
  <c r="BG59" i="1"/>
  <c r="BG61" i="1" s="1"/>
  <c r="BG39" i="6"/>
  <c r="BG41" i="6" s="1"/>
  <c r="BH28" i="1"/>
  <c r="BG13" i="6"/>
  <c r="BE15" i="6"/>
  <c r="BG22" i="1"/>
  <c r="BF34" i="1"/>
  <c r="BF12" i="6"/>
  <c r="BE93" i="1"/>
  <c r="BE84" i="1"/>
  <c r="BE83" i="1"/>
  <c r="BD97" i="1"/>
  <c r="BF32" i="6"/>
  <c r="BF34" i="6" s="1"/>
  <c r="BF11" i="6"/>
  <c r="BF53" i="1"/>
  <c r="BF55" i="1" s="1"/>
  <c r="BD87" i="1"/>
  <c r="BE92" i="1"/>
  <c r="BJ47" i="1" l="1"/>
  <c r="BE79" i="6"/>
  <c r="BE76" i="6"/>
  <c r="BH59" i="1"/>
  <c r="BH39" i="6"/>
  <c r="BH13" i="6"/>
  <c r="BI13" i="6" s="1"/>
  <c r="BJ13" i="6" s="1"/>
  <c r="BI28" i="1"/>
  <c r="BH22" i="1"/>
  <c r="BH34" i="1" s="1"/>
  <c r="I110" i="7" s="1"/>
  <c r="I115" i="7" s="1"/>
  <c r="BG34" i="1"/>
  <c r="BF15" i="6"/>
  <c r="BG12" i="6"/>
  <c r="O15" i="7"/>
  <c r="BD138" i="1"/>
  <c r="BE87" i="1"/>
  <c r="BF93" i="1"/>
  <c r="BG32" i="6"/>
  <c r="BG34" i="6" s="1"/>
  <c r="BG11" i="6"/>
  <c r="BF91" i="1"/>
  <c r="BG53" i="1"/>
  <c r="BG55" i="1" s="1"/>
  <c r="BE97" i="1"/>
  <c r="BF79" i="6" l="1"/>
  <c r="BF76" i="6"/>
  <c r="BI39" i="6"/>
  <c r="J20" i="7" s="1"/>
  <c r="BH41" i="6"/>
  <c r="BI41" i="6" s="1"/>
  <c r="BH61" i="1"/>
  <c r="BI61" i="1" s="1"/>
  <c r="BI59" i="1"/>
  <c r="BG15" i="6"/>
  <c r="BH12" i="6"/>
  <c r="BE138" i="1"/>
  <c r="BG93" i="1"/>
  <c r="BG83" i="1"/>
  <c r="BG84" i="1"/>
  <c r="BI84" i="1" s="1"/>
  <c r="BJ84" i="1" s="1"/>
  <c r="BF97" i="1"/>
  <c r="BI22" i="1"/>
  <c r="BI16" i="1"/>
  <c r="BH32" i="6"/>
  <c r="BH11" i="6"/>
  <c r="BH53" i="1"/>
  <c r="BI53" i="1" s="1"/>
  <c r="BF87" i="1"/>
  <c r="BG92" i="1"/>
  <c r="BI91" i="1"/>
  <c r="BG79" i="6" l="1"/>
  <c r="BG76" i="6"/>
  <c r="BJ59" i="1"/>
  <c r="J22" i="7"/>
  <c r="O22" i="7" s="1"/>
  <c r="BI12" i="6"/>
  <c r="BH15" i="6"/>
  <c r="BF138" i="1"/>
  <c r="BG87" i="1"/>
  <c r="BI34" i="1"/>
  <c r="BH83" i="1"/>
  <c r="BI83" i="1" s="1"/>
  <c r="BJ53" i="1"/>
  <c r="J19" i="7"/>
  <c r="O19" i="7" s="1"/>
  <c r="BJ91" i="1"/>
  <c r="BI11" i="6"/>
  <c r="BJ11" i="6" s="1"/>
  <c r="BH34" i="6"/>
  <c r="BI32" i="6"/>
  <c r="J18" i="7" s="1"/>
  <c r="BH55" i="1"/>
  <c r="BI55" i="1" s="1"/>
  <c r="BH92" i="1"/>
  <c r="BI92" i="1" s="1"/>
  <c r="BJ92" i="1" s="1"/>
  <c r="BG97" i="1"/>
  <c r="BH93" i="1"/>
  <c r="BI93" i="1" s="1"/>
  <c r="BJ93" i="1" s="1"/>
  <c r="BH79" i="6" l="1"/>
  <c r="BH76" i="6"/>
  <c r="BJ12" i="6"/>
  <c r="BJ15" i="6" s="1"/>
  <c r="BI15" i="6"/>
  <c r="J23" i="9"/>
  <c r="J39" i="7"/>
  <c r="J110" i="7"/>
  <c r="BG138" i="1"/>
  <c r="BJ83" i="1"/>
  <c r="BJ55" i="1"/>
  <c r="BJ32" i="6"/>
  <c r="O20" i="7" s="1"/>
  <c r="BI34" i="6"/>
  <c r="BJ34" i="6" s="1"/>
  <c r="BH97" i="1"/>
  <c r="BH87" i="1"/>
  <c r="BI87" i="1" s="1"/>
  <c r="BJ87" i="1" s="1"/>
  <c r="O18" i="7" l="1"/>
  <c r="J23" i="7"/>
  <c r="J5" i="7"/>
  <c r="O110" i="9"/>
  <c r="J24" i="9"/>
  <c r="O110" i="7"/>
  <c r="O115" i="7" s="1"/>
  <c r="J115" i="7"/>
  <c r="BH138" i="1"/>
  <c r="BI97" i="1"/>
  <c r="BI76" i="6"/>
  <c r="BI79" i="6"/>
  <c r="J7" i="7" l="1"/>
  <c r="O7" i="7" s="1"/>
  <c r="O5" i="7"/>
  <c r="J25" i="7"/>
  <c r="J27" i="7" s="1"/>
  <c r="O27" i="7" s="1"/>
  <c r="O30" i="9"/>
  <c r="BJ73" i="6"/>
  <c r="J30" i="7"/>
  <c r="J52" i="7" s="1"/>
  <c r="BJ97" i="1"/>
  <c r="BI138" i="1"/>
  <c r="J24" i="7" l="1"/>
  <c r="J116" i="7" s="1"/>
  <c r="O25" i="7"/>
  <c r="O30" i="7"/>
  <c r="P30" i="7" s="1"/>
  <c r="AJ73" i="1"/>
  <c r="BJ73" i="1" s="1"/>
  <c r="E77" i="1"/>
  <c r="E138" i="1" s="1"/>
  <c r="J29" i="9" l="1"/>
  <c r="O26" i="7"/>
  <c r="O29" i="7" s="1"/>
  <c r="J29" i="7"/>
  <c r="AJ77" i="1"/>
  <c r="J53" i="9" l="1"/>
  <c r="J106" i="9" s="1"/>
  <c r="J108" i="9" s="1"/>
  <c r="J53" i="7"/>
  <c r="J106" i="7" s="1"/>
  <c r="BJ77" i="1"/>
  <c r="Q109" i="1"/>
  <c r="AJ109" i="1" s="1"/>
  <c r="I39" i="7" l="1"/>
  <c r="J108" i="7"/>
  <c r="J117" i="7"/>
  <c r="J118" i="7" s="1"/>
  <c r="Q114" i="1"/>
  <c r="Q138" i="1" s="1"/>
  <c r="AJ138" i="1" s="1"/>
  <c r="BJ138" i="1" s="1"/>
  <c r="O39" i="9" l="1"/>
  <c r="AJ114" i="1"/>
  <c r="BJ114" i="1" s="1"/>
  <c r="BJ109" i="1"/>
  <c r="I106" i="9" l="1"/>
  <c r="I52" i="7"/>
  <c r="O39" i="7"/>
  <c r="O106" i="9" l="1"/>
  <c r="I108" i="9"/>
  <c r="I53" i="7"/>
  <c r="I106" i="7" s="1"/>
  <c r="O52" i="7"/>
  <c r="O53" i="7" s="1"/>
  <c r="AJ59" i="6"/>
  <c r="BJ53" i="6" s="1"/>
  <c r="E61" i="6"/>
  <c r="O108" i="9" l="1"/>
  <c r="O106" i="7"/>
  <c r="O117" i="7" s="1"/>
  <c r="I117" i="7"/>
  <c r="AJ61" i="6"/>
  <c r="E76" i="6"/>
  <c r="AJ76" i="6" s="1"/>
  <c r="BJ70" i="6" s="1"/>
  <c r="I9" i="7" l="1"/>
  <c r="I23" i="7" s="1"/>
  <c r="BJ55" i="6"/>
  <c r="I24" i="7" l="1"/>
  <c r="I116" i="7" s="1"/>
  <c r="I118" i="7" s="1"/>
  <c r="O9" i="7"/>
  <c r="O23" i="7" l="1"/>
  <c r="O24" i="7" s="1"/>
  <c r="I108" i="7"/>
  <c r="F54" i="10"/>
  <c r="F114" i="10" s="1"/>
  <c r="P39" i="7" l="1"/>
  <c r="O108" i="7"/>
  <c r="P110" i="7" s="1"/>
  <c r="P25" i="7"/>
  <c r="O116" i="7"/>
  <c r="O118" i="7" s="1"/>
  <c r="F109" i="10"/>
  <c r="G26" i="10"/>
  <c r="G28" i="10" l="1"/>
  <c r="G30" i="10"/>
  <c r="G54" i="10" s="1"/>
  <c r="G109" i="10" l="1"/>
  <c r="G114" i="10"/>
  <c r="O113" i="14"/>
  <c r="H113" i="14"/>
  <c r="O12" i="14"/>
  <c r="H26" i="14" l="1"/>
  <c r="H29" i="14" l="1"/>
  <c r="O29" i="14" s="1"/>
  <c r="H28" i="14"/>
  <c r="O28" i="14" s="1"/>
  <c r="H27" i="14"/>
  <c r="O27" i="14" s="1"/>
  <c r="H30" i="14" l="1"/>
  <c r="H54" i="14" s="1"/>
  <c r="O26" i="14"/>
  <c r="O30" i="14" s="1"/>
  <c r="O54" i="14" s="1"/>
  <c r="C30" i="14"/>
  <c r="C54" i="14" s="1"/>
  <c r="C114" i="14" s="1"/>
  <c r="O114" i="14" l="1"/>
  <c r="H114" i="14" l="1"/>
  <c r="H109" i="14" l="1"/>
  <c r="O109" i="14" l="1"/>
  <c r="P107" i="14"/>
  <c r="H25" i="17"/>
  <c r="H109" i="17" s="1"/>
  <c r="O107" i="10"/>
  <c r="J5" i="10" l="1"/>
  <c r="J4" i="10"/>
  <c r="N5" i="10"/>
  <c r="N4" i="10"/>
  <c r="M4" i="10"/>
  <c r="M5" i="10"/>
  <c r="L4" i="10"/>
  <c r="L5" i="10"/>
  <c r="K4" i="10"/>
  <c r="K5" i="10"/>
  <c r="I5" i="10"/>
  <c r="I4" i="10"/>
  <c r="N3" i="10"/>
  <c r="N26" i="10"/>
  <c r="J3" i="10"/>
  <c r="H4" i="10"/>
  <c r="O4" i="10" s="1"/>
  <c r="H5" i="10"/>
  <c r="M3" i="10"/>
  <c r="L3" i="10"/>
  <c r="H3" i="10"/>
  <c r="I3" i="10"/>
  <c r="I8" i="10" s="1"/>
  <c r="K3" i="10"/>
  <c r="H8" i="10" l="1"/>
  <c r="O3" i="10"/>
  <c r="L26" i="10"/>
  <c r="L28" i="10" s="1"/>
  <c r="M25" i="10"/>
  <c r="O5" i="10"/>
  <c r="O8" i="10" s="1"/>
  <c r="K31" i="10"/>
  <c r="K53" i="10" s="1"/>
  <c r="K26" i="10"/>
  <c r="K25" i="10"/>
  <c r="L31" i="10"/>
  <c r="L53" i="10" s="1"/>
  <c r="J31" i="10"/>
  <c r="J53" i="10" s="1"/>
  <c r="N25" i="10"/>
  <c r="N31" i="10"/>
  <c r="N53" i="10" s="1"/>
  <c r="I26" i="10"/>
  <c r="J26" i="10"/>
  <c r="N28" i="10"/>
  <c r="N30" i="10"/>
  <c r="M31" i="10"/>
  <c r="M53" i="10" s="1"/>
  <c r="M26" i="10"/>
  <c r="N54" i="10" l="1"/>
  <c r="N114" i="10" s="1"/>
  <c r="I28" i="10"/>
  <c r="I30" i="10" s="1"/>
  <c r="I31" i="10"/>
  <c r="I53" i="10" s="1"/>
  <c r="L25" i="10"/>
  <c r="I25" i="10"/>
  <c r="J25" i="10"/>
  <c r="N109" i="10"/>
  <c r="L30" i="10"/>
  <c r="L54" i="10" s="1"/>
  <c r="L114" i="10" s="1"/>
  <c r="K28" i="10"/>
  <c r="K30" i="10" s="1"/>
  <c r="K54" i="10" s="1"/>
  <c r="J28" i="10"/>
  <c r="J30" i="10"/>
  <c r="J54" i="10" s="1"/>
  <c r="J114" i="10" s="1"/>
  <c r="H31" i="10"/>
  <c r="H25" i="10"/>
  <c r="H26" i="10"/>
  <c r="M28" i="10"/>
  <c r="M30" i="10"/>
  <c r="M54" i="10" s="1"/>
  <c r="M114" i="10" s="1"/>
  <c r="L109" i="10" l="1"/>
  <c r="I54" i="10"/>
  <c r="I114" i="10" s="1"/>
  <c r="K114" i="10"/>
  <c r="K109" i="10"/>
  <c r="J109" i="10"/>
  <c r="M109" i="10"/>
  <c r="H28" i="10"/>
  <c r="O28" i="10" s="1"/>
  <c r="O26" i="10"/>
  <c r="O31" i="10"/>
  <c r="O53" i="10" s="1"/>
  <c r="H53" i="10"/>
  <c r="I109" i="10" l="1"/>
  <c r="O30" i="10"/>
  <c r="O54" i="10" s="1"/>
  <c r="H30" i="10"/>
  <c r="H54" i="10" s="1"/>
  <c r="H114" i="10" s="1"/>
  <c r="H109" i="10" l="1"/>
  <c r="O109" i="10" s="1"/>
  <c r="F61" i="1"/>
  <c r="AJ61" i="1"/>
  <c r="BJ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Becker</author>
  </authors>
  <commentList>
    <comment ref="B45" authorId="0" shapeId="0" xr:uid="{391347E5-2ECE-46D2-9647-7133B934A1AC}">
      <text>
        <r>
          <rPr>
            <b/>
            <sz val="9"/>
            <color indexed="81"/>
            <rFont val="Tahoma"/>
            <family val="2"/>
          </rPr>
          <t>Shipping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Becker</author>
  </authors>
  <commentList>
    <comment ref="B62" authorId="0" shapeId="0" xr:uid="{C3AD8E72-2095-4186-8E00-27CDC14E5062}">
      <text>
        <r>
          <rPr>
            <sz val="9"/>
            <color indexed="81"/>
            <rFont val="Tahoma"/>
            <family val="2"/>
          </rPr>
          <t>Eddy, Kyoko, and Melissa plus bonus</t>
        </r>
      </text>
    </comment>
    <comment ref="B65" authorId="0" shapeId="0" xr:uid="{5B80EF13-B40E-49E8-A056-9857EF9E0F81}">
      <text>
        <r>
          <rPr>
            <b/>
            <sz val="9"/>
            <color indexed="81"/>
            <rFont val="Tahoma"/>
            <family val="2"/>
          </rPr>
          <t>Marichu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Becker</author>
  </authors>
  <commentList>
    <comment ref="B39" authorId="0" shapeId="0" xr:uid="{285349B8-DFA1-4F3A-85D1-F71146F6AF56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(security at $158.84 per test)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Becker</author>
  </authors>
  <commentList>
    <comment ref="B61" authorId="0" shapeId="0" xr:uid="{93FDFF39-7069-4DE4-984F-59325214AD10}">
      <text>
        <r>
          <rPr>
            <sz val="9"/>
            <color indexed="81"/>
            <rFont val="Tahoma"/>
            <family val="2"/>
          </rPr>
          <t>Eddy, Kyoko, and Melissa plus bonus</t>
        </r>
      </text>
    </comment>
    <comment ref="B64" authorId="0" shapeId="0" xr:uid="{ABCC7AB0-BDBF-4B13-BBA1-16F82174A3F7}">
      <text>
        <r>
          <rPr>
            <b/>
            <sz val="9"/>
            <color indexed="81"/>
            <rFont val="Tahoma"/>
            <family val="2"/>
          </rPr>
          <t xml:space="preserve">Accountant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Becker</author>
  </authors>
  <commentList>
    <comment ref="B61" authorId="0" shapeId="0" xr:uid="{AF9324D8-9B6E-4BE3-8F47-3C46D9910BB9}">
      <text>
        <r>
          <rPr>
            <sz val="9"/>
            <color indexed="81"/>
            <rFont val="Tahoma"/>
            <family val="2"/>
          </rPr>
          <t>Eddy, Kyoko, and Melissa plus bonus</t>
        </r>
      </text>
    </comment>
    <comment ref="B64" authorId="0" shapeId="0" xr:uid="{E8473C26-64E4-4A2E-9C88-B64DD91130DC}">
      <text>
        <r>
          <rPr>
            <b/>
            <sz val="9"/>
            <color indexed="81"/>
            <rFont val="Tahoma"/>
            <family val="2"/>
          </rPr>
          <t>Marichu</t>
        </r>
      </text>
    </comment>
    <comment ref="E74" authorId="0" shapeId="0" xr:uid="{80BF1850-4DA4-44E0-9E8B-B664CBFED777}">
      <text>
        <r>
          <rPr>
            <sz val="9"/>
            <color indexed="81"/>
            <rFont val="Tahoma"/>
            <family val="2"/>
          </rPr>
          <t xml:space="preserve">Sept. 2019 25 
Days 3-4 weeks
Latin America
</t>
        </r>
      </text>
    </comment>
    <comment ref="F74" authorId="0" shapeId="0" xr:uid="{47F24584-8163-44CA-AA45-4B8C621CEA79}">
      <text>
        <r>
          <rPr>
            <b/>
            <sz val="9"/>
            <color indexed="81"/>
            <rFont val="Tahoma"/>
            <family val="2"/>
          </rPr>
          <t xml:space="preserve">ICEF Toronto - 1 Week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4" authorId="0" shapeId="0" xr:uid="{2F08D8E2-6DE8-4089-814C-BDEEB4D95FCA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ALPHIE - I Week August -
</t>
        </r>
      </text>
    </comment>
    <comment ref="K74" authorId="0" shapeId="0" xr:uid="{16E3D0C7-509A-42D3-8085-EC6C2F464B49}">
      <text>
        <r>
          <rPr>
            <sz val="9"/>
            <color indexed="81"/>
            <rFont val="Tahoma"/>
            <family val="2"/>
          </rPr>
          <t xml:space="preserve">Sept. 2019 25 
Days 3-4 weeks
Latin America
</t>
        </r>
      </text>
    </comment>
    <comment ref="L74" authorId="0" shapeId="0" xr:uid="{CE92EEF0-B3F9-49F9-8DA7-F8CF8E2D37C6}">
      <text>
        <r>
          <rPr>
            <sz val="9"/>
            <color indexed="81"/>
            <rFont val="Tahoma"/>
            <family val="2"/>
          </rPr>
          <t xml:space="preserve">Berlin ICEF and Turkey
2 weeks 
</t>
        </r>
      </text>
    </comment>
    <comment ref="M74" authorId="0" shapeId="0" xr:uid="{53B698EF-7464-4418-A74F-D65872C7EDB3}">
      <text>
        <r>
          <rPr>
            <b/>
            <sz val="9"/>
            <color indexed="81"/>
            <rFont val="Tahoma"/>
            <family val="2"/>
          </rPr>
          <t>one unexpected trip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Becker</author>
  </authors>
  <commentList>
    <comment ref="D45" authorId="0" shapeId="0" xr:uid="{7F684D4C-BF1A-48CE-883F-A163147EC79B}">
      <text>
        <r>
          <rPr>
            <b/>
            <sz val="9"/>
            <color indexed="81"/>
            <rFont val="Tahoma"/>
            <family val="2"/>
          </rPr>
          <t xml:space="preserve">Woori Taiwan Fair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 xr:uid="{FB5F0F1B-45EF-441F-8E3F-EF16C7C57C3D}">
      <text>
        <r>
          <rPr>
            <b/>
            <sz val="9"/>
            <color indexed="81"/>
            <rFont val="Tahoma"/>
            <family val="2"/>
          </rPr>
          <t>Ryugaku Journal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0" shapeId="0" xr:uid="{565DC0D9-42D5-4432-B05A-7A469629D7E4}">
      <text>
        <r>
          <rPr>
            <b/>
            <sz val="9"/>
            <color indexed="81"/>
            <rFont val="Tahoma"/>
            <family val="2"/>
          </rPr>
          <t xml:space="preserve">Woori, RJ and  Success Canada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0" shapeId="0" xr:uid="{409ACBDD-DEA2-423E-B9B0-1CC425F7BE67}">
      <text>
        <r>
          <rPr>
            <sz val="9"/>
            <color indexed="81"/>
            <rFont val="Tahoma"/>
            <family val="2"/>
          </rPr>
          <t>Eddy, Kyoko, and Melissa plus bonus</t>
        </r>
      </text>
    </comment>
    <comment ref="B64" authorId="0" shapeId="0" xr:uid="{AFF4FB33-4FBC-429F-838D-87A012F870AF}">
      <text>
        <r>
          <rPr>
            <b/>
            <sz val="9"/>
            <color indexed="81"/>
            <rFont val="Tahoma"/>
            <family val="2"/>
          </rPr>
          <t>Marichu</t>
        </r>
      </text>
    </comment>
    <comment ref="D74" authorId="0" shapeId="0" xr:uid="{AC65EE96-893E-4BEE-8781-C31DE59EFF07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Taiwan Trip</t>
        </r>
      </text>
    </comment>
    <comment ref="G74" authorId="0" shapeId="0" xr:uid="{E1BB5A8D-4146-4217-BE20-273EBBBF0191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Japan Trip</t>
        </r>
      </text>
    </comment>
    <comment ref="J74" authorId="0" shapeId="0" xr:uid="{A4562FB7-8C45-46F8-ABAC-B9FD86A0A885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Toronto</t>
        </r>
      </text>
    </comment>
    <comment ref="L74" authorId="0" shapeId="0" xr:uid="{ECCF4B50-6F6E-43A0-B0FC-4C5E12D32A28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Japan, Thailand and Taiwan Trip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Becker</author>
  </authors>
  <commentList>
    <comment ref="B62" authorId="0" shapeId="0" xr:uid="{876BE5D0-5E7C-4359-AC44-8A03300C5758}">
      <text>
        <r>
          <rPr>
            <sz val="9"/>
            <color indexed="81"/>
            <rFont val="Tahoma"/>
            <family val="2"/>
          </rPr>
          <t>Eddy, Kyoko, and Melissa plus bonus</t>
        </r>
      </text>
    </comment>
    <comment ref="B65" authorId="0" shapeId="0" xr:uid="{93611557-599A-4AD8-9C38-E8CF56828EC6}">
      <text>
        <r>
          <rPr>
            <b/>
            <sz val="9"/>
            <color indexed="81"/>
            <rFont val="Tahoma"/>
            <family val="2"/>
          </rPr>
          <t xml:space="preserve">Accountant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Becker</author>
  </authors>
  <commentList>
    <comment ref="I47" authorId="0" shapeId="0" xr:uid="{94E72629-E269-4619-9E94-581C5BBCC164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e-book
</t>
        </r>
      </text>
    </comment>
    <comment ref="J47" authorId="0" shapeId="0" xr:uid="{38D97809-8011-4609-AC75-E3EE9B7E330D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e-book</t>
        </r>
      </text>
    </comment>
    <comment ref="I48" authorId="0" shapeId="0" xr:uid="{F3B8A8C0-30FB-4C17-8B91-7CD5D9041D1E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ELS express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Becker</author>
  </authors>
  <commentList>
    <comment ref="G14" authorId="0" shapeId="0" xr:uid="{162DAB46-E58E-4C97-A9DC-78A5773A6677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experimento</t>
        </r>
      </text>
    </comment>
    <comment ref="K14" authorId="0" shapeId="0" xr:uid="{DF1F5938-8EB9-48D5-8374-E550780D9D67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Ci Intercambio plus some indv.</t>
        </r>
      </text>
    </comment>
    <comment ref="E20" authorId="0" shapeId="0" xr:uid="{83D69D50-7168-4A6B-944F-D66F3526F909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saint James and Independent </t>
        </r>
      </text>
    </comment>
    <comment ref="V21" authorId="0" shapeId="0" xr:uid="{43D6D3AC-085C-4776-9F28-92C231439FDE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saint james leaves</t>
        </r>
      </text>
    </comment>
    <comment ref="E26" authorId="0" shapeId="0" xr:uid="{0E8B9A2E-52F5-491C-B972-A266991838F3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59 
saint James and Independent </t>
        </r>
      </text>
    </comment>
    <comment ref="V27" authorId="0" shapeId="0" xr:uid="{625DC850-1792-4B36-9FC1-4933D39714F3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saint james leaves</t>
        </r>
      </text>
    </comment>
    <comment ref="C75" authorId="0" shapeId="0" xr:uid="{C6D84A72-84F5-4BBB-A29B-C2B54655E8AD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lanyard, binder, tshirt journal</t>
        </r>
      </text>
    </comment>
    <comment ref="W79" authorId="0" shapeId="0" xr:uid="{AE87B321-BB2A-4165-87B0-D299540702C0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students not in rockies 
</t>
        </r>
      </text>
    </comment>
    <comment ref="S80" authorId="0" shapeId="0" xr:uid="{4BE658C0-6AFC-4697-AA25-117A8F5299E4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80" authorId="0" shapeId="0" xr:uid="{D7127313-8038-4982-B966-F497E894998D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entire 1500 2 hours
bill $
20
</t>
        </r>
      </text>
    </comment>
    <comment ref="Q101" authorId="0" shapeId="0" xr:uid="{77D8334C-3462-4F18-8691-99E554C097F6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museum, dinner, bouchart, breakfast and hotel
</t>
        </r>
      </text>
    </comment>
    <comment ref="AM101" authorId="0" shapeId="0" xr:uid="{8CBE7F89-CCA3-451A-9A3E-CBB156155C8F}">
      <text>
        <r>
          <rPr>
            <b/>
            <sz val="9"/>
            <color indexed="81"/>
            <rFont val="Tahoma"/>
            <family val="2"/>
          </rPr>
          <t>John Becker:</t>
        </r>
        <r>
          <rPr>
            <sz val="9"/>
            <color indexed="81"/>
            <rFont val="Tahoma"/>
            <family val="2"/>
          </rPr>
          <t xml:space="preserve">
museum, dinner, bouchart, breakfast and hotel
</t>
        </r>
      </text>
    </comment>
  </commentList>
</comments>
</file>

<file path=xl/sharedStrings.xml><?xml version="1.0" encoding="utf-8"?>
<sst xmlns="http://schemas.openxmlformats.org/spreadsheetml/2006/main" count="3006" uniqueCount="595">
  <si>
    <t xml:space="preserve"> </t>
  </si>
  <si>
    <t>Summer Camp</t>
  </si>
  <si>
    <t>Assumption Description</t>
  </si>
  <si>
    <t>Assumption Value</t>
  </si>
  <si>
    <t>Total Days</t>
  </si>
  <si>
    <t>Student Volumes</t>
  </si>
  <si>
    <t>Input 1 Students with Homestay</t>
  </si>
  <si>
    <t>Student Arrivals</t>
  </si>
  <si>
    <t xml:space="preserve">Student Departures </t>
  </si>
  <si>
    <t>Cumulative Students Per Day</t>
  </si>
  <si>
    <t>Total</t>
  </si>
  <si>
    <t>Camp Expenses</t>
  </si>
  <si>
    <t>July</t>
  </si>
  <si>
    <t>August</t>
  </si>
  <si>
    <t>Grand Total</t>
  </si>
  <si>
    <t>Airport Pick up and Drop Off</t>
  </si>
  <si>
    <t>Airport Pick Up Costs</t>
  </si>
  <si>
    <t>Total Pick up</t>
  </si>
  <si>
    <t>Total Drop Off</t>
  </si>
  <si>
    <t>Homestay Costs</t>
  </si>
  <si>
    <t>Homestay Application Fee  456002x</t>
  </si>
  <si>
    <t>Homestay Fee Per Day  - 456000x</t>
  </si>
  <si>
    <t xml:space="preserve">Student Handling Fees </t>
  </si>
  <si>
    <t>Guardian Ship Letter - 451000</t>
  </si>
  <si>
    <t>Unacommpanied Minor Fee -  451000</t>
  </si>
  <si>
    <t>Program Orientation Expenses</t>
  </si>
  <si>
    <t>Transportation - 577200</t>
  </si>
  <si>
    <t>Admissions - 577200</t>
  </si>
  <si>
    <t>Entrance Harbour Center</t>
  </si>
  <si>
    <t>.</t>
  </si>
  <si>
    <t xml:space="preserve">Program Materials </t>
  </si>
  <si>
    <t>Weekday Activity Fees</t>
  </si>
  <si>
    <t>Event</t>
  </si>
  <si>
    <t>Capilano</t>
  </si>
  <si>
    <t>Bowling</t>
  </si>
  <si>
    <t>Biking (paid)</t>
  </si>
  <si>
    <t>aquarium</t>
  </si>
  <si>
    <t>Science World</t>
  </si>
  <si>
    <t>Kayaking</t>
  </si>
  <si>
    <t>Rock Climbing</t>
  </si>
  <si>
    <t>Lynn Valey</t>
  </si>
  <si>
    <t>Beach Picnic</t>
  </si>
  <si>
    <t xml:space="preserve">Mexican dinner </t>
  </si>
  <si>
    <t>laser tag</t>
  </si>
  <si>
    <t>Trampoline</t>
  </si>
  <si>
    <t>Biking</t>
  </si>
  <si>
    <t>Graduation</t>
  </si>
  <si>
    <t>admission/fee/food</t>
  </si>
  <si>
    <t>paid</t>
  </si>
  <si>
    <t>% participating</t>
  </si>
  <si>
    <t/>
  </si>
  <si>
    <t>staff</t>
  </si>
  <si>
    <t>*</t>
  </si>
  <si>
    <t>transportation</t>
  </si>
  <si>
    <t>Admissions -577200</t>
  </si>
  <si>
    <t>Weekday Academic Program Fees</t>
  </si>
  <si>
    <t>Costs</t>
  </si>
  <si>
    <t>Variables</t>
  </si>
  <si>
    <t>Wed and Friday Teacher  Salaries - 522000</t>
  </si>
  <si>
    <t>Mon, Tues, Thurs Salaries - 522000</t>
  </si>
  <si>
    <t>Weekday PA  Labour Costs  - 522000</t>
  </si>
  <si>
    <t>Transportation</t>
  </si>
  <si>
    <t>Weekend Activity Fees</t>
  </si>
  <si>
    <t>Whistler Day Trip</t>
  </si>
  <si>
    <t>Playland</t>
  </si>
  <si>
    <t>Victoria Tour</t>
  </si>
  <si>
    <t>Whale Watching</t>
  </si>
  <si>
    <t>Rocky Tour</t>
  </si>
  <si>
    <t>Grouse Mountain</t>
  </si>
  <si>
    <t>admission/fee/hotel</t>
  </si>
  <si>
    <t>Participants</t>
  </si>
  <si>
    <t>Variable</t>
  </si>
  <si>
    <t>PA Staff Daily - 522000</t>
  </si>
  <si>
    <t>16*5</t>
  </si>
  <si>
    <t>Staffing Meals and Transport - 577200</t>
  </si>
  <si>
    <t>Busses - 577200</t>
  </si>
  <si>
    <t>Ferries - 577200</t>
  </si>
  <si>
    <t>Admissions  - 577200</t>
  </si>
  <si>
    <t>Expense 2 - 577200</t>
  </si>
  <si>
    <t>Expense 3 -577200</t>
  </si>
  <si>
    <t>Program Supervisors / Coordinators</t>
  </si>
  <si>
    <t>Head Teacher - Raul</t>
  </si>
  <si>
    <t xml:space="preserve">  9-4  / 31.5</t>
  </si>
  <si>
    <t>Manager - Eddy</t>
  </si>
  <si>
    <t>500 every two weeks</t>
  </si>
  <si>
    <t>Misc. Expense</t>
  </si>
  <si>
    <t>PA / Chaparones/ Teachers Parties</t>
  </si>
  <si>
    <t>Misc expense</t>
  </si>
  <si>
    <t>cell hone and Compas cards</t>
  </si>
  <si>
    <t xml:space="preserve">Rental and Equipement </t>
  </si>
  <si>
    <t>Student Prizes</t>
  </si>
  <si>
    <t>Total Expenses</t>
  </si>
  <si>
    <t>Buses</t>
  </si>
  <si>
    <t>Manager</t>
  </si>
  <si>
    <t>Car Rental</t>
  </si>
  <si>
    <t>Camp Revenue</t>
  </si>
  <si>
    <t>Total July</t>
  </si>
  <si>
    <t>Total Aug</t>
  </si>
  <si>
    <t>Tuition - 408006</t>
  </si>
  <si>
    <t xml:space="preserve">Avg Per Day Per Student </t>
  </si>
  <si>
    <t>Application Fees - 451000</t>
  </si>
  <si>
    <t>All Students</t>
  </si>
  <si>
    <t>One Time Per New Student</t>
  </si>
  <si>
    <t>discounted</t>
  </si>
  <si>
    <t>Materials Fee - 450008</t>
  </si>
  <si>
    <t>Homestay Fees  - 450000</t>
  </si>
  <si>
    <t>Homestay Application Fee</t>
  </si>
  <si>
    <t>One Time Fee</t>
  </si>
  <si>
    <t>Homestay Fees</t>
  </si>
  <si>
    <t>Avg Per Day Per Student</t>
  </si>
  <si>
    <t>Airport Transfer Fees - 452007</t>
  </si>
  <si>
    <t>Student Arrivals students w homestay</t>
  </si>
  <si>
    <t>% of Arriving Students</t>
  </si>
  <si>
    <t>Number of Students</t>
  </si>
  <si>
    <t xml:space="preserve">Cost </t>
  </si>
  <si>
    <t>Optional Weekend Activity Fees - 450000</t>
  </si>
  <si>
    <t>Whale Watchiong</t>
  </si>
  <si>
    <t xml:space="preserve">Fee </t>
  </si>
  <si>
    <t>% Students participating</t>
  </si>
  <si>
    <t>Optional Weekday Activity Fees - 450000</t>
  </si>
  <si>
    <t>Fee</t>
  </si>
  <si>
    <t>Total Revenue All Students</t>
  </si>
  <si>
    <t>Commission of Tuition</t>
  </si>
  <si>
    <t xml:space="preserve">Jan </t>
  </si>
  <si>
    <t>Feb</t>
  </si>
  <si>
    <t>March</t>
  </si>
  <si>
    <t>April</t>
  </si>
  <si>
    <t>May</t>
  </si>
  <si>
    <t>Jun</t>
  </si>
  <si>
    <t>Jul</t>
  </si>
  <si>
    <t>Aug</t>
  </si>
  <si>
    <t>Sep</t>
  </si>
  <si>
    <t>Oct</t>
  </si>
  <si>
    <t>Nov</t>
  </si>
  <si>
    <t>Dec</t>
  </si>
  <si>
    <t>408000</t>
  </si>
  <si>
    <t>Tuition Revenue - EAP</t>
  </si>
  <si>
    <t>40800A</t>
  </si>
  <si>
    <t>Tuition Revenue- General Intensive</t>
  </si>
  <si>
    <t>408002</t>
  </si>
  <si>
    <t>Tuition Revenue - ESL (Semi-Int)</t>
  </si>
  <si>
    <t>Tuition Revenue Spec Proj</t>
  </si>
  <si>
    <t>408009</t>
  </si>
  <si>
    <t>Tuition Revenue - Premium Prg</t>
  </si>
  <si>
    <t>Tuition Revenue</t>
  </si>
  <si>
    <t>409100</t>
  </si>
  <si>
    <t>Forfeitures</t>
  </si>
  <si>
    <t>Revenue-Other</t>
  </si>
  <si>
    <t>450003</t>
  </si>
  <si>
    <t>Revenue Teacher Recruits</t>
  </si>
  <si>
    <t>450008</t>
  </si>
  <si>
    <t>Materials / Lab Use  Fee</t>
  </si>
  <si>
    <t>451000</t>
  </si>
  <si>
    <t>Revenue-Registration Fees</t>
  </si>
  <si>
    <t>452001</t>
  </si>
  <si>
    <t>Revenue-I.T.L. Fees</t>
  </si>
  <si>
    <t>452007</t>
  </si>
  <si>
    <t>Revenue-Taxi Services</t>
  </si>
  <si>
    <t>452007x</t>
  </si>
  <si>
    <t>Revenue-Taxi Services - x</t>
  </si>
  <si>
    <t>452500</t>
  </si>
  <si>
    <t>Revenue-Student Transfer Commiss</t>
  </si>
  <si>
    <t>453000</t>
  </si>
  <si>
    <t>Revenue - Student Testing</t>
  </si>
  <si>
    <t>Revenue-Student Housing</t>
  </si>
  <si>
    <t>456000x</t>
  </si>
  <si>
    <t>Revenue-Student Housing-x</t>
  </si>
  <si>
    <t>456001</t>
  </si>
  <si>
    <t>Revenue Std Housing Hotel Acc</t>
  </si>
  <si>
    <t>456002</t>
  </si>
  <si>
    <t>Revenue Housing Placement Fee</t>
  </si>
  <si>
    <t>456002x</t>
  </si>
  <si>
    <t>Revenue Housing Placement Fees-x</t>
  </si>
  <si>
    <t>Other Revenue</t>
  </si>
  <si>
    <t>Total Revenue</t>
  </si>
  <si>
    <t>Teachers Salaries (NG/Prod)</t>
  </si>
  <si>
    <t>523002</t>
  </si>
  <si>
    <t>Teachers Vacation (NG/Non-Prod)</t>
  </si>
  <si>
    <t>526001</t>
  </si>
  <si>
    <t>FICA Accrual - Teachers</t>
  </si>
  <si>
    <t>526003</t>
  </si>
  <si>
    <t>FUI Accrual - Teachers</t>
  </si>
  <si>
    <t>Instruction Salaries</t>
  </si>
  <si>
    <t>Commissions</t>
  </si>
  <si>
    <t>564000</t>
  </si>
  <si>
    <t>Commissions-FL</t>
  </si>
  <si>
    <t>571002</t>
  </si>
  <si>
    <t>Book Supplies</t>
  </si>
  <si>
    <t>571200</t>
  </si>
  <si>
    <t>Teacher Materials - Other</t>
  </si>
  <si>
    <t>571201</t>
  </si>
  <si>
    <t>Materials - Texts</t>
  </si>
  <si>
    <t>571202</t>
  </si>
  <si>
    <t>Materials - Other</t>
  </si>
  <si>
    <t>571204</t>
  </si>
  <si>
    <t>License Fees Lab Software</t>
  </si>
  <si>
    <t>572000</t>
  </si>
  <si>
    <t>575501</t>
  </si>
  <si>
    <t>Discount - Draft Capture</t>
  </si>
  <si>
    <t>Activity Fee Expense</t>
  </si>
  <si>
    <t>577204</t>
  </si>
  <si>
    <t>Staff R&amp;B Expenses</t>
  </si>
  <si>
    <t>577208</t>
  </si>
  <si>
    <t>Application Processing Costs</t>
  </si>
  <si>
    <t>577300</t>
  </si>
  <si>
    <t>Testing Service Fees</t>
  </si>
  <si>
    <t>577320</t>
  </si>
  <si>
    <t>Testing Salaries</t>
  </si>
  <si>
    <t>579000</t>
  </si>
  <si>
    <t>Sundry Expenses-Other</t>
  </si>
  <si>
    <t>590720</t>
  </si>
  <si>
    <t>Trade Shows-ExhibitionRegOth</t>
  </si>
  <si>
    <t>590800</t>
  </si>
  <si>
    <t>Advert - Brochures</t>
  </si>
  <si>
    <t>590810</t>
  </si>
  <si>
    <t>Adv Brochures Pre Production</t>
  </si>
  <si>
    <t>590820</t>
  </si>
  <si>
    <t>Adv Brochures Printing</t>
  </si>
  <si>
    <t>590900</t>
  </si>
  <si>
    <t>Advertising</t>
  </si>
  <si>
    <t>590906</t>
  </si>
  <si>
    <t>Marketing FAM Tours</t>
  </si>
  <si>
    <t>591000</t>
  </si>
  <si>
    <t>Promotion</t>
  </si>
  <si>
    <t>Other Operating Expense</t>
  </si>
  <si>
    <t>Operating Expenses-Variable</t>
  </si>
  <si>
    <t>601200</t>
  </si>
  <si>
    <t>Ctry Mgrs Controllers Superv</t>
  </si>
  <si>
    <t>601601</t>
  </si>
  <si>
    <t>FICA Accrual - Execs &amp; Mgr</t>
  </si>
  <si>
    <t>601603</t>
  </si>
  <si>
    <t>FUI Accrual - Executives &amp; Mgr</t>
  </si>
  <si>
    <t>602100</t>
  </si>
  <si>
    <t>Directors' Salaries</t>
  </si>
  <si>
    <t>602201</t>
  </si>
  <si>
    <t>FICA Accrual - Directors</t>
  </si>
  <si>
    <t>602203</t>
  </si>
  <si>
    <t>FUI Accrual - Directors</t>
  </si>
  <si>
    <t>603100</t>
  </si>
  <si>
    <t>Office &amp; Admin Salaries</t>
  </si>
  <si>
    <t>603200</t>
  </si>
  <si>
    <t>Sales Salaries</t>
  </si>
  <si>
    <t>603301</t>
  </si>
  <si>
    <t>FICA Accrual - Sales &amp; Mgt Trn</t>
  </si>
  <si>
    <t>603303</t>
  </si>
  <si>
    <t>FUI Accrual -Sales &amp; Mgt Trn</t>
  </si>
  <si>
    <t>603601</t>
  </si>
  <si>
    <t>FICA Accrual - Office &amp; Admin</t>
  </si>
  <si>
    <t>603603</t>
  </si>
  <si>
    <t>FUI Accrual - Office &amp; Admin</t>
  </si>
  <si>
    <t>603700</t>
  </si>
  <si>
    <t>Med &amp; Dent - Office &amp; Admin</t>
  </si>
  <si>
    <t>621000</t>
  </si>
  <si>
    <t>Postage</t>
  </si>
  <si>
    <t>621001</t>
  </si>
  <si>
    <t>Freight In</t>
  </si>
  <si>
    <t>621500</t>
  </si>
  <si>
    <t>Courier Services</t>
  </si>
  <si>
    <t>622000</t>
  </si>
  <si>
    <t>Supplies</t>
  </si>
  <si>
    <t>623000</t>
  </si>
  <si>
    <t>Communications</t>
  </si>
  <si>
    <t>623100</t>
  </si>
  <si>
    <t>Global Connectivity Expense</t>
  </si>
  <si>
    <t>624000</t>
  </si>
  <si>
    <t>Insurance</t>
  </si>
  <si>
    <t>631000</t>
  </si>
  <si>
    <t>Air &amp; Railroad Transportation</t>
  </si>
  <si>
    <t>632000</t>
  </si>
  <si>
    <t>Ground Transportation (Mgr)</t>
  </si>
  <si>
    <t>633000</t>
  </si>
  <si>
    <t>Lodging Expenses (Mgr)</t>
  </si>
  <si>
    <t>632010</t>
  </si>
  <si>
    <t>Car Rental (Fixed)</t>
  </si>
  <si>
    <t>634000</t>
  </si>
  <si>
    <t>Employee Meals (Mgr)</t>
  </si>
  <si>
    <t>635000</t>
  </si>
  <si>
    <t>Business Meals &amp; Enter (Mgr)</t>
  </si>
  <si>
    <t>636000</t>
  </si>
  <si>
    <t>Other Business Expenses (Mgr)</t>
  </si>
  <si>
    <t>641000</t>
  </si>
  <si>
    <t>Legal Fees</t>
  </si>
  <si>
    <t>642000</t>
  </si>
  <si>
    <t>Audit Fees</t>
  </si>
  <si>
    <t>644000</t>
  </si>
  <si>
    <t>Professional &amp; Consultant</t>
  </si>
  <si>
    <t>651001</t>
  </si>
  <si>
    <t>Association Dues</t>
  </si>
  <si>
    <t>652000</t>
  </si>
  <si>
    <t>Recruiting</t>
  </si>
  <si>
    <t>653500</t>
  </si>
  <si>
    <t>Bank Charges</t>
  </si>
  <si>
    <t>656000</t>
  </si>
  <si>
    <t>Meeting Presentations</t>
  </si>
  <si>
    <t>656500</t>
  </si>
  <si>
    <t>Management Fees</t>
  </si>
  <si>
    <t>659000</t>
  </si>
  <si>
    <t>Worlwide Training &amp; Developme</t>
  </si>
  <si>
    <t>661000</t>
  </si>
  <si>
    <t>Equipment Rental</t>
  </si>
  <si>
    <t>669000</t>
  </si>
  <si>
    <t>Other Fixed Expenses</t>
  </si>
  <si>
    <t>669001</t>
  </si>
  <si>
    <t>Misc Corp Expense</t>
  </si>
  <si>
    <t>669002</t>
  </si>
  <si>
    <t>Bus Interuption Insur Proceeds</t>
  </si>
  <si>
    <t>670300</t>
  </si>
  <si>
    <t>Amortization Leasehold Improv</t>
  </si>
  <si>
    <t>670400</t>
  </si>
  <si>
    <t>Depreciation Furn. &amp; Fix.</t>
  </si>
  <si>
    <t>670408</t>
  </si>
  <si>
    <t>Depreciation Expense Signs</t>
  </si>
  <si>
    <t>670500</t>
  </si>
  <si>
    <t>Deprec - Computer</t>
  </si>
  <si>
    <t>681000</t>
  </si>
  <si>
    <t>Rent</t>
  </si>
  <si>
    <t>681002</t>
  </si>
  <si>
    <t>Rental Expense</t>
  </si>
  <si>
    <t>691100</t>
  </si>
  <si>
    <t>Other Premises Upkeep</t>
  </si>
  <si>
    <t>691101</t>
  </si>
  <si>
    <t>Office Maintenance</t>
  </si>
  <si>
    <t>692100</t>
  </si>
  <si>
    <t>Office Equipment Maintenance</t>
  </si>
  <si>
    <t>692101</t>
  </si>
  <si>
    <t>Maintencance &amp; Repair</t>
  </si>
  <si>
    <t>692200</t>
  </si>
  <si>
    <t>Computer Maintenance</t>
  </si>
  <si>
    <t>Operating Expenses-Fixed</t>
  </si>
  <si>
    <t>Profit and Loss</t>
  </si>
  <si>
    <t xml:space="preserve">FTE - Average for session  </t>
  </si>
  <si>
    <t>ProfitperFTE</t>
  </si>
  <si>
    <t>Statistics</t>
  </si>
  <si>
    <t>FTEs</t>
  </si>
  <si>
    <t>FTE</t>
  </si>
  <si>
    <t>Avg Revenue Per FTE</t>
  </si>
  <si>
    <t>ARPFTE</t>
  </si>
  <si>
    <t>Avg Cost Per FTE</t>
  </si>
  <si>
    <t>ACPFTE</t>
  </si>
  <si>
    <t>Margin</t>
  </si>
  <si>
    <t>408006</t>
  </si>
  <si>
    <t>450000</t>
  </si>
  <si>
    <t>456000</t>
  </si>
  <si>
    <t>522000</t>
  </si>
  <si>
    <t>Teachers Vacation (NG/Non-Prod</t>
  </si>
  <si>
    <t>561000</t>
  </si>
  <si>
    <t>Provision for Uncollected Accts</t>
  </si>
  <si>
    <t>577200</t>
  </si>
  <si>
    <t xml:space="preserve">Testing Service Fees </t>
  </si>
  <si>
    <t>Professional &amp; Consultant - Security</t>
  </si>
  <si>
    <t>Maintenance &amp; Repair</t>
  </si>
  <si>
    <t xml:space="preserve">tests per month </t>
  </si>
  <si>
    <t>CELPIP GEN</t>
  </si>
  <si>
    <t>6</t>
  </si>
  <si>
    <t>5</t>
  </si>
  <si>
    <t>4</t>
  </si>
  <si>
    <t>7</t>
  </si>
  <si>
    <t>3</t>
  </si>
  <si>
    <t>CELPIP LS</t>
  </si>
  <si>
    <t>1</t>
  </si>
  <si>
    <t>2</t>
  </si>
  <si>
    <t>CAEL CE</t>
  </si>
  <si>
    <t>CAEL Pre-Test</t>
  </si>
  <si>
    <t>Ave # per test</t>
  </si>
  <si>
    <t>Revenue per test taker</t>
  </si>
  <si>
    <t>Staff hours per test</t>
  </si>
  <si>
    <t>Rate per staff hour</t>
  </si>
  <si>
    <t>Variable 1</t>
  </si>
  <si>
    <t>Variable 2</t>
  </si>
  <si>
    <t>Variable 3</t>
  </si>
  <si>
    <t>Variable 4</t>
  </si>
  <si>
    <t>Variable 5</t>
  </si>
  <si>
    <t>Students 1</t>
  </si>
  <si>
    <t>Students 2</t>
  </si>
  <si>
    <t>Students 3</t>
  </si>
  <si>
    <t>Students 4</t>
  </si>
  <si>
    <t>Students 5</t>
  </si>
  <si>
    <t>IELTS</t>
  </si>
  <si>
    <t>Students 6</t>
  </si>
  <si>
    <t>Per month Fee</t>
  </si>
  <si>
    <t>Provision for Uncollect Accts</t>
  </si>
  <si>
    <t>Net</t>
  </si>
  <si>
    <t>Royalty</t>
  </si>
  <si>
    <t>Jan 19</t>
  </si>
  <si>
    <t>Feb 19</t>
  </si>
  <si>
    <t>Mar 19</t>
  </si>
  <si>
    <t>Apr 19</t>
  </si>
  <si>
    <t>May 19</t>
  </si>
  <si>
    <t>Income</t>
  </si>
  <si>
    <t>408000B · Tuition-EAP</t>
  </si>
  <si>
    <t>408002B · Tuition-SI</t>
  </si>
  <si>
    <t>408006B · Tuition-Exec</t>
  </si>
  <si>
    <t>Tuition-SU</t>
  </si>
  <si>
    <t>408006B · Tuition-Exec - Other</t>
  </si>
  <si>
    <t>Total 408006B · Tuition-Exec</t>
  </si>
  <si>
    <t>40800AB · Tuition-GE</t>
  </si>
  <si>
    <t>450000B · Other Sales</t>
  </si>
  <si>
    <t>450008B · Materials and Lab Fees</t>
  </si>
  <si>
    <t>451000B · Administration Fee</t>
  </si>
  <si>
    <t>Application Fee</t>
  </si>
  <si>
    <t>Notarized Letter</t>
  </si>
  <si>
    <t>Total 451000B · Administration Fee</t>
  </si>
  <si>
    <t>452001B · Student Health Insurance</t>
  </si>
  <si>
    <t>452007B · Pick Up Fee</t>
  </si>
  <si>
    <t>453000B · Testing Sales</t>
  </si>
  <si>
    <t>456000B · Homestay</t>
  </si>
  <si>
    <t>Bathroom</t>
  </si>
  <si>
    <t>foreign EXCHANGE GAIN LOSS</t>
  </si>
  <si>
    <t>Extra Night</t>
  </si>
  <si>
    <t>FB Homestay</t>
  </si>
  <si>
    <t>HB Homestay</t>
  </si>
  <si>
    <t>Premium</t>
  </si>
  <si>
    <t>Youth</t>
  </si>
  <si>
    <t>456000B · Homestay - Other</t>
  </si>
  <si>
    <t>Total 456000B · Homestay</t>
  </si>
  <si>
    <t>456002B · Placement Fee</t>
  </si>
  <si>
    <t>45600XB · Residence</t>
  </si>
  <si>
    <t>Total Income</t>
  </si>
  <si>
    <t>851200B · Foreign Exchange Gain/Loss</t>
  </si>
  <si>
    <t>Gross Profit</t>
  </si>
  <si>
    <t>Expense</t>
  </si>
  <si>
    <t>522000B · Teacher Salaries</t>
  </si>
  <si>
    <t>Employee Benefits</t>
  </si>
  <si>
    <t>Employer Health Tax Ontario</t>
  </si>
  <si>
    <t>522000B · Teacher Salaries - Other</t>
  </si>
  <si>
    <t>Total 522000B · Teacher Salaries</t>
  </si>
  <si>
    <t>523002B · Vac Payment - Teachers</t>
  </si>
  <si>
    <t>526001B · EI Employer's - Teachers</t>
  </si>
  <si>
    <t>526003B · CPP Employer's - Teachers</t>
  </si>
  <si>
    <t>564000B · Agents Commission</t>
  </si>
  <si>
    <t>571200B · Customs &amp; Duty</t>
  </si>
  <si>
    <t>571201B · Books</t>
  </si>
  <si>
    <t>575501B · Merchant Fees</t>
  </si>
  <si>
    <t>577200B · Student Activity</t>
  </si>
  <si>
    <t>577204B · Staff Activity</t>
  </si>
  <si>
    <t>577300B · Testing Service Fees</t>
  </si>
  <si>
    <t>577320B · Salaries Testing Services</t>
  </si>
  <si>
    <t>590900B · Advertising</t>
  </si>
  <si>
    <t>591000B · Promotion</t>
  </si>
  <si>
    <t>602100B · Director Salaries</t>
  </si>
  <si>
    <t>603100B · Office Salaries</t>
  </si>
  <si>
    <t>603700B · Disability Insurance</t>
  </si>
  <si>
    <t>621001B · Shipping</t>
  </si>
  <si>
    <t>622000B · Office supplies</t>
  </si>
  <si>
    <t>623000B · Telephone</t>
  </si>
  <si>
    <t>623100B · Global Connectivity Expense</t>
  </si>
  <si>
    <t>cable</t>
  </si>
  <si>
    <t>Internet</t>
  </si>
  <si>
    <t>Total 623100B · Global Connectivity Expense</t>
  </si>
  <si>
    <t>631000B · T&amp;E-Air and Rail Transportation</t>
  </si>
  <si>
    <t>632000B · T&amp;E-Ground Transportation</t>
  </si>
  <si>
    <t>634000B · T&amp;E-Meals</t>
  </si>
  <si>
    <t>636000B · T&amp;E - Other Business Travel Exp</t>
  </si>
  <si>
    <t>651001B · Dues and Subscriptions</t>
  </si>
  <si>
    <t>Membership</t>
  </si>
  <si>
    <t>Total 651001B · Dues and Subscriptions</t>
  </si>
  <si>
    <t>653500B · Bank Service Charges</t>
  </si>
  <si>
    <t>Comtran fee</t>
  </si>
  <si>
    <t>653500B · Bank Service Charges - Other</t>
  </si>
  <si>
    <t>Total 653500B · Bank Service Charges</t>
  </si>
  <si>
    <t>659000B · Professional Training</t>
  </si>
  <si>
    <t>669001B · Miscellaneous</t>
  </si>
  <si>
    <t>681000B · Rent</t>
  </si>
  <si>
    <t>691100B · Security</t>
  </si>
  <si>
    <t>691101B · Building Repairs</t>
  </si>
  <si>
    <t>692200B · Computer Maintenance</t>
  </si>
  <si>
    <t>Total Expense</t>
  </si>
  <si>
    <t>821220B · Royalty for ELS USA</t>
  </si>
  <si>
    <t>Other Income</t>
  </si>
  <si>
    <t>868000B · Other Income</t>
  </si>
  <si>
    <t>Total Other Income</t>
  </si>
  <si>
    <t>408000A · Tuition-EAP</t>
  </si>
  <si>
    <t>PTA-Tuition-EAP</t>
  </si>
  <si>
    <t>408000A · Tuition-EAP - Other</t>
  </si>
  <si>
    <t>Total 408000A · Tuition-EAP</t>
  </si>
  <si>
    <t>408002A · Tuition-SI</t>
  </si>
  <si>
    <t>PTA-Tuition-SI</t>
  </si>
  <si>
    <t>408002A · Tuition-SI - Other</t>
  </si>
  <si>
    <t>Total 408002A · Tuition-SI</t>
  </si>
  <si>
    <t>408006A · Tuition-Xec</t>
  </si>
  <si>
    <t>PTA-Tuition-Xec</t>
  </si>
  <si>
    <t>408006A · Tuition-Xec - Other</t>
  </si>
  <si>
    <t>Total 408006A · Tuition-Xec</t>
  </si>
  <si>
    <t>408008A · English and Culture Program</t>
  </si>
  <si>
    <t>408009A · Tuition-YP</t>
  </si>
  <si>
    <t>408009B · SYP</t>
  </si>
  <si>
    <t>408009D · Spring YP</t>
  </si>
  <si>
    <t>408009A · Tuition-YP - Other</t>
  </si>
  <si>
    <t>Total 408009A · Tuition-YP</t>
  </si>
  <si>
    <t>40800AA · Tuition-GE</t>
  </si>
  <si>
    <t>PTA-Tuition-GE</t>
  </si>
  <si>
    <t>40800AA · Tuition-GE - Other</t>
  </si>
  <si>
    <t>Total 40800AA · Tuition-GE</t>
  </si>
  <si>
    <t>450000A · Other Sales</t>
  </si>
  <si>
    <t>450003A · Courier Service</t>
  </si>
  <si>
    <t>450008A · Material &amp; Lab Fees</t>
  </si>
  <si>
    <t>45000B · Youth Homestay Program</t>
  </si>
  <si>
    <t>45000ZA · Uncategorized Income</t>
  </si>
  <si>
    <t>451000A · Administration Fee</t>
  </si>
  <si>
    <t>Notarized Letters</t>
  </si>
  <si>
    <t>451000A · Administration Fee - Other</t>
  </si>
  <si>
    <t>Total 451000A · Administration Fee</t>
  </si>
  <si>
    <t>452001A · Health Insurance</t>
  </si>
  <si>
    <t>452007A · Pickup</t>
  </si>
  <si>
    <t>453000A · Testing Sales</t>
  </si>
  <si>
    <t>456000A · Homestay</t>
  </si>
  <si>
    <t>Closer</t>
  </si>
  <si>
    <t>Extra night</t>
  </si>
  <si>
    <t>Youth Homestay</t>
  </si>
  <si>
    <t>456000A · Homestay - Other</t>
  </si>
  <si>
    <t>Total 456000A · Homestay</t>
  </si>
  <si>
    <t>456001A · Accomodation Rent</t>
  </si>
  <si>
    <t>456002A · Placement</t>
  </si>
  <si>
    <t>851200A · Foreign Exchange Gain/Loss</t>
  </si>
  <si>
    <t>523002A . Vac Payment-teachers</t>
  </si>
  <si>
    <t>522000A · Teacher Salaries</t>
  </si>
  <si>
    <t>Employees benefits</t>
  </si>
  <si>
    <t>Worker Compensation Board</t>
  </si>
  <si>
    <t>522000A · Teacher Salaries - Other</t>
  </si>
  <si>
    <t>Total 522000A · Teacher Salaries</t>
  </si>
  <si>
    <t>526001A · EI Employer's - Teachers</t>
  </si>
  <si>
    <t>526003A · CPP Employer's - Teachers</t>
  </si>
  <si>
    <t>561000A · Commissions &amp; Bonuses</t>
  </si>
  <si>
    <t>564000A · Agents Commission</t>
  </si>
  <si>
    <t>571200A · Teaching Supplies</t>
  </si>
  <si>
    <t>571201A · Book expenses</t>
  </si>
  <si>
    <t>571202A · Brokerage, Custom &amp; Duty Fees</t>
  </si>
  <si>
    <t>575501A · Merchant Fees</t>
  </si>
  <si>
    <t>577200A · Student Activities</t>
  </si>
  <si>
    <t>Special Activities</t>
  </si>
  <si>
    <t>577200A · Student Activities - Other</t>
  </si>
  <si>
    <t>Total 577200A · Student Activities</t>
  </si>
  <si>
    <t>577200Y · Youth Student Activity</t>
  </si>
  <si>
    <t>577204A · Staff Activity</t>
  </si>
  <si>
    <t>577208A · Shipping Charges</t>
  </si>
  <si>
    <t>577300A · Testing Service Fees</t>
  </si>
  <si>
    <t>577320A · Salaries Testing Services</t>
  </si>
  <si>
    <t>590800A · Printing and Reproduction</t>
  </si>
  <si>
    <t>590900A · Advertising</t>
  </si>
  <si>
    <t>591000A · Promotion</t>
  </si>
  <si>
    <t>601200C · Country Manager Salary</t>
  </si>
  <si>
    <t>602100A · Director Salaries</t>
  </si>
  <si>
    <t>603100A · Office Salaries</t>
  </si>
  <si>
    <t>603200C · Sales Salaries</t>
  </si>
  <si>
    <t>603700A · Medical &amp; Dental Expenses</t>
  </si>
  <si>
    <t>621000A · Postage and Delivery</t>
  </si>
  <si>
    <t>622000A · Office Supplies</t>
  </si>
  <si>
    <t>623000A · Telephone</t>
  </si>
  <si>
    <t>Cellular Phone</t>
  </si>
  <si>
    <t>623000A · Telephone - Other</t>
  </si>
  <si>
    <t>Total 623000A · Telephone</t>
  </si>
  <si>
    <t>624000A · Insurance</t>
  </si>
  <si>
    <t>631000A · Travel - Air &amp; Rail</t>
  </si>
  <si>
    <t>632000A · Ground Transportation</t>
  </si>
  <si>
    <t>632000C · HQ Ground Transportation</t>
  </si>
  <si>
    <t>632010A · Automobile Expense</t>
  </si>
  <si>
    <t>633000A · Lodging</t>
  </si>
  <si>
    <t>634000A · Employee Meals</t>
  </si>
  <si>
    <t>634000C · HQ Employee Meals</t>
  </si>
  <si>
    <t>635000A · Business Meals &amp; Entertainment</t>
  </si>
  <si>
    <t>636000A · Other Business Travel Expense</t>
  </si>
  <si>
    <t>641000C · Legal Fees</t>
  </si>
  <si>
    <t>644000A · Professional &amp; Consultant Fees</t>
  </si>
  <si>
    <t>651001A · Membership</t>
  </si>
  <si>
    <t>651001X · Dues and Subscriptions</t>
  </si>
  <si>
    <t>652000A · Recruiting</t>
  </si>
  <si>
    <t>653500A · Bank Service Charges</t>
  </si>
  <si>
    <t>Merchant Fees</t>
  </si>
  <si>
    <t>Wire Transfer Handling Charge</t>
  </si>
  <si>
    <t>653500A · Bank Service Charges - Other</t>
  </si>
  <si>
    <t>Total 653500A · Bank Service Charges</t>
  </si>
  <si>
    <t>656000C · Meetings and Presentati</t>
  </si>
  <si>
    <t>659000A · Professional Training</t>
  </si>
  <si>
    <t>661000A · Equipment Rental</t>
  </si>
  <si>
    <t>669000A · Uncategorized Expenses</t>
  </si>
  <si>
    <t>669001A · Miscellaneous</t>
  </si>
  <si>
    <t>681000A · Rent</t>
  </si>
  <si>
    <t>691101A · Security</t>
  </si>
  <si>
    <t>692100A · Repairs</t>
  </si>
  <si>
    <t>Computer Repairs</t>
  </si>
  <si>
    <t>Equipment Repairs</t>
  </si>
  <si>
    <t>692100A · Repairs - Other</t>
  </si>
  <si>
    <t>Total 692100A · Repairs</t>
  </si>
  <si>
    <t>821220A · Royalty to ELS USA</t>
  </si>
  <si>
    <t>Miscellaneous services</t>
  </si>
  <si>
    <t>868000A · Other Income - Other</t>
  </si>
  <si>
    <t xml:space="preserve">Input 2 Students NO Homestay </t>
  </si>
  <si>
    <t>Hotel Costs</t>
  </si>
  <si>
    <t>Hotel Expenses</t>
  </si>
  <si>
    <t xml:space="preserve">Hotel Fees  </t>
  </si>
  <si>
    <t>Hotel Placement Fees</t>
  </si>
  <si>
    <t>Hotel Fees</t>
  </si>
  <si>
    <t>Revenue Housing Fees-x</t>
  </si>
  <si>
    <t>Input 3 Students IN Hotel</t>
  </si>
  <si>
    <t>Students with Homestay and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</si>
</sst>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;[Red]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&quot;Month &quot;#"/>
    <numFmt numFmtId="166" formatCode="[$-409]mmm\-yy;@"/>
    <numFmt numFmtId="167" formatCode="mm/dd/yy;@"/>
    <numFmt numFmtId="168" formatCode="ddd"/>
    <numFmt numFmtId="169" formatCode="&quot;Week &quot;#"/>
    <numFmt numFmtId="170" formatCode="0.0%"/>
    <numFmt numFmtId="171" formatCode="#,###,##0.00;\(#,###,##0.00\)"/>
    <numFmt numFmtId="172" formatCode="#,##0_ ;[Red]\-#,##0\ "/>
    <numFmt numFmtId="173" formatCode="&quot;$&quot;#,##0"/>
    <numFmt numFmtId="174" formatCode="#,##0.0_ ;\-#,##0.0\ "/>
    <numFmt numFmtId="175" formatCode="#,##0;[Red]#,##0"/>
    <numFmt numFmtId="176" formatCode="_(* #,##0_);[Red]_(* \(#,##0\);_(* &quot;-&quot;_);_(@_)"/>
    <numFmt numFmtId="177" formatCode="#,##0.00_ ;\-#,##0.00\ "/>
    <numFmt numFmtId="178" formatCode="#,###,##0;\(#,###,##0\)"/>
    <numFmt numFmtId="179" formatCode="_-* #,##0_-;\-* #,##0_-;_-* &quot;-&quot;??_-;_-@_-"/>
    <numFmt numFmtId="180" formatCode="_(* #,##0_);_(* \(#,##0\);_(* &quot;-&quot;??_);_(@_)"/>
    <numFmt numFmtId="181" formatCode="&quot;$&quot;#,###,##0.00;\(&quot;$&quot;#,###,##0.00\)"/>
    <numFmt numFmtId="182" formatCode="#,##0.0;\-#,##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3333CC"/>
      <name val="Calibri"/>
      <family val="2"/>
    </font>
    <font>
      <b/>
      <i/>
      <sz val="11"/>
      <name val="Calibri"/>
      <family val="2"/>
    </font>
    <font>
      <b/>
      <sz val="11"/>
      <color rgb="FF3333CC"/>
      <name val="Calibri"/>
      <family val="2"/>
    </font>
    <font>
      <sz val="11"/>
      <color rgb="FF3333CC"/>
      <name val="Calibri"/>
      <family val="2"/>
      <scheme val="minor"/>
    </font>
    <font>
      <b/>
      <sz val="11"/>
      <color theme="1"/>
      <name val="Calibri"/>
      <family val="2"/>
    </font>
    <font>
      <sz val="10"/>
      <color indexed="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rgb="FF00B050"/>
      <name val="Calibri"/>
      <family val="2"/>
    </font>
    <font>
      <b/>
      <sz val="10"/>
      <color indexed="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0"/>
      <color rgb="FF3333CC"/>
      <name val="Arial"/>
      <family val="2"/>
    </font>
    <font>
      <b/>
      <u/>
      <sz val="11"/>
      <color rgb="FF23238C"/>
      <name val="Calibri"/>
      <family val="2"/>
      <scheme val="minor"/>
    </font>
    <font>
      <sz val="11"/>
      <color rgb="FF23238C"/>
      <name val="Calibri"/>
      <family val="2"/>
      <scheme val="minor"/>
    </font>
    <font>
      <sz val="11"/>
      <color indexed="0"/>
      <name val="Calibri"/>
      <family val="2"/>
      <scheme val="minor"/>
    </font>
    <font>
      <sz val="1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indexed="0"/>
      <name val="Calibri"/>
      <family val="2"/>
      <scheme val="minor"/>
    </font>
    <font>
      <sz val="8"/>
      <name val="Arial"/>
      <family val="2"/>
    </font>
    <font>
      <sz val="10"/>
      <color indexed="0"/>
      <name val="Calibri"/>
      <family val="2"/>
      <scheme val="minor"/>
    </font>
    <font>
      <b/>
      <sz val="10"/>
      <color indexed="0"/>
      <name val="Calibri"/>
      <family val="2"/>
      <scheme val="minor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rgb="FF23238C"/>
      </left>
      <right style="hair">
        <color theme="4" tint="0.79998168889431442"/>
      </right>
      <top/>
      <bottom/>
      <diagonal/>
    </border>
    <border>
      <left style="hair">
        <color theme="4" tint="0.79998168889431442"/>
      </left>
      <right style="hair">
        <color theme="4" tint="0.79998168889431442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hair">
        <color theme="4" tint="0.79998168889431442"/>
      </left>
      <right style="hair">
        <color theme="4" tint="0.7999816888943144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13" fillId="0" borderId="0"/>
    <xf numFmtId="0" fontId="24" fillId="0" borderId="0"/>
    <xf numFmtId="44" fontId="1" fillId="0" borderId="0" applyFont="0" applyFill="0" applyBorder="0" applyAlignment="0" applyProtection="0"/>
  </cellStyleXfs>
  <cellXfs count="530">
    <xf numFmtId="0" fontId="0" fillId="0" borderId="0" xfId="0"/>
    <xf numFmtId="0" fontId="6" fillId="0" borderId="0" xfId="0" applyFont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0" fontId="6" fillId="0" borderId="0" xfId="0" applyFont="1" applyFill="1" applyBorder="1" applyProtection="1">
      <protection hidden="1"/>
    </xf>
    <xf numFmtId="37" fontId="6" fillId="0" borderId="0" xfId="1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37" fontId="8" fillId="0" borderId="0" xfId="0" applyNumberFormat="1" applyFont="1" applyFill="1" applyBorder="1" applyAlignment="1" applyProtection="1">
      <alignment horizontal="center"/>
      <protection hidden="1"/>
    </xf>
    <xf numFmtId="37" fontId="6" fillId="0" borderId="0" xfId="0" applyNumberFormat="1" applyFont="1" applyFill="1" applyBorder="1" applyProtection="1">
      <protection hidden="1"/>
    </xf>
    <xf numFmtId="37" fontId="6" fillId="0" borderId="0" xfId="0" applyNumberFormat="1" applyFont="1" applyFill="1" applyBorder="1" applyAlignment="1" applyProtection="1">
      <alignment horizontal="center"/>
      <protection hidden="1"/>
    </xf>
    <xf numFmtId="0" fontId="7" fillId="2" borderId="3" xfId="0" applyFont="1" applyFill="1" applyBorder="1" applyProtection="1">
      <protection hidden="1"/>
    </xf>
    <xf numFmtId="0" fontId="7" fillId="2" borderId="3" xfId="0" applyFont="1" applyFill="1" applyBorder="1" applyAlignment="1" applyProtection="1">
      <alignment horizontal="center"/>
      <protection hidden="1"/>
    </xf>
    <xf numFmtId="0" fontId="6" fillId="0" borderId="0" xfId="0" applyFont="1"/>
    <xf numFmtId="0" fontId="6" fillId="0" borderId="0" xfId="0" applyFont="1" applyAlignment="1">
      <alignment horizontal="center"/>
    </xf>
    <xf numFmtId="166" fontId="7" fillId="0" borderId="0" xfId="0" applyNumberFormat="1" applyFont="1" applyFill="1" applyBorder="1" applyAlignment="1" applyProtection="1">
      <alignment horizontal="center"/>
      <protection hidden="1"/>
    </xf>
    <xf numFmtId="169" fontId="7" fillId="0" borderId="0" xfId="0" applyNumberFormat="1" applyFont="1" applyAlignment="1">
      <alignment horizontal="center"/>
    </xf>
    <xf numFmtId="167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8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7" fontId="7" fillId="0" borderId="0" xfId="0" applyNumberFormat="1" applyFont="1" applyBorder="1" applyAlignment="1" applyProtection="1">
      <alignment horizontal="left"/>
      <protection hidden="1"/>
    </xf>
    <xf numFmtId="17" fontId="7" fillId="0" borderId="0" xfId="0" applyNumberFormat="1" applyFont="1" applyBorder="1" applyAlignment="1" applyProtection="1">
      <alignment horizontal="center"/>
      <protection hidden="1"/>
    </xf>
    <xf numFmtId="37" fontId="6" fillId="0" borderId="0" xfId="0" applyNumberFormat="1" applyFont="1" applyFill="1" applyAlignment="1" applyProtection="1">
      <alignment horizontal="center"/>
      <protection hidden="1"/>
    </xf>
    <xf numFmtId="17" fontId="6" fillId="0" borderId="0" xfId="0" applyNumberFormat="1" applyFont="1" applyBorder="1" applyAlignment="1" applyProtection="1">
      <alignment horizontal="left"/>
      <protection hidden="1"/>
    </xf>
    <xf numFmtId="37" fontId="7" fillId="0" borderId="0" xfId="1" applyNumberFormat="1" applyFont="1" applyFill="1" applyBorder="1" applyAlignment="1" applyProtection="1">
      <alignment horizontal="center"/>
      <protection hidden="1"/>
    </xf>
    <xf numFmtId="170" fontId="8" fillId="0" borderId="0" xfId="2" applyNumberFormat="1" applyFont="1" applyFill="1" applyBorder="1" applyAlignment="1" applyProtection="1">
      <alignment horizontal="center"/>
      <protection hidden="1"/>
    </xf>
    <xf numFmtId="9" fontId="7" fillId="0" borderId="0" xfId="0" applyNumberFormat="1" applyFont="1" applyFill="1" applyBorder="1" applyAlignment="1" applyProtection="1">
      <alignment horizontal="center"/>
      <protection hidden="1"/>
    </xf>
    <xf numFmtId="9" fontId="6" fillId="0" borderId="0" xfId="0" applyNumberFormat="1" applyFont="1" applyFill="1" applyBorder="1" applyAlignment="1" applyProtection="1">
      <alignment horizontal="center"/>
      <protection hidden="1"/>
    </xf>
    <xf numFmtId="37" fontId="6" fillId="3" borderId="0" xfId="1" applyNumberFormat="1" applyFont="1" applyFill="1" applyBorder="1" applyAlignment="1" applyProtection="1">
      <alignment horizontal="center"/>
      <protection hidden="1"/>
    </xf>
    <xf numFmtId="9" fontId="8" fillId="0" borderId="0" xfId="2" applyFont="1" applyFill="1" applyBorder="1" applyAlignment="1" applyProtection="1">
      <alignment horizontal="center"/>
      <protection hidden="1"/>
    </xf>
    <xf numFmtId="0" fontId="7" fillId="0" borderId="0" xfId="0" applyFont="1" applyBorder="1" applyProtection="1">
      <protection hidden="1"/>
    </xf>
    <xf numFmtId="37" fontId="7" fillId="0" borderId="0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protection hidden="1"/>
    </xf>
    <xf numFmtId="0" fontId="8" fillId="0" borderId="0" xfId="2" applyNumberFormat="1" applyFont="1" applyFill="1" applyBorder="1" applyAlignment="1" applyProtection="1">
      <alignment horizontal="center"/>
      <protection hidden="1"/>
    </xf>
    <xf numFmtId="6" fontId="6" fillId="0" borderId="0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center"/>
      <protection hidden="1"/>
    </xf>
    <xf numFmtId="37" fontId="10" fillId="0" borderId="0" xfId="0" applyNumberFormat="1" applyFont="1" applyFill="1" applyBorder="1" applyAlignment="1" applyProtection="1">
      <alignment horizontal="center"/>
      <protection hidden="1"/>
    </xf>
    <xf numFmtId="37" fontId="7" fillId="0" borderId="0" xfId="0" applyNumberFormat="1" applyFont="1" applyFill="1" applyBorder="1" applyProtection="1">
      <protection hidden="1"/>
    </xf>
    <xf numFmtId="0" fontId="7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37" fontId="6" fillId="0" borderId="0" xfId="0" applyNumberFormat="1" applyFont="1"/>
    <xf numFmtId="0" fontId="6" fillId="0" borderId="0" xfId="0" applyNumberFormat="1" applyFont="1" applyFill="1" applyBorder="1" applyAlignment="1" applyProtection="1">
      <alignment horizontal="center"/>
      <protection hidden="1"/>
    </xf>
    <xf numFmtId="1" fontId="6" fillId="0" borderId="0" xfId="2" applyNumberFormat="1" applyFont="1" applyFill="1" applyBorder="1" applyAlignment="1" applyProtection="1">
      <alignment horizontal="center"/>
      <protection hidden="1"/>
    </xf>
    <xf numFmtId="37" fontId="6" fillId="2" borderId="0" xfId="1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9" fillId="0" borderId="4" xfId="0" applyFont="1" applyFill="1" applyBorder="1" applyAlignment="1" applyProtection="1">
      <alignment horizontal="left"/>
      <protection hidden="1"/>
    </xf>
    <xf numFmtId="0" fontId="9" fillId="0" borderId="4" xfId="0" applyFont="1" applyFill="1" applyBorder="1" applyAlignment="1" applyProtection="1">
      <alignment horizontal="center"/>
      <protection hidden="1"/>
    </xf>
    <xf numFmtId="0" fontId="6" fillId="0" borderId="4" xfId="0" applyFont="1" applyFill="1" applyBorder="1" applyAlignment="1" applyProtection="1">
      <alignment horizontal="left"/>
      <protection hidden="1"/>
    </xf>
    <xf numFmtId="0" fontId="6" fillId="0" borderId="4" xfId="0" applyFont="1" applyFill="1" applyBorder="1" applyAlignment="1" applyProtection="1">
      <protection hidden="1"/>
    </xf>
    <xf numFmtId="0" fontId="9" fillId="0" borderId="5" xfId="0" applyFont="1" applyFill="1" applyBorder="1" applyAlignment="1" applyProtection="1">
      <alignment horizontal="left"/>
      <protection hidden="1"/>
    </xf>
    <xf numFmtId="0" fontId="9" fillId="0" borderId="5" xfId="0" applyFont="1" applyFill="1" applyBorder="1" applyAlignment="1" applyProtection="1">
      <alignment horizontal="center"/>
      <protection hidden="1"/>
    </xf>
    <xf numFmtId="0" fontId="6" fillId="0" borderId="5" xfId="0" applyFont="1" applyFill="1" applyBorder="1" applyAlignment="1" applyProtection="1">
      <alignment horizontal="left"/>
      <protection hidden="1"/>
    </xf>
    <xf numFmtId="0" fontId="6" fillId="0" borderId="5" xfId="0" applyFont="1" applyFill="1" applyBorder="1" applyAlignment="1" applyProtection="1">
      <protection hidden="1"/>
    </xf>
    <xf numFmtId="0" fontId="7" fillId="0" borderId="3" xfId="0" applyFont="1" applyFill="1" applyBorder="1" applyAlignment="1" applyProtection="1">
      <alignment horizontal="center"/>
      <protection hidden="1"/>
    </xf>
    <xf numFmtId="0" fontId="7" fillId="0" borderId="3" xfId="0" applyFont="1" applyFill="1" applyBorder="1" applyProtection="1">
      <protection hidden="1"/>
    </xf>
    <xf numFmtId="37" fontId="7" fillId="0" borderId="3" xfId="1" applyNumberFormat="1" applyFont="1" applyFill="1" applyBorder="1" applyAlignment="1" applyProtection="1">
      <alignment horizontal="center"/>
      <protection hidden="1"/>
    </xf>
    <xf numFmtId="0" fontId="7" fillId="0" borderId="0" xfId="0" applyFont="1" applyBorder="1"/>
    <xf numFmtId="0" fontId="7" fillId="0" borderId="0" xfId="0" applyFont="1" applyAlignment="1">
      <alignment horizontal="center"/>
    </xf>
    <xf numFmtId="0" fontId="7" fillId="0" borderId="0" xfId="0" applyFont="1"/>
    <xf numFmtId="37" fontId="7" fillId="0" borderId="0" xfId="0" applyNumberFormat="1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7" xfId="0" applyFont="1" applyBorder="1" applyProtection="1">
      <protection hidden="1"/>
    </xf>
    <xf numFmtId="37" fontId="6" fillId="0" borderId="7" xfId="0" applyNumberFormat="1" applyFont="1" applyBorder="1" applyProtection="1">
      <protection hidden="1"/>
    </xf>
    <xf numFmtId="37" fontId="7" fillId="0" borderId="7" xfId="0" applyNumberFormat="1" applyFont="1" applyBorder="1" applyProtection="1">
      <protection hidden="1"/>
    </xf>
    <xf numFmtId="37" fontId="7" fillId="0" borderId="6" xfId="0" applyNumberFormat="1" applyFont="1" applyBorder="1" applyProtection="1">
      <protection hidden="1"/>
    </xf>
    <xf numFmtId="37" fontId="6" fillId="0" borderId="7" xfId="0" applyNumberFormat="1" applyFont="1" applyFill="1" applyBorder="1" applyAlignment="1" applyProtection="1">
      <alignment horizontal="center"/>
      <protection hidden="1"/>
    </xf>
    <xf numFmtId="37" fontId="7" fillId="0" borderId="7" xfId="1" applyNumberFormat="1" applyFont="1" applyFill="1" applyBorder="1" applyAlignment="1" applyProtection="1">
      <alignment horizontal="center"/>
      <protection hidden="1"/>
    </xf>
    <xf numFmtId="37" fontId="7" fillId="0" borderId="7" xfId="0" applyNumberFormat="1" applyFont="1" applyFill="1" applyBorder="1" applyAlignment="1" applyProtection="1">
      <alignment horizontal="center"/>
      <protection hidden="1"/>
    </xf>
    <xf numFmtId="37" fontId="6" fillId="0" borderId="7" xfId="1" applyNumberFormat="1" applyFont="1" applyFill="1" applyBorder="1" applyAlignment="1" applyProtection="1">
      <alignment horizontal="center"/>
      <protection hidden="1"/>
    </xf>
    <xf numFmtId="37" fontId="7" fillId="0" borderId="6" xfId="0" applyNumberFormat="1" applyFont="1" applyFill="1" applyBorder="1" applyAlignment="1" applyProtection="1">
      <alignment horizontal="center"/>
      <protection hidden="1"/>
    </xf>
    <xf numFmtId="0" fontId="6" fillId="0" borderId="7" xfId="0" applyFont="1" applyBorder="1"/>
    <xf numFmtId="0" fontId="7" fillId="0" borderId="7" xfId="0" applyFont="1" applyBorder="1" applyProtection="1">
      <protection hidden="1"/>
    </xf>
    <xf numFmtId="37" fontId="7" fillId="2" borderId="7" xfId="1" applyNumberFormat="1" applyFont="1" applyFill="1" applyBorder="1" applyAlignment="1" applyProtection="1">
      <alignment horizontal="center"/>
      <protection hidden="1"/>
    </xf>
    <xf numFmtId="0" fontId="7" fillId="0" borderId="7" xfId="0" applyFont="1" applyBorder="1"/>
    <xf numFmtId="0" fontId="7" fillId="0" borderId="3" xfId="0" applyFont="1" applyBorder="1" applyAlignment="1" applyProtection="1">
      <alignment horizontal="right"/>
      <protection hidden="1"/>
    </xf>
    <xf numFmtId="0" fontId="7" fillId="2" borderId="3" xfId="0" applyFont="1" applyFill="1" applyBorder="1" applyAlignment="1" applyProtection="1">
      <alignment horizontal="right"/>
      <protection hidden="1"/>
    </xf>
    <xf numFmtId="0" fontId="8" fillId="0" borderId="0" xfId="0" applyFont="1" applyFill="1" applyBorder="1" applyAlignment="1" applyProtection="1">
      <alignment horizontal="center"/>
      <protection hidden="1"/>
    </xf>
    <xf numFmtId="6" fontId="8" fillId="0" borderId="0" xfId="0" applyNumberFormat="1" applyFont="1" applyFill="1" applyBorder="1" applyAlignment="1" applyProtection="1">
      <alignment horizontal="center"/>
      <protection hidden="1"/>
    </xf>
    <xf numFmtId="37" fontId="8" fillId="0" borderId="0" xfId="1" applyNumberFormat="1" applyFont="1" applyFill="1" applyBorder="1" applyAlignment="1" applyProtection="1">
      <alignment horizontal="center"/>
      <protection hidden="1"/>
    </xf>
    <xf numFmtId="0" fontId="8" fillId="0" borderId="0" xfId="0" applyFont="1" applyBorder="1" applyProtection="1">
      <protection hidden="1"/>
    </xf>
    <xf numFmtId="13" fontId="11" fillId="0" borderId="0" xfId="0" applyNumberFormat="1" applyFont="1" applyAlignment="1">
      <alignment horizontal="center"/>
    </xf>
    <xf numFmtId="0" fontId="11" fillId="0" borderId="0" xfId="0" applyNumberFormat="1" applyFont="1" applyAlignment="1">
      <alignment horizontal="center"/>
    </xf>
    <xf numFmtId="37" fontId="10" fillId="0" borderId="7" xfId="1" applyNumberFormat="1" applyFont="1" applyFill="1" applyBorder="1" applyAlignment="1" applyProtection="1">
      <alignment horizontal="center"/>
      <protection hidden="1"/>
    </xf>
    <xf numFmtId="0" fontId="8" fillId="0" borderId="0" xfId="0" applyFont="1" applyBorder="1" applyAlignment="1">
      <alignment horizontal="center"/>
    </xf>
    <xf numFmtId="37" fontId="5" fillId="0" borderId="0" xfId="1" applyNumberFormat="1" applyFont="1" applyFill="1" applyBorder="1" applyAlignment="1" applyProtection="1">
      <alignment horizontal="center"/>
      <protection hidden="1"/>
    </xf>
    <xf numFmtId="37" fontId="7" fillId="0" borderId="7" xfId="0" applyNumberFormat="1" applyFont="1" applyBorder="1" applyAlignment="1" applyProtection="1">
      <alignment horizontal="center"/>
      <protection hidden="1"/>
    </xf>
    <xf numFmtId="0" fontId="7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37" fontId="6" fillId="0" borderId="7" xfId="0" applyNumberFormat="1" applyFont="1" applyBorder="1" applyAlignment="1" applyProtection="1">
      <alignment horizontal="center"/>
      <protection hidden="1"/>
    </xf>
    <xf numFmtId="37" fontId="7" fillId="0" borderId="6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alignment horizontal="left"/>
      <protection hidden="1"/>
    </xf>
    <xf numFmtId="0" fontId="0" fillId="0" borderId="0" xfId="0" applyFont="1" applyAlignment="1">
      <alignment horizontal="left"/>
    </xf>
    <xf numFmtId="17" fontId="6" fillId="0" borderId="0" xfId="0" applyNumberFormat="1" applyFont="1" applyFill="1" applyBorder="1" applyAlignment="1" applyProtection="1">
      <alignment horizontal="left"/>
      <protection hidden="1"/>
    </xf>
    <xf numFmtId="0" fontId="0" fillId="0" borderId="0" xfId="0" applyFill="1"/>
    <xf numFmtId="49" fontId="0" fillId="0" borderId="1" xfId="3" applyNumberFormat="1" applyFont="1" applyFill="1" applyBorder="1" applyAlignment="1">
      <alignment horizontal="center"/>
    </xf>
    <xf numFmtId="171" fontId="13" fillId="0" borderId="0" xfId="3" applyFill="1"/>
    <xf numFmtId="0" fontId="0" fillId="0" borderId="0" xfId="0" applyFill="1" applyAlignment="1">
      <alignment horizontal="left"/>
    </xf>
    <xf numFmtId="41" fontId="0" fillId="0" borderId="0" xfId="3" applyNumberFormat="1" applyFont="1" applyFill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41" fontId="0" fillId="0" borderId="1" xfId="3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10" xfId="0" applyFill="1" applyBorder="1"/>
    <xf numFmtId="0" fontId="0" fillId="0" borderId="9" xfId="0" applyFill="1" applyBorder="1" applyAlignment="1">
      <alignment horizontal="left"/>
    </xf>
    <xf numFmtId="41" fontId="13" fillId="0" borderId="9" xfId="3" applyNumberFormat="1" applyFill="1" applyBorder="1"/>
    <xf numFmtId="41" fontId="13" fillId="0" borderId="1" xfId="3" applyNumberFormat="1" applyFill="1" applyBorder="1"/>
    <xf numFmtId="41" fontId="13" fillId="0" borderId="0" xfId="3" applyNumberFormat="1" applyFill="1"/>
    <xf numFmtId="41" fontId="13" fillId="0" borderId="0" xfId="3" applyNumberFormat="1" applyFont="1" applyFill="1"/>
    <xf numFmtId="0" fontId="0" fillId="0" borderId="11" xfId="0" applyFill="1" applyBorder="1"/>
    <xf numFmtId="41" fontId="13" fillId="0" borderId="10" xfId="3" applyNumberFormat="1" applyFill="1" applyBorder="1"/>
    <xf numFmtId="0" fontId="13" fillId="0" borderId="0" xfId="3" applyNumberFormat="1" applyFill="1"/>
    <xf numFmtId="37" fontId="0" fillId="0" borderId="0" xfId="0" applyNumberFormat="1" applyFill="1"/>
    <xf numFmtId="41" fontId="13" fillId="0" borderId="2" xfId="3" applyNumberFormat="1" applyFill="1" applyBorder="1"/>
    <xf numFmtId="0" fontId="6" fillId="0" borderId="0" xfId="0" applyFont="1" applyFill="1" applyBorder="1" applyAlignment="1" applyProtection="1">
      <alignment horizontal="left"/>
      <protection hidden="1"/>
    </xf>
    <xf numFmtId="172" fontId="0" fillId="0" borderId="1" xfId="3" applyNumberFormat="1" applyFont="1" applyFill="1" applyBorder="1" applyAlignment="1">
      <alignment horizontal="center"/>
    </xf>
    <xf numFmtId="172" fontId="13" fillId="0" borderId="9" xfId="3" applyNumberFormat="1" applyFill="1" applyBorder="1"/>
    <xf numFmtId="172" fontId="13" fillId="0" borderId="1" xfId="3" applyNumberFormat="1" applyFill="1" applyBorder="1"/>
    <xf numFmtId="172" fontId="13" fillId="0" borderId="0" xfId="3" applyNumberFormat="1" applyFill="1"/>
    <xf numFmtId="0" fontId="14" fillId="0" borderId="0" xfId="0" applyFont="1" applyFill="1" applyAlignment="1">
      <alignment horizontal="left"/>
    </xf>
    <xf numFmtId="41" fontId="14" fillId="0" borderId="0" xfId="3" applyNumberFormat="1" applyFont="1" applyFill="1"/>
    <xf numFmtId="0" fontId="14" fillId="0" borderId="0" xfId="0" applyFont="1" applyFill="1"/>
    <xf numFmtId="0" fontId="14" fillId="0" borderId="0" xfId="0" applyFont="1" applyFill="1" applyBorder="1" applyAlignment="1">
      <alignment horizontal="left"/>
    </xf>
    <xf numFmtId="9" fontId="7" fillId="0" borderId="0" xfId="2" applyFont="1" applyFill="1" applyBorder="1"/>
    <xf numFmtId="0" fontId="0" fillId="0" borderId="0" xfId="0" applyFill="1" applyBorder="1"/>
    <xf numFmtId="37" fontId="7" fillId="0" borderId="8" xfId="0" applyNumberFormat="1" applyFont="1" applyFill="1" applyBorder="1" applyAlignment="1" applyProtection="1">
      <alignment horizontal="center"/>
      <protection hidden="1"/>
    </xf>
    <xf numFmtId="0" fontId="7" fillId="0" borderId="6" xfId="0" applyFont="1" applyFill="1" applyBorder="1" applyAlignment="1" applyProtection="1">
      <alignment horizontal="center"/>
      <protection hidden="1"/>
    </xf>
    <xf numFmtId="37" fontId="7" fillId="0" borderId="14" xfId="0" applyNumberFormat="1" applyFont="1" applyFill="1" applyBorder="1" applyProtection="1">
      <protection hidden="1"/>
    </xf>
    <xf numFmtId="0" fontId="7" fillId="0" borderId="10" xfId="0" applyFont="1" applyBorder="1" applyAlignment="1">
      <alignment horizontal="right"/>
    </xf>
    <xf numFmtId="9" fontId="7" fillId="0" borderId="9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37" fontId="7" fillId="0" borderId="9" xfId="0" applyNumberFormat="1" applyFont="1" applyBorder="1"/>
    <xf numFmtId="37" fontId="7" fillId="0" borderId="2" xfId="0" applyNumberFormat="1" applyFont="1" applyFill="1" applyBorder="1" applyAlignment="1" applyProtection="1">
      <alignment horizontal="center"/>
      <protection hidden="1"/>
    </xf>
    <xf numFmtId="37" fontId="7" fillId="0" borderId="2" xfId="0" applyNumberFormat="1" applyFont="1" applyFill="1" applyBorder="1" applyAlignment="1" applyProtection="1">
      <protection hidden="1"/>
    </xf>
    <xf numFmtId="37" fontId="7" fillId="0" borderId="2" xfId="0" applyNumberFormat="1" applyFont="1" applyBorder="1" applyProtection="1">
      <protection hidden="1"/>
    </xf>
    <xf numFmtId="41" fontId="0" fillId="0" borderId="2" xfId="3" applyNumberFormat="1" applyFont="1" applyFill="1" applyBorder="1" applyAlignment="1">
      <alignment horizontal="center"/>
    </xf>
    <xf numFmtId="41" fontId="13" fillId="0" borderId="7" xfId="3" applyNumberFormat="1" applyFill="1" applyBorder="1"/>
    <xf numFmtId="41" fontId="0" fillId="0" borderId="8" xfId="3" applyNumberFormat="1" applyFont="1" applyFill="1" applyBorder="1"/>
    <xf numFmtId="41" fontId="15" fillId="0" borderId="7" xfId="3" applyNumberFormat="1" applyFont="1" applyFill="1" applyBorder="1"/>
    <xf numFmtId="41" fontId="13" fillId="0" borderId="8" xfId="3" applyNumberFormat="1" applyFill="1" applyBorder="1"/>
    <xf numFmtId="0" fontId="6" fillId="0" borderId="8" xfId="0" applyFont="1" applyBorder="1"/>
    <xf numFmtId="37" fontId="16" fillId="3" borderId="0" xfId="1" applyNumberFormat="1" applyFont="1" applyFill="1" applyBorder="1" applyAlignment="1" applyProtection="1">
      <alignment horizontal="center"/>
      <protection hidden="1"/>
    </xf>
    <xf numFmtId="2" fontId="6" fillId="0" borderId="0" xfId="2" applyNumberFormat="1" applyFont="1" applyFill="1" applyBorder="1" applyAlignment="1" applyProtection="1">
      <alignment horizontal="center"/>
      <protection hidden="1"/>
    </xf>
    <xf numFmtId="0" fontId="6" fillId="0" borderId="0" xfId="0" quotePrefix="1" applyFont="1" applyBorder="1" applyAlignment="1" applyProtection="1">
      <alignment horizontal="center"/>
      <protection hidden="1"/>
    </xf>
    <xf numFmtId="173" fontId="1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7" fontId="6" fillId="0" borderId="0" xfId="0" quotePrefix="1" applyNumberFormat="1" applyFont="1" applyFill="1" applyBorder="1" applyAlignment="1" applyProtection="1">
      <alignment horizontal="center"/>
      <protection hidden="1"/>
    </xf>
    <xf numFmtId="0" fontId="6" fillId="0" borderId="0" xfId="0" applyFont="1" applyFill="1" applyBorder="1"/>
    <xf numFmtId="0" fontId="7" fillId="0" borderId="3" xfId="0" applyFont="1" applyBorder="1" applyAlignment="1">
      <alignment horizontal="right"/>
    </xf>
    <xf numFmtId="174" fontId="7" fillId="0" borderId="3" xfId="0" applyNumberFormat="1" applyFont="1" applyBorder="1" applyAlignment="1">
      <alignment horizontal="center"/>
    </xf>
    <xf numFmtId="37" fontId="6" fillId="0" borderId="7" xfId="0" applyNumberFormat="1" applyFont="1" applyBorder="1" applyAlignment="1">
      <alignment horizontal="center"/>
    </xf>
    <xf numFmtId="37" fontId="7" fillId="0" borderId="7" xfId="0" applyNumberFormat="1" applyFont="1" applyBorder="1" applyAlignment="1">
      <alignment horizontal="center"/>
    </xf>
    <xf numFmtId="0" fontId="6" fillId="0" borderId="7" xfId="0" applyFont="1" applyBorder="1" applyAlignment="1" applyProtection="1">
      <alignment horizontal="center"/>
      <protection hidden="1"/>
    </xf>
    <xf numFmtId="9" fontId="0" fillId="0" borderId="0" xfId="2" applyFont="1" applyFill="1"/>
    <xf numFmtId="41" fontId="11" fillId="0" borderId="0" xfId="3" applyNumberFormat="1" applyFont="1" applyFill="1"/>
    <xf numFmtId="37" fontId="6" fillId="0" borderId="0" xfId="0" applyNumberFormat="1" applyFont="1" applyBorder="1" applyProtection="1">
      <protection hidden="1"/>
    </xf>
    <xf numFmtId="172" fontId="17" fillId="0" borderId="5" xfId="3" applyNumberFormat="1" applyFont="1" applyFill="1" applyBorder="1"/>
    <xf numFmtId="172" fontId="17" fillId="0" borderId="6" xfId="3" applyNumberFormat="1" applyFont="1" applyFill="1" applyBorder="1"/>
    <xf numFmtId="9" fontId="2" fillId="0" borderId="0" xfId="2" applyFont="1" applyFill="1"/>
    <xf numFmtId="172" fontId="2" fillId="0" borderId="0" xfId="0" applyNumberFormat="1" applyFont="1" applyFill="1"/>
    <xf numFmtId="0" fontId="2" fillId="2" borderId="0" xfId="0" applyFont="1" applyFill="1" applyBorder="1"/>
    <xf numFmtId="0" fontId="2" fillId="4" borderId="12" xfId="0" applyFont="1" applyFill="1" applyBorder="1"/>
    <xf numFmtId="171" fontId="17" fillId="4" borderId="12" xfId="3" applyFont="1" applyFill="1" applyBorder="1"/>
    <xf numFmtId="172" fontId="17" fillId="4" borderId="12" xfId="3" applyNumberFormat="1" applyFont="1" applyFill="1" applyBorder="1"/>
    <xf numFmtId="169" fontId="7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37" fontId="7" fillId="0" borderId="9" xfId="0" applyNumberFormat="1" applyFont="1" applyFill="1" applyBorder="1"/>
    <xf numFmtId="0" fontId="18" fillId="0" borderId="0" xfId="0" applyFont="1" applyFill="1"/>
    <xf numFmtId="0" fontId="6" fillId="0" borderId="0" xfId="0" applyFont="1" applyFill="1" applyBorder="1" applyAlignment="1">
      <alignment horizontal="center"/>
    </xf>
    <xf numFmtId="37" fontId="6" fillId="0" borderId="7" xfId="0" applyNumberFormat="1" applyFont="1" applyFill="1" applyBorder="1" applyProtection="1">
      <protection hidden="1"/>
    </xf>
    <xf numFmtId="37" fontId="12" fillId="0" borderId="7" xfId="1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>
      <alignment horizontal="left"/>
    </xf>
    <xf numFmtId="0" fontId="6" fillId="0" borderId="15" xfId="0" applyFont="1" applyBorder="1"/>
    <xf numFmtId="0" fontId="6" fillId="0" borderId="16" xfId="0" applyFont="1" applyBorder="1"/>
    <xf numFmtId="0" fontId="7" fillId="0" borderId="16" xfId="0" applyFont="1" applyFill="1" applyBorder="1" applyProtection="1">
      <protection hidden="1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Protection="1">
      <protection hidden="1"/>
    </xf>
    <xf numFmtId="0" fontId="7" fillId="0" borderId="18" xfId="0" applyFont="1" applyBorder="1" applyAlignment="1" applyProtection="1">
      <alignment horizontal="center"/>
      <protection hidden="1"/>
    </xf>
    <xf numFmtId="0" fontId="6" fillId="0" borderId="16" xfId="0" applyFont="1" applyBorder="1" applyAlignment="1" applyProtection="1">
      <alignment horizontal="center"/>
      <protection hidden="1"/>
    </xf>
    <xf numFmtId="0" fontId="7" fillId="0" borderId="16" xfId="0" applyFont="1" applyBorder="1" applyAlignment="1" applyProtection="1">
      <alignment horizontal="center"/>
      <protection hidden="1"/>
    </xf>
    <xf numFmtId="37" fontId="7" fillId="0" borderId="16" xfId="0" applyNumberFormat="1" applyFont="1" applyBorder="1" applyAlignment="1" applyProtection="1">
      <alignment horizontal="center"/>
      <protection hidden="1"/>
    </xf>
    <xf numFmtId="0" fontId="7" fillId="0" borderId="3" xfId="0" applyFont="1" applyFill="1" applyBorder="1" applyAlignment="1" applyProtection="1">
      <alignment horizontal="right"/>
      <protection hidden="1"/>
    </xf>
    <xf numFmtId="37" fontId="7" fillId="0" borderId="6" xfId="1" applyNumberFormat="1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37" fontId="19" fillId="0" borderId="0" xfId="0" applyNumberFormat="1" applyFont="1" applyFill="1" applyBorder="1" applyAlignment="1" applyProtection="1">
      <alignment horizontal="center"/>
      <protection hidden="1"/>
    </xf>
    <xf numFmtId="37" fontId="19" fillId="0" borderId="0" xfId="1" applyNumberFormat="1" applyFont="1" applyFill="1" applyBorder="1" applyAlignment="1" applyProtection="1">
      <alignment horizontal="center"/>
      <protection hidden="1"/>
    </xf>
    <xf numFmtId="41" fontId="17" fillId="4" borderId="19" xfId="3" applyNumberFormat="1" applyFont="1" applyFill="1" applyBorder="1"/>
    <xf numFmtId="43" fontId="2" fillId="4" borderId="2" xfId="0" applyNumberFormat="1" applyFont="1" applyFill="1" applyBorder="1"/>
    <xf numFmtId="0" fontId="2" fillId="4" borderId="2" xfId="0" applyFont="1" applyFill="1" applyBorder="1"/>
    <xf numFmtId="0" fontId="21" fillId="0" borderId="20" xfId="0" applyFont="1" applyBorder="1"/>
    <xf numFmtId="0" fontId="22" fillId="0" borderId="20" xfId="0" applyFont="1" applyBorder="1"/>
    <xf numFmtId="0" fontId="22" fillId="0" borderId="21" xfId="0" applyFont="1" applyBorder="1"/>
    <xf numFmtId="3" fontId="13" fillId="0" borderId="0" xfId="3" applyNumberFormat="1" applyFill="1"/>
    <xf numFmtId="175" fontId="13" fillId="0" borderId="0" xfId="3" applyNumberFormat="1" applyFill="1"/>
    <xf numFmtId="9" fontId="13" fillId="0" borderId="0" xfId="2" applyFont="1" applyFill="1"/>
    <xf numFmtId="49" fontId="0" fillId="0" borderId="1" xfId="3" applyNumberFormat="1" applyFont="1" applyBorder="1" applyAlignment="1">
      <alignment horizontal="center"/>
    </xf>
    <xf numFmtId="41" fontId="0" fillId="0" borderId="0" xfId="3" applyNumberFormat="1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0" xfId="0" applyFont="1" applyBorder="1"/>
    <xf numFmtId="0" fontId="0" fillId="0" borderId="9" xfId="0" applyFont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11" xfId="0" applyFont="1" applyBorder="1"/>
    <xf numFmtId="0" fontId="0" fillId="0" borderId="1" xfId="0" applyFont="1" applyFill="1" applyBorder="1" applyAlignment="1">
      <alignment horizontal="left"/>
    </xf>
    <xf numFmtId="0" fontId="0" fillId="0" borderId="5" xfId="0" applyFont="1" applyBorder="1"/>
    <xf numFmtId="0" fontId="0" fillId="0" borderId="5" xfId="0" applyFont="1" applyBorder="1" applyAlignment="1">
      <alignment horizontal="left"/>
    </xf>
    <xf numFmtId="0" fontId="0" fillId="0" borderId="0" xfId="0" applyFont="1" applyFill="1" applyAlignment="1">
      <alignment horizontal="center" wrapText="1"/>
    </xf>
    <xf numFmtId="0" fontId="0" fillId="0" borderId="0" xfId="0" applyFont="1" applyAlignment="1">
      <alignment horizontal="center" wrapText="1"/>
    </xf>
    <xf numFmtId="41" fontId="23" fillId="0" borderId="9" xfId="3" applyNumberFormat="1" applyFont="1" applyBorder="1"/>
    <xf numFmtId="41" fontId="23" fillId="0" borderId="1" xfId="3" applyNumberFormat="1" applyFont="1" applyBorder="1"/>
    <xf numFmtId="171" fontId="23" fillId="0" borderId="0" xfId="3" applyFont="1"/>
    <xf numFmtId="41" fontId="23" fillId="0" borderId="0" xfId="3" applyNumberFormat="1" applyFont="1" applyFill="1"/>
    <xf numFmtId="0" fontId="23" fillId="0" borderId="0" xfId="0" applyFont="1" applyFill="1" applyAlignment="1">
      <alignment horizontal="left"/>
    </xf>
    <xf numFmtId="41" fontId="23" fillId="0" borderId="10" xfId="3" applyNumberFormat="1" applyFont="1" applyBorder="1"/>
    <xf numFmtId="41" fontId="23" fillId="0" borderId="5" xfId="3" applyNumberFormat="1" applyFont="1" applyBorder="1"/>
    <xf numFmtId="171" fontId="23" fillId="0" borderId="5" xfId="3" applyFont="1" applyBorder="1"/>
    <xf numFmtId="0" fontId="23" fillId="0" borderId="0" xfId="3" applyNumberFormat="1" applyFont="1"/>
    <xf numFmtId="1" fontId="0" fillId="5" borderId="2" xfId="3" applyNumberFormat="1" applyFont="1" applyFill="1" applyBorder="1" applyAlignment="1">
      <alignment horizontal="right"/>
    </xf>
    <xf numFmtId="49" fontId="0" fillId="5" borderId="2" xfId="3" applyNumberFormat="1" applyFont="1" applyFill="1" applyBorder="1" applyAlignment="1">
      <alignment horizontal="right"/>
    </xf>
    <xf numFmtId="49" fontId="0" fillId="5" borderId="0" xfId="3" applyNumberFormat="1" applyFont="1" applyFill="1" applyBorder="1" applyAlignment="1">
      <alignment horizontal="center"/>
    </xf>
    <xf numFmtId="0" fontId="0" fillId="5" borderId="0" xfId="0" applyFont="1" applyFill="1"/>
    <xf numFmtId="171" fontId="0" fillId="5" borderId="2" xfId="3" applyFont="1" applyFill="1" applyBorder="1" applyAlignment="1">
      <alignment horizontal="right"/>
    </xf>
    <xf numFmtId="171" fontId="0" fillId="5" borderId="2" xfId="3" applyFont="1" applyFill="1" applyBorder="1" applyAlignment="1">
      <alignment horizontal="center"/>
    </xf>
    <xf numFmtId="171" fontId="0" fillId="5" borderId="2" xfId="3" applyFont="1" applyFill="1" applyBorder="1"/>
    <xf numFmtId="0" fontId="0" fillId="5" borderId="2" xfId="0" applyFont="1" applyFill="1" applyBorder="1" applyAlignment="1">
      <alignment horizontal="right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/>
    </xf>
    <xf numFmtId="49" fontId="0" fillId="0" borderId="2" xfId="3" applyNumberFormat="1" applyFont="1" applyBorder="1" applyAlignment="1">
      <alignment horizontal="center"/>
    </xf>
    <xf numFmtId="171" fontId="23" fillId="0" borderId="2" xfId="3" applyFont="1" applyBorder="1"/>
    <xf numFmtId="0" fontId="0" fillId="0" borderId="9" xfId="0" applyFill="1" applyBorder="1"/>
    <xf numFmtId="49" fontId="0" fillId="0" borderId="9" xfId="3" applyNumberFormat="1" applyFont="1" applyFill="1" applyBorder="1" applyAlignment="1">
      <alignment horizontal="center"/>
    </xf>
    <xf numFmtId="172" fontId="0" fillId="0" borderId="9" xfId="3" applyNumberFormat="1" applyFont="1" applyFill="1" applyBorder="1" applyAlignment="1">
      <alignment horizontal="center"/>
    </xf>
    <xf numFmtId="0" fontId="22" fillId="0" borderId="2" xfId="0" applyFont="1" applyBorder="1"/>
    <xf numFmtId="3" fontId="13" fillId="0" borderId="2" xfId="3" applyNumberFormat="1" applyFill="1" applyBorder="1"/>
    <xf numFmtId="175" fontId="13" fillId="0" borderId="2" xfId="3" applyNumberFormat="1" applyFill="1" applyBorder="1"/>
    <xf numFmtId="0" fontId="0" fillId="0" borderId="2" xfId="0" applyFill="1" applyBorder="1"/>
    <xf numFmtId="171" fontId="13" fillId="0" borderId="2" xfId="3" applyFill="1" applyBorder="1"/>
    <xf numFmtId="9" fontId="13" fillId="0" borderId="2" xfId="2" applyFont="1" applyFill="1" applyBorder="1"/>
    <xf numFmtId="176" fontId="22" fillId="0" borderId="21" xfId="0" applyNumberFormat="1" applyFont="1" applyBorder="1"/>
    <xf numFmtId="9" fontId="0" fillId="0" borderId="0" xfId="2" applyFont="1"/>
    <xf numFmtId="0" fontId="19" fillId="0" borderId="0" xfId="0" applyFont="1" applyFill="1" applyBorder="1"/>
    <xf numFmtId="17" fontId="7" fillId="0" borderId="0" xfId="0" applyNumberFormat="1" applyFont="1" applyFill="1" applyBorder="1" applyAlignment="1" applyProtection="1">
      <alignment horizontal="center"/>
      <protection hidden="1"/>
    </xf>
    <xf numFmtId="18" fontId="6" fillId="0" borderId="0" xfId="0" applyNumberFormat="1" applyFont="1" applyFill="1" applyBorder="1" applyAlignment="1" applyProtection="1">
      <alignment horizontal="left"/>
      <protection hidden="1"/>
    </xf>
    <xf numFmtId="17" fontId="6" fillId="0" borderId="0" xfId="0" applyNumberFormat="1" applyFont="1" applyFill="1" applyBorder="1" applyAlignment="1" applyProtection="1">
      <alignment horizontal="center"/>
      <protection hidden="1"/>
    </xf>
    <xf numFmtId="15" fontId="6" fillId="0" borderId="0" xfId="0" applyNumberFormat="1" applyFont="1" applyFill="1" applyBorder="1" applyAlignment="1" applyProtection="1">
      <alignment horizontal="left"/>
      <protection hidden="1"/>
    </xf>
    <xf numFmtId="165" fontId="6" fillId="0" borderId="0" xfId="0" applyNumberFormat="1" applyFont="1" applyFill="1" applyBorder="1" applyAlignment="1" applyProtection="1">
      <alignment horizontal="center"/>
      <protection hidden="1"/>
    </xf>
    <xf numFmtId="1" fontId="6" fillId="0" borderId="0" xfId="0" applyNumberFormat="1" applyFont="1" applyFill="1" applyBorder="1" applyAlignment="1" applyProtection="1">
      <alignment horizontal="center"/>
      <protection hidden="1"/>
    </xf>
    <xf numFmtId="166" fontId="7" fillId="0" borderId="23" xfId="0" applyNumberFormat="1" applyFont="1" applyFill="1" applyBorder="1" applyAlignment="1" applyProtection="1">
      <alignment horizontal="center"/>
      <protection hidden="1"/>
    </xf>
    <xf numFmtId="169" fontId="7" fillId="0" borderId="7" xfId="0" applyNumberFormat="1" applyFont="1" applyBorder="1" applyAlignment="1">
      <alignment horizontal="center"/>
    </xf>
    <xf numFmtId="167" fontId="7" fillId="0" borderId="7" xfId="0" applyNumberFormat="1" applyFont="1" applyFill="1" applyBorder="1" applyAlignment="1" applyProtection="1">
      <alignment horizontal="center"/>
      <protection hidden="1"/>
    </xf>
    <xf numFmtId="168" fontId="7" fillId="0" borderId="7" xfId="0" applyNumberFormat="1" applyFont="1" applyFill="1" applyBorder="1" applyAlignment="1" applyProtection="1">
      <alignment horizontal="center"/>
      <protection hidden="1"/>
    </xf>
    <xf numFmtId="0" fontId="7" fillId="0" borderId="7" xfId="0" applyFont="1" applyFill="1" applyBorder="1" applyAlignment="1" applyProtection="1">
      <alignment horizontal="center"/>
      <protection hidden="1"/>
    </xf>
    <xf numFmtId="0" fontId="7" fillId="0" borderId="23" xfId="0" applyFont="1" applyFill="1" applyBorder="1" applyAlignment="1" applyProtection="1">
      <protection hidden="1"/>
    </xf>
    <xf numFmtId="0" fontId="7" fillId="0" borderId="13" xfId="0" applyFont="1" applyFill="1" applyBorder="1" applyAlignment="1" applyProtection="1">
      <protection hidden="1"/>
    </xf>
    <xf numFmtId="17" fontId="7" fillId="0" borderId="7" xfId="0" applyNumberFormat="1" applyFont="1" applyFill="1" applyBorder="1" applyAlignment="1" applyProtection="1">
      <alignment horizontal="center"/>
      <protection hidden="1"/>
    </xf>
    <xf numFmtId="165" fontId="7" fillId="0" borderId="7" xfId="0" applyNumberFormat="1" applyFont="1" applyFill="1" applyBorder="1" applyAlignment="1" applyProtection="1">
      <alignment horizontal="center"/>
      <protection hidden="1"/>
    </xf>
    <xf numFmtId="37" fontId="10" fillId="0" borderId="7" xfId="0" applyNumberFormat="1" applyFont="1" applyFill="1" applyBorder="1" applyAlignment="1" applyProtection="1">
      <alignment horizontal="center"/>
      <protection hidden="1"/>
    </xf>
    <xf numFmtId="37" fontId="7" fillId="0" borderId="8" xfId="1" applyNumberFormat="1" applyFont="1" applyFill="1" applyBorder="1" applyAlignment="1" applyProtection="1">
      <alignment horizontal="center"/>
      <protection hidden="1"/>
    </xf>
    <xf numFmtId="41" fontId="18" fillId="0" borderId="0" xfId="3" applyNumberFormat="1" applyFont="1" applyFill="1"/>
    <xf numFmtId="0" fontId="18" fillId="0" borderId="0" xfId="0" applyFont="1" applyFill="1" applyAlignment="1">
      <alignment horizontal="left"/>
    </xf>
    <xf numFmtId="1" fontId="0" fillId="5" borderId="0" xfId="3" applyNumberFormat="1" applyFont="1" applyFill="1" applyBorder="1" applyAlignment="1">
      <alignment horizontal="center"/>
    </xf>
    <xf numFmtId="1" fontId="0" fillId="5" borderId="0" xfId="3" applyNumberFormat="1" applyFont="1" applyFill="1" applyAlignment="1">
      <alignment horizontal="center"/>
    </xf>
    <xf numFmtId="171" fontId="0" fillId="5" borderId="0" xfId="3" applyFont="1" applyFill="1" applyAlignment="1">
      <alignment horizontal="center"/>
    </xf>
    <xf numFmtId="0" fontId="0" fillId="6" borderId="0" xfId="0" applyFont="1" applyFill="1"/>
    <xf numFmtId="0" fontId="0" fillId="6" borderId="0" xfId="0" applyFont="1" applyFill="1" applyAlignment="1">
      <alignment horizontal="center" wrapText="1"/>
    </xf>
    <xf numFmtId="0" fontId="0" fillId="6" borderId="0" xfId="3" applyNumberFormat="1" applyFont="1" applyFill="1" applyAlignment="1">
      <alignment horizontal="center" wrapText="1"/>
    </xf>
    <xf numFmtId="0" fontId="0" fillId="5" borderId="0" xfId="0" applyFont="1" applyFill="1" applyAlignment="1">
      <alignment horizontal="center"/>
    </xf>
    <xf numFmtId="171" fontId="23" fillId="5" borderId="0" xfId="3" applyFont="1" applyFill="1"/>
    <xf numFmtId="39" fontId="25" fillId="0" borderId="0" xfId="0" applyNumberFormat="1" applyFont="1"/>
    <xf numFmtId="0" fontId="2" fillId="0" borderId="0" xfId="0" applyFont="1" applyBorder="1" applyAlignment="1">
      <alignment horizontal="right"/>
    </xf>
    <xf numFmtId="39" fontId="25" fillId="0" borderId="0" xfId="0" applyNumberFormat="1" applyFont="1" applyBorder="1"/>
    <xf numFmtId="39" fontId="25" fillId="7" borderId="0" xfId="0" applyNumberFormat="1" applyFont="1" applyFill="1"/>
    <xf numFmtId="39" fontId="25" fillId="0" borderId="0" xfId="0" applyNumberFormat="1" applyFont="1" applyFill="1"/>
    <xf numFmtId="49" fontId="26" fillId="0" borderId="0" xfId="0" applyNumberFormat="1" applyFont="1" applyAlignment="1">
      <alignment horizontal="center"/>
    </xf>
    <xf numFmtId="49" fontId="26" fillId="0" borderId="24" xfId="0" applyNumberFormat="1" applyFont="1" applyBorder="1" applyAlignment="1">
      <alignment horizontal="center"/>
    </xf>
    <xf numFmtId="49" fontId="26" fillId="0" borderId="0" xfId="0" applyNumberFormat="1" applyFont="1"/>
    <xf numFmtId="39" fontId="25" fillId="0" borderId="25" xfId="0" applyNumberFormat="1" applyFont="1" applyBorder="1"/>
    <xf numFmtId="39" fontId="25" fillId="0" borderId="26" xfId="0" applyNumberFormat="1" applyFont="1" applyBorder="1"/>
    <xf numFmtId="39" fontId="25" fillId="0" borderId="27" xfId="0" applyNumberFormat="1" applyFont="1" applyBorder="1"/>
    <xf numFmtId="39" fontId="26" fillId="0" borderId="28" xfId="0" applyNumberFormat="1" applyFont="1" applyBorder="1"/>
    <xf numFmtId="39" fontId="25" fillId="7" borderId="25" xfId="0" applyNumberFormat="1" applyFont="1" applyFill="1" applyBorder="1"/>
    <xf numFmtId="39" fontId="25" fillId="7" borderId="0" xfId="0" applyNumberFormat="1" applyFont="1" applyFill="1" applyBorder="1"/>
    <xf numFmtId="39" fontId="25" fillId="2" borderId="25" xfId="0" applyNumberFormat="1" applyFont="1" applyFill="1" applyBorder="1"/>
    <xf numFmtId="0" fontId="0" fillId="0" borderId="10" xfId="0" applyFont="1" applyFill="1" applyBorder="1"/>
    <xf numFmtId="0" fontId="0" fillId="0" borderId="9" xfId="0" applyFont="1" applyFill="1" applyBorder="1"/>
    <xf numFmtId="0" fontId="0" fillId="0" borderId="1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11" xfId="0" applyFont="1" applyFill="1" applyBorder="1"/>
    <xf numFmtId="171" fontId="23" fillId="0" borderId="0" xfId="3" applyFont="1" applyFill="1"/>
    <xf numFmtId="39" fontId="27" fillId="0" borderId="0" xfId="0" applyNumberFormat="1" applyFont="1" applyBorder="1"/>
    <xf numFmtId="172" fontId="23" fillId="0" borderId="9" xfId="3" applyNumberFormat="1" applyFont="1" applyFill="1" applyBorder="1"/>
    <xf numFmtId="172" fontId="23" fillId="0" borderId="1" xfId="3" applyNumberFormat="1" applyFont="1" applyFill="1" applyBorder="1"/>
    <xf numFmtId="41" fontId="23" fillId="0" borderId="9" xfId="3" applyNumberFormat="1" applyFont="1" applyFill="1" applyBorder="1"/>
    <xf numFmtId="41" fontId="23" fillId="0" borderId="1" xfId="3" applyNumberFormat="1" applyFont="1" applyFill="1" applyBorder="1"/>
    <xf numFmtId="41" fontId="23" fillId="0" borderId="10" xfId="3" applyNumberFormat="1" applyFont="1" applyFill="1" applyBorder="1"/>
    <xf numFmtId="172" fontId="28" fillId="0" borderId="5" xfId="3" applyNumberFormat="1" applyFont="1" applyFill="1" applyBorder="1"/>
    <xf numFmtId="0" fontId="23" fillId="0" borderId="0" xfId="3" applyNumberFormat="1" applyFont="1" applyFill="1"/>
    <xf numFmtId="171" fontId="28" fillId="4" borderId="12" xfId="3" applyFont="1" applyFill="1" applyBorder="1"/>
    <xf numFmtId="177" fontId="0" fillId="0" borderId="0" xfId="0" applyNumberFormat="1" applyFill="1"/>
    <xf numFmtId="39" fontId="0" fillId="0" borderId="0" xfId="0" applyNumberFormat="1" applyFill="1"/>
    <xf numFmtId="39" fontId="25" fillId="8" borderId="0" xfId="0" applyNumberFormat="1" applyFont="1" applyFill="1"/>
    <xf numFmtId="39" fontId="0" fillId="2" borderId="0" xfId="0" applyNumberFormat="1" applyFill="1"/>
    <xf numFmtId="0" fontId="0" fillId="0" borderId="2" xfId="0" applyFont="1" applyFill="1" applyBorder="1" applyAlignment="1">
      <alignment horizontal="left"/>
    </xf>
    <xf numFmtId="39" fontId="25" fillId="9" borderId="0" xfId="0" applyNumberFormat="1" applyFont="1" applyFill="1"/>
    <xf numFmtId="39" fontId="25" fillId="10" borderId="0" xfId="0" applyNumberFormat="1" applyFont="1" applyFill="1"/>
    <xf numFmtId="39" fontId="29" fillId="2" borderId="26" xfId="0" applyNumberFormat="1" applyFont="1" applyFill="1" applyBorder="1"/>
    <xf numFmtId="39" fontId="25" fillId="11" borderId="0" xfId="0" applyNumberFormat="1" applyFont="1" applyFill="1"/>
    <xf numFmtId="49" fontId="26" fillId="11" borderId="0" xfId="0" applyNumberFormat="1" applyFont="1" applyFill="1"/>
    <xf numFmtId="0" fontId="0" fillId="11" borderId="0" xfId="0" applyFont="1" applyFill="1" applyBorder="1" applyAlignment="1">
      <alignment horizontal="left"/>
    </xf>
    <xf numFmtId="171" fontId="13" fillId="2" borderId="0" xfId="3" applyFill="1"/>
    <xf numFmtId="49" fontId="0" fillId="0" borderId="0" xfId="0" applyNumberFormat="1" applyAlignment="1">
      <alignment horizontal="center"/>
    </xf>
    <xf numFmtId="49" fontId="25" fillId="0" borderId="0" xfId="0" applyNumberFormat="1" applyFont="1"/>
    <xf numFmtId="0" fontId="26" fillId="0" borderId="0" xfId="0" applyNumberFormat="1" applyFont="1"/>
    <xf numFmtId="39" fontId="25" fillId="0" borderId="25" xfId="0" applyNumberFormat="1" applyFont="1" applyFill="1" applyBorder="1"/>
    <xf numFmtId="0" fontId="2" fillId="0" borderId="0" xfId="0" applyFont="1" applyFill="1" applyBorder="1"/>
    <xf numFmtId="39" fontId="25" fillId="0" borderId="0" xfId="0" applyNumberFormat="1" applyFont="1" applyFill="1" applyBorder="1"/>
    <xf numFmtId="39" fontId="25" fillId="0" borderId="26" xfId="0" applyNumberFormat="1" applyFont="1" applyFill="1" applyBorder="1"/>
    <xf numFmtId="39" fontId="25" fillId="0" borderId="27" xfId="0" applyNumberFormat="1" applyFont="1" applyFill="1" applyBorder="1"/>
    <xf numFmtId="39" fontId="26" fillId="0" borderId="28" xfId="0" applyNumberFormat="1" applyFont="1" applyFill="1" applyBorder="1"/>
    <xf numFmtId="0" fontId="0" fillId="12" borderId="0" xfId="0" applyFont="1" applyFill="1" applyAlignment="1">
      <alignment horizontal="left"/>
    </xf>
    <xf numFmtId="49" fontId="26" fillId="12" borderId="0" xfId="0" applyNumberFormat="1" applyFont="1" applyFill="1"/>
    <xf numFmtId="41" fontId="0" fillId="0" borderId="1" xfId="3" applyNumberFormat="1" applyFont="1" applyFill="1" applyBorder="1" applyAlignment="1">
      <alignment horizontal="center"/>
    </xf>
    <xf numFmtId="41" fontId="13" fillId="0" borderId="0" xfId="3" applyNumberFormat="1" applyFill="1" applyBorder="1"/>
    <xf numFmtId="41" fontId="15" fillId="0" borderId="0" xfId="3" applyNumberFormat="1" applyFont="1" applyFill="1" applyBorder="1"/>
    <xf numFmtId="172" fontId="17" fillId="0" borderId="0" xfId="3" applyNumberFormat="1" applyFont="1" applyFill="1" applyBorder="1"/>
    <xf numFmtId="41" fontId="17" fillId="4" borderId="0" xfId="3" applyNumberFormat="1" applyFont="1" applyFill="1" applyBorder="1"/>
    <xf numFmtId="172" fontId="28" fillId="9" borderId="5" xfId="3" applyNumberFormat="1" applyFont="1" applyFill="1" applyBorder="1"/>
    <xf numFmtId="39" fontId="26" fillId="9" borderId="28" xfId="0" applyNumberFormat="1" applyFont="1" applyFill="1" applyBorder="1"/>
    <xf numFmtId="41" fontId="0" fillId="0" borderId="9" xfId="3" applyNumberFormat="1" applyFont="1" applyFill="1" applyBorder="1"/>
    <xf numFmtId="16" fontId="6" fillId="0" borderId="0" xfId="0" applyNumberFormat="1" applyFont="1" applyBorder="1" applyAlignment="1">
      <alignment horizontal="center"/>
    </xf>
    <xf numFmtId="171" fontId="2" fillId="4" borderId="2" xfId="0" applyNumberFormat="1" applyFont="1" applyFill="1" applyBorder="1"/>
    <xf numFmtId="0" fontId="0" fillId="0" borderId="0" xfId="2" applyNumberFormat="1" applyFont="1" applyFill="1"/>
    <xf numFmtId="0" fontId="0" fillId="0" borderId="0" xfId="0" applyFont="1" applyBorder="1"/>
    <xf numFmtId="41" fontId="0" fillId="0" borderId="0" xfId="0" applyNumberFormat="1" applyFont="1" applyFill="1"/>
    <xf numFmtId="0" fontId="0" fillId="0" borderId="0" xfId="0" applyNumberFormat="1" applyFont="1" applyFill="1"/>
    <xf numFmtId="176" fontId="0" fillId="0" borderId="0" xfId="0" applyNumberFormat="1" applyFont="1" applyFill="1"/>
    <xf numFmtId="172" fontId="23" fillId="0" borderId="0" xfId="3" applyNumberFormat="1" applyFont="1" applyFill="1"/>
    <xf numFmtId="41" fontId="23" fillId="0" borderId="7" xfId="3" applyNumberFormat="1" applyFont="1" applyFill="1" applyBorder="1"/>
    <xf numFmtId="41" fontId="14" fillId="0" borderId="7" xfId="3" applyNumberFormat="1" applyFont="1" applyFill="1" applyBorder="1"/>
    <xf numFmtId="41" fontId="23" fillId="0" borderId="2" xfId="3" applyNumberFormat="1" applyFont="1" applyFill="1" applyBorder="1"/>
    <xf numFmtId="41" fontId="23" fillId="0" borderId="8" xfId="3" applyNumberFormat="1" applyFont="1" applyFill="1" applyBorder="1"/>
    <xf numFmtId="41" fontId="23" fillId="0" borderId="22" xfId="3" applyNumberFormat="1" applyFont="1" applyFill="1" applyBorder="1"/>
    <xf numFmtId="172" fontId="28" fillId="0" borderId="6" xfId="3" applyNumberFormat="1" applyFont="1" applyFill="1" applyBorder="1"/>
    <xf numFmtId="41" fontId="28" fillId="4" borderId="19" xfId="3" applyNumberFormat="1" applyFont="1" applyFill="1" applyBorder="1"/>
    <xf numFmtId="175" fontId="23" fillId="0" borderId="0" xfId="3" applyNumberFormat="1" applyFont="1" applyFill="1"/>
    <xf numFmtId="9" fontId="23" fillId="0" borderId="0" xfId="2" applyFont="1" applyFill="1"/>
    <xf numFmtId="39" fontId="27" fillId="8" borderId="0" xfId="0" applyNumberFormat="1" applyFont="1" applyFill="1"/>
    <xf numFmtId="41" fontId="0" fillId="0" borderId="2" xfId="3" applyNumberFormat="1" applyFont="1" applyFill="1" applyBorder="1"/>
    <xf numFmtId="1" fontId="0" fillId="0" borderId="9" xfId="3" applyNumberFormat="1" applyFont="1" applyFill="1" applyBorder="1"/>
    <xf numFmtId="178" fontId="23" fillId="0" borderId="7" xfId="3" applyNumberFormat="1" applyFont="1" applyBorder="1"/>
    <xf numFmtId="0" fontId="0" fillId="0" borderId="9" xfId="3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10" xfId="0" applyNumberFormat="1" applyFill="1" applyBorder="1"/>
    <xf numFmtId="0" fontId="0" fillId="0" borderId="9" xfId="0" applyNumberFormat="1" applyFill="1" applyBorder="1" applyAlignment="1">
      <alignment horizontal="left"/>
    </xf>
    <xf numFmtId="0" fontId="0" fillId="0" borderId="9" xfId="3" applyNumberFormat="1" applyFont="1" applyFill="1" applyBorder="1"/>
    <xf numFmtId="0" fontId="0" fillId="0" borderId="2" xfId="3" applyNumberFormat="1" applyFont="1" applyFill="1" applyBorder="1"/>
    <xf numFmtId="0" fontId="13" fillId="0" borderId="7" xfId="3" applyNumberFormat="1" applyFill="1" applyBorder="1"/>
    <xf numFmtId="1" fontId="13" fillId="0" borderId="7" xfId="3" applyNumberFormat="1" applyFill="1" applyBorder="1"/>
    <xf numFmtId="0" fontId="13" fillId="0" borderId="9" xfId="3" applyNumberFormat="1" applyFill="1" applyBorder="1"/>
    <xf numFmtId="0" fontId="13" fillId="0" borderId="1" xfId="3" applyNumberFormat="1" applyFill="1" applyBorder="1"/>
    <xf numFmtId="49" fontId="0" fillId="13" borderId="1" xfId="3" applyNumberFormat="1" applyFont="1" applyFill="1" applyBorder="1" applyAlignment="1">
      <alignment horizontal="center"/>
    </xf>
    <xf numFmtId="41" fontId="0" fillId="13" borderId="0" xfId="3" applyNumberFormat="1" applyFont="1" applyFill="1"/>
    <xf numFmtId="1" fontId="0" fillId="13" borderId="9" xfId="3" applyNumberFormat="1" applyFont="1" applyFill="1" applyBorder="1"/>
    <xf numFmtId="41" fontId="23" fillId="13" borderId="9" xfId="3" applyNumberFormat="1" applyFont="1" applyFill="1" applyBorder="1"/>
    <xf numFmtId="41" fontId="23" fillId="13" borderId="0" xfId="3" applyNumberFormat="1" applyFont="1" applyFill="1"/>
    <xf numFmtId="41" fontId="23" fillId="13" borderId="1" xfId="3" applyNumberFormat="1" applyFont="1" applyFill="1" applyBorder="1"/>
    <xf numFmtId="41" fontId="23" fillId="13" borderId="22" xfId="3" applyNumberFormat="1" applyFont="1" applyFill="1" applyBorder="1"/>
    <xf numFmtId="41" fontId="23" fillId="13" borderId="5" xfId="3" applyNumberFormat="1" applyFont="1" applyFill="1" applyBorder="1"/>
    <xf numFmtId="0" fontId="0" fillId="13" borderId="9" xfId="3" applyNumberFormat="1" applyFont="1" applyFill="1" applyBorder="1"/>
    <xf numFmtId="49" fontId="0" fillId="13" borderId="9" xfId="3" applyNumberFormat="1" applyFont="1" applyFill="1" applyBorder="1" applyAlignment="1">
      <alignment horizontal="center"/>
    </xf>
    <xf numFmtId="172" fontId="0" fillId="13" borderId="9" xfId="3" applyNumberFormat="1" applyFont="1" applyFill="1" applyBorder="1" applyAlignment="1">
      <alignment horizontal="center"/>
    </xf>
    <xf numFmtId="171" fontId="13" fillId="13" borderId="0" xfId="3" applyFill="1"/>
    <xf numFmtId="172" fontId="13" fillId="13" borderId="0" xfId="3" applyNumberFormat="1" applyFill="1"/>
    <xf numFmtId="41" fontId="14" fillId="13" borderId="0" xfId="3" applyNumberFormat="1" applyFont="1" applyFill="1"/>
    <xf numFmtId="172" fontId="13" fillId="13" borderId="9" xfId="3" applyNumberFormat="1" applyFill="1" applyBorder="1"/>
    <xf numFmtId="172" fontId="13" fillId="13" borderId="1" xfId="3" applyNumberFormat="1" applyFill="1" applyBorder="1"/>
    <xf numFmtId="41" fontId="13" fillId="13" borderId="0" xfId="3" applyNumberFormat="1" applyFont="1" applyFill="1"/>
    <xf numFmtId="41" fontId="13" fillId="13" borderId="9" xfId="3" applyNumberFormat="1" applyFill="1" applyBorder="1"/>
    <xf numFmtId="41" fontId="13" fillId="13" borderId="0" xfId="3" applyNumberFormat="1" applyFill="1"/>
    <xf numFmtId="0" fontId="13" fillId="13" borderId="9" xfId="3" applyNumberFormat="1" applyFill="1" applyBorder="1"/>
    <xf numFmtId="0" fontId="13" fillId="13" borderId="1" xfId="3" applyNumberFormat="1" applyFill="1" applyBorder="1"/>
    <xf numFmtId="164" fontId="0" fillId="13" borderId="0" xfId="3" applyNumberFormat="1" applyFont="1" applyFill="1"/>
    <xf numFmtId="41" fontId="13" fillId="13" borderId="1" xfId="3" applyNumberFormat="1" applyFill="1" applyBorder="1"/>
    <xf numFmtId="172" fontId="17" fillId="13" borderId="5" xfId="3" applyNumberFormat="1" applyFont="1" applyFill="1" applyBorder="1"/>
    <xf numFmtId="173" fontId="0" fillId="13" borderId="0" xfId="0" applyNumberFormat="1" applyFill="1" applyBorder="1"/>
    <xf numFmtId="0" fontId="13" fillId="0" borderId="2" xfId="3" applyNumberFormat="1" applyFill="1" applyBorder="1"/>
    <xf numFmtId="3" fontId="0" fillId="0" borderId="1" xfId="3" applyNumberFormat="1" applyFont="1" applyBorder="1" applyAlignment="1">
      <alignment horizontal="right" vertical="center"/>
    </xf>
    <xf numFmtId="3" fontId="23" fillId="0" borderId="23" xfId="3" applyNumberFormat="1" applyFont="1" applyBorder="1" applyAlignment="1">
      <alignment horizontal="right" vertical="center"/>
    </xf>
    <xf numFmtId="3" fontId="23" fillId="0" borderId="7" xfId="3" applyNumberFormat="1" applyFont="1" applyBorder="1" applyAlignment="1">
      <alignment horizontal="right" vertical="center"/>
    </xf>
    <xf numFmtId="3" fontId="23" fillId="0" borderId="2" xfId="3" applyNumberFormat="1" applyFont="1" applyBorder="1" applyAlignment="1">
      <alignment horizontal="right" vertical="center"/>
    </xf>
    <xf numFmtId="0" fontId="13" fillId="0" borderId="7" xfId="3" applyNumberFormat="1" applyFill="1" applyBorder="1" applyAlignment="1">
      <alignment horizontal="right" vertical="center"/>
    </xf>
    <xf numFmtId="3" fontId="23" fillId="0" borderId="8" xfId="3" applyNumberFormat="1" applyFont="1" applyBorder="1" applyAlignment="1">
      <alignment horizontal="right" vertical="center"/>
    </xf>
    <xf numFmtId="3" fontId="23" fillId="0" borderId="23" xfId="3" applyNumberFormat="1" applyFont="1" applyFill="1" applyBorder="1" applyAlignment="1">
      <alignment horizontal="right" vertical="center"/>
    </xf>
    <xf numFmtId="3" fontId="23" fillId="0" borderId="7" xfId="3" applyNumberFormat="1" applyFont="1" applyFill="1" applyBorder="1" applyAlignment="1">
      <alignment horizontal="right" vertical="center"/>
    </xf>
    <xf numFmtId="3" fontId="23" fillId="0" borderId="8" xfId="3" applyNumberFormat="1" applyFont="1" applyFill="1" applyBorder="1" applyAlignment="1">
      <alignment horizontal="right" vertical="center"/>
    </xf>
    <xf numFmtId="3" fontId="23" fillId="0" borderId="1" xfId="3" applyNumberFormat="1" applyFont="1" applyBorder="1" applyAlignment="1">
      <alignment horizontal="right" vertical="center"/>
    </xf>
    <xf numFmtId="3" fontId="23" fillId="0" borderId="6" xfId="3" applyNumberFormat="1" applyFont="1" applyBorder="1" applyAlignment="1">
      <alignment horizontal="right" vertical="center"/>
    </xf>
    <xf numFmtId="3" fontId="23" fillId="0" borderId="0" xfId="3" applyNumberFormat="1" applyFont="1" applyAlignment="1">
      <alignment horizontal="right" vertical="center"/>
    </xf>
    <xf numFmtId="3" fontId="0" fillId="5" borderId="0" xfId="3" applyNumberFormat="1" applyFont="1" applyFill="1" applyBorder="1" applyAlignment="1">
      <alignment horizontal="right" vertical="center"/>
    </xf>
    <xf numFmtId="3" fontId="0" fillId="5" borderId="0" xfId="3" applyNumberFormat="1" applyFont="1" applyFill="1" applyAlignment="1">
      <alignment horizontal="right" vertical="center"/>
    </xf>
    <xf numFmtId="3" fontId="0" fillId="0" borderId="0" xfId="0" applyNumberFormat="1" applyFont="1" applyAlignment="1">
      <alignment horizontal="right" vertical="center"/>
    </xf>
    <xf numFmtId="37" fontId="25" fillId="0" borderId="0" xfId="0" applyNumberFormat="1" applyFont="1"/>
    <xf numFmtId="37" fontId="25" fillId="13" borderId="0" xfId="0" applyNumberFormat="1" applyFont="1" applyFill="1"/>
    <xf numFmtId="37" fontId="13" fillId="13" borderId="0" xfId="3" applyNumberFormat="1" applyFont="1" applyFill="1"/>
    <xf numFmtId="0" fontId="13" fillId="0" borderId="10" xfId="3" applyNumberFormat="1" applyFill="1" applyBorder="1"/>
    <xf numFmtId="0" fontId="13" fillId="2" borderId="2" xfId="3" applyNumberFormat="1" applyFill="1" applyBorder="1"/>
    <xf numFmtId="172" fontId="17" fillId="0" borderId="3" xfId="3" applyNumberFormat="1" applyFont="1" applyFill="1" applyBorder="1"/>
    <xf numFmtId="172" fontId="17" fillId="13" borderId="3" xfId="3" applyNumberFormat="1" applyFont="1" applyFill="1" applyBorder="1"/>
    <xf numFmtId="0" fontId="13" fillId="0" borderId="8" xfId="3" applyNumberFormat="1" applyFill="1" applyBorder="1"/>
    <xf numFmtId="41" fontId="13" fillId="0" borderId="22" xfId="3" applyNumberFormat="1" applyFill="1" applyBorder="1"/>
    <xf numFmtId="0" fontId="0" fillId="0" borderId="11" xfId="0" applyNumberFormat="1" applyFill="1" applyBorder="1"/>
    <xf numFmtId="41" fontId="0" fillId="0" borderId="0" xfId="0" applyNumberFormat="1" applyBorder="1"/>
    <xf numFmtId="41" fontId="0" fillId="13" borderId="0" xfId="0" applyNumberFormat="1" applyFill="1" applyBorder="1"/>
    <xf numFmtId="41" fontId="30" fillId="0" borderId="7" xfId="3" applyNumberFormat="1" applyFont="1" applyFill="1" applyBorder="1"/>
    <xf numFmtId="41" fontId="30" fillId="0" borderId="0" xfId="3" applyNumberFormat="1" applyFont="1" applyFill="1"/>
    <xf numFmtId="41" fontId="0" fillId="0" borderId="10" xfId="0" applyNumberFormat="1" applyFont="1" applyFill="1" applyBorder="1"/>
    <xf numFmtId="41" fontId="0" fillId="0" borderId="9" xfId="0" applyNumberFormat="1" applyFont="1" applyFill="1" applyBorder="1"/>
    <xf numFmtId="41" fontId="0" fillId="0" borderId="9" xfId="3" applyNumberFormat="1" applyFont="1" applyFill="1" applyBorder="1" applyAlignment="1">
      <alignment horizontal="center"/>
    </xf>
    <xf numFmtId="41" fontId="0" fillId="0" borderId="0" xfId="0" applyNumberFormat="1" applyFont="1" applyFill="1" applyAlignment="1">
      <alignment horizontal="left"/>
    </xf>
    <xf numFmtId="41" fontId="18" fillId="0" borderId="0" xfId="0" applyNumberFormat="1" applyFont="1"/>
    <xf numFmtId="41" fontId="0" fillId="0" borderId="9" xfId="0" applyNumberFormat="1" applyFont="1" applyFill="1" applyBorder="1" applyAlignment="1">
      <alignment horizontal="left"/>
    </xf>
    <xf numFmtId="41" fontId="18" fillId="0" borderId="29" xfId="0" applyNumberFormat="1" applyFont="1" applyBorder="1"/>
    <xf numFmtId="41" fontId="27" fillId="0" borderId="0" xfId="0" applyNumberFormat="1" applyFont="1"/>
    <xf numFmtId="41" fontId="14" fillId="0" borderId="0" xfId="0" applyNumberFormat="1" applyFont="1" applyFill="1" applyAlignment="1">
      <alignment horizontal="left"/>
    </xf>
    <xf numFmtId="41" fontId="14" fillId="0" borderId="0" xfId="0" applyNumberFormat="1" applyFont="1" applyFill="1"/>
    <xf numFmtId="41" fontId="0" fillId="0" borderId="0" xfId="0" applyNumberFormat="1" applyFont="1" applyFill="1" applyBorder="1" applyAlignment="1">
      <alignment horizontal="left"/>
    </xf>
    <xf numFmtId="41" fontId="14" fillId="0" borderId="0" xfId="0" applyNumberFormat="1" applyFont="1" applyFill="1" applyBorder="1" applyAlignment="1">
      <alignment horizontal="left"/>
    </xf>
    <xf numFmtId="41" fontId="0" fillId="0" borderId="1" xfId="0" applyNumberFormat="1" applyFont="1" applyFill="1" applyBorder="1"/>
    <xf numFmtId="41" fontId="0" fillId="0" borderId="1" xfId="0" applyNumberFormat="1" applyFont="1" applyFill="1" applyBorder="1" applyAlignment="1">
      <alignment horizontal="left"/>
    </xf>
    <xf numFmtId="41" fontId="0" fillId="0" borderId="11" xfId="0" applyNumberFormat="1" applyFont="1" applyFill="1" applyBorder="1"/>
    <xf numFmtId="41" fontId="31" fillId="0" borderId="5" xfId="3" applyNumberFormat="1" applyFont="1" applyFill="1" applyBorder="1"/>
    <xf numFmtId="41" fontId="2" fillId="0" borderId="0" xfId="0" applyNumberFormat="1" applyFont="1" applyFill="1"/>
    <xf numFmtId="41" fontId="2" fillId="4" borderId="12" xfId="0" applyNumberFormat="1" applyFont="1" applyFill="1" applyBorder="1"/>
    <xf numFmtId="41" fontId="31" fillId="4" borderId="12" xfId="3" applyNumberFormat="1" applyFont="1" applyFill="1" applyBorder="1"/>
    <xf numFmtId="41" fontId="2" fillId="2" borderId="0" xfId="0" applyNumberFormat="1" applyFont="1" applyFill="1" applyBorder="1"/>
    <xf numFmtId="41" fontId="21" fillId="0" borderId="20" xfId="0" applyNumberFormat="1" applyFont="1" applyBorder="1"/>
    <xf numFmtId="41" fontId="22" fillId="0" borderId="20" xfId="0" applyNumberFormat="1" applyFont="1" applyBorder="1"/>
    <xf numFmtId="41" fontId="22" fillId="0" borderId="21" xfId="0" applyNumberFormat="1" applyFont="1" applyFill="1" applyBorder="1"/>
    <xf numFmtId="41" fontId="30" fillId="0" borderId="0" xfId="2" applyNumberFormat="1" applyFont="1" applyFill="1"/>
    <xf numFmtId="41" fontId="0" fillId="13" borderId="9" xfId="3" applyNumberFormat="1" applyFont="1" applyFill="1" applyBorder="1" applyAlignment="1">
      <alignment horizontal="center"/>
    </xf>
    <xf numFmtId="41" fontId="30" fillId="13" borderId="0" xfId="3" applyNumberFormat="1" applyFont="1" applyFill="1"/>
    <xf numFmtId="41" fontId="18" fillId="13" borderId="0" xfId="3" applyNumberFormat="1" applyFont="1" applyFill="1"/>
    <xf numFmtId="41" fontId="18" fillId="13" borderId="0" xfId="0" applyNumberFormat="1" applyFont="1" applyFill="1"/>
    <xf numFmtId="41" fontId="18" fillId="13" borderId="29" xfId="0" applyNumberFormat="1" applyFont="1" applyFill="1" applyBorder="1"/>
    <xf numFmtId="41" fontId="27" fillId="13" borderId="0" xfId="0" applyNumberFormat="1" applyFont="1" applyFill="1"/>
    <xf numFmtId="41" fontId="27" fillId="0" borderId="0" xfId="0" applyNumberFormat="1" applyFont="1" applyFill="1"/>
    <xf numFmtId="41" fontId="18" fillId="0" borderId="9" xfId="3" applyNumberFormat="1" applyFont="1" applyFill="1" applyBorder="1"/>
    <xf numFmtId="41" fontId="18" fillId="13" borderId="9" xfId="3" applyNumberFormat="1" applyFont="1" applyFill="1" applyBorder="1"/>
    <xf numFmtId="41" fontId="18" fillId="0" borderId="2" xfId="3" applyNumberFormat="1" applyFont="1" applyFill="1" applyBorder="1"/>
    <xf numFmtId="41" fontId="18" fillId="0" borderId="1" xfId="3" applyNumberFormat="1" applyFont="1" applyFill="1" applyBorder="1"/>
    <xf numFmtId="41" fontId="18" fillId="13" borderId="1" xfId="3" applyNumberFormat="1" applyFont="1" applyFill="1" applyBorder="1"/>
    <xf numFmtId="41" fontId="18" fillId="0" borderId="8" xfId="3" applyNumberFormat="1" applyFont="1" applyFill="1" applyBorder="1"/>
    <xf numFmtId="41" fontId="27" fillId="2" borderId="0" xfId="0" applyNumberFormat="1" applyFont="1" applyFill="1"/>
    <xf numFmtId="41" fontId="27" fillId="0" borderId="0" xfId="0" applyNumberFormat="1" applyFont="1" applyBorder="1"/>
    <xf numFmtId="41" fontId="27" fillId="13" borderId="0" xfId="0" applyNumberFormat="1" applyFont="1" applyFill="1" applyBorder="1"/>
    <xf numFmtId="176" fontId="0" fillId="0" borderId="21" xfId="0" applyNumberFormat="1" applyFont="1" applyBorder="1"/>
    <xf numFmtId="176" fontId="0" fillId="0" borderId="10" xfId="0" applyNumberFormat="1" applyFont="1" applyBorder="1"/>
    <xf numFmtId="176" fontId="0" fillId="0" borderId="9" xfId="0" applyNumberFormat="1" applyFont="1" applyBorder="1"/>
    <xf numFmtId="172" fontId="23" fillId="0" borderId="2" xfId="3" applyNumberFormat="1" applyFont="1" applyFill="1" applyBorder="1"/>
    <xf numFmtId="41" fontId="0" fillId="0" borderId="0" xfId="3" applyNumberFormat="1" applyFont="1" applyFill="1" applyBorder="1"/>
    <xf numFmtId="171" fontId="23" fillId="13" borderId="0" xfId="3" applyFont="1" applyFill="1"/>
    <xf numFmtId="172" fontId="23" fillId="13" borderId="0" xfId="3" applyNumberFormat="1" applyFont="1" applyFill="1"/>
    <xf numFmtId="41" fontId="0" fillId="13" borderId="0" xfId="5" applyNumberFormat="1" applyFont="1" applyFill="1"/>
    <xf numFmtId="3" fontId="0" fillId="13" borderId="0" xfId="5" applyNumberFormat="1" applyFont="1" applyFill="1"/>
    <xf numFmtId="176" fontId="0" fillId="13" borderId="9" xfId="0" applyNumberFormat="1" applyFont="1" applyFill="1" applyBorder="1"/>
    <xf numFmtId="172" fontId="23" fillId="13" borderId="9" xfId="3" applyNumberFormat="1" applyFont="1" applyFill="1" applyBorder="1"/>
    <xf numFmtId="172" fontId="23" fillId="13" borderId="1" xfId="3" applyNumberFormat="1" applyFont="1" applyFill="1" applyBorder="1"/>
    <xf numFmtId="43" fontId="0" fillId="13" borderId="0" xfId="3" applyNumberFormat="1" applyFont="1" applyFill="1"/>
    <xf numFmtId="179" fontId="0" fillId="13" borderId="0" xfId="3" applyNumberFormat="1" applyFont="1" applyFill="1"/>
    <xf numFmtId="38" fontId="28" fillId="0" borderId="5" xfId="3" applyNumberFormat="1" applyFont="1" applyFill="1" applyBorder="1"/>
    <xf numFmtId="38" fontId="28" fillId="0" borderId="6" xfId="3" applyNumberFormat="1" applyFont="1" applyFill="1" applyBorder="1"/>
    <xf numFmtId="39" fontId="25" fillId="14" borderId="0" xfId="0" applyNumberFormat="1" applyFont="1" applyFill="1"/>
    <xf numFmtId="39" fontId="26" fillId="14" borderId="28" xfId="0" applyNumberFormat="1" applyFont="1" applyFill="1" applyBorder="1"/>
    <xf numFmtId="41" fontId="23" fillId="13" borderId="10" xfId="3" applyNumberFormat="1" applyFont="1" applyFill="1" applyBorder="1"/>
    <xf numFmtId="171" fontId="13" fillId="14" borderId="0" xfId="3" applyFill="1"/>
    <xf numFmtId="176" fontId="22" fillId="7" borderId="21" xfId="0" applyNumberFormat="1" applyFont="1" applyFill="1" applyBorder="1"/>
    <xf numFmtId="39" fontId="25" fillId="14" borderId="26" xfId="0" applyNumberFormat="1" applyFont="1" applyFill="1" applyBorder="1"/>
    <xf numFmtId="41" fontId="0" fillId="13" borderId="9" xfId="3" applyNumberFormat="1" applyFont="1" applyFill="1" applyBorder="1"/>
    <xf numFmtId="41" fontId="1" fillId="0" borderId="2" xfId="3" applyNumberFormat="1" applyFont="1" applyFill="1" applyBorder="1"/>
    <xf numFmtId="39" fontId="27" fillId="13" borderId="0" xfId="0" applyNumberFormat="1" applyFont="1" applyFill="1"/>
    <xf numFmtId="39" fontId="27" fillId="13" borderId="0" xfId="0" applyNumberFormat="1" applyFont="1" applyFill="1" applyBorder="1"/>
    <xf numFmtId="41" fontId="0" fillId="13" borderId="22" xfId="3" applyNumberFormat="1" applyFont="1" applyFill="1" applyBorder="1"/>
    <xf numFmtId="39" fontId="0" fillId="13" borderId="0" xfId="0" applyNumberFormat="1" applyFont="1" applyFill="1"/>
    <xf numFmtId="41" fontId="32" fillId="7" borderId="0" xfId="3" applyNumberFormat="1" applyFont="1" applyFill="1"/>
    <xf numFmtId="176" fontId="1" fillId="7" borderId="21" xfId="0" applyNumberFormat="1" applyFont="1" applyFill="1" applyBorder="1"/>
    <xf numFmtId="37" fontId="27" fillId="13" borderId="0" xfId="0" applyNumberFormat="1" applyFont="1" applyFill="1"/>
    <xf numFmtId="41" fontId="13" fillId="0" borderId="30" xfId="3" applyNumberFormat="1" applyFill="1" applyBorder="1"/>
    <xf numFmtId="171" fontId="23" fillId="0" borderId="22" xfId="3" applyFont="1" applyBorder="1"/>
    <xf numFmtId="41" fontId="13" fillId="13" borderId="0" xfId="3" applyNumberFormat="1" applyFill="1" applyBorder="1"/>
    <xf numFmtId="172" fontId="17" fillId="0" borderId="8" xfId="3" applyNumberFormat="1" applyFont="1" applyFill="1" applyBorder="1"/>
    <xf numFmtId="172" fontId="0" fillId="13" borderId="0" xfId="3" applyNumberFormat="1" applyFont="1" applyFill="1"/>
    <xf numFmtId="172" fontId="18" fillId="13" borderId="0" xfId="3" applyNumberFormat="1" applyFont="1" applyFill="1"/>
    <xf numFmtId="172" fontId="14" fillId="13" borderId="0" xfId="3" applyNumberFormat="1" applyFont="1" applyFill="1"/>
    <xf numFmtId="41" fontId="11" fillId="13" borderId="0" xfId="3" applyNumberFormat="1" applyFont="1" applyFill="1"/>
    <xf numFmtId="172" fontId="13" fillId="13" borderId="0" xfId="3" applyNumberFormat="1" applyFont="1" applyFill="1"/>
    <xf numFmtId="172" fontId="20" fillId="13" borderId="0" xfId="3" applyNumberFormat="1" applyFont="1" applyFill="1"/>
    <xf numFmtId="37" fontId="7" fillId="5" borderId="13" xfId="0" applyNumberFormat="1" applyFont="1" applyFill="1" applyBorder="1" applyAlignment="1" applyProtection="1">
      <alignment horizontal="center"/>
      <protection hidden="1"/>
    </xf>
    <xf numFmtId="172" fontId="13" fillId="5" borderId="9" xfId="3" applyNumberFormat="1" applyFill="1" applyBorder="1"/>
    <xf numFmtId="172" fontId="0" fillId="13" borderId="9" xfId="3" applyNumberFormat="1" applyFont="1" applyFill="1" applyBorder="1"/>
    <xf numFmtId="172" fontId="11" fillId="13" borderId="0" xfId="3" applyNumberFormat="1" applyFont="1" applyFill="1"/>
    <xf numFmtId="180" fontId="0" fillId="13" borderId="0" xfId="3" applyNumberFormat="1" applyFont="1" applyFill="1"/>
    <xf numFmtId="43" fontId="31" fillId="4" borderId="19" xfId="3" applyNumberFormat="1" applyFont="1" applyFill="1" applyBorder="1"/>
    <xf numFmtId="43" fontId="0" fillId="0" borderId="0" xfId="0" applyNumberFormat="1" applyFont="1" applyFill="1"/>
    <xf numFmtId="44" fontId="0" fillId="0" borderId="0" xfId="5" applyFont="1" applyFill="1"/>
    <xf numFmtId="43" fontId="2" fillId="2" borderId="0" xfId="0" applyNumberFormat="1" applyFont="1" applyFill="1" applyBorder="1"/>
    <xf numFmtId="181" fontId="23" fillId="0" borderId="23" xfId="3" applyNumberFormat="1" applyFont="1" applyBorder="1"/>
    <xf numFmtId="181" fontId="23" fillId="0" borderId="7" xfId="3" applyNumberFormat="1" applyFont="1" applyBorder="1"/>
    <xf numFmtId="41" fontId="0" fillId="0" borderId="1" xfId="3" applyNumberFormat="1" applyFont="1" applyBorder="1"/>
    <xf numFmtId="4" fontId="23" fillId="0" borderId="7" xfId="3" applyNumberFormat="1" applyFont="1" applyBorder="1"/>
    <xf numFmtId="4" fontId="23" fillId="0" borderId="2" xfId="3" applyNumberFormat="1" applyFont="1" applyBorder="1"/>
    <xf numFmtId="171" fontId="23" fillId="0" borderId="7" xfId="3" applyFont="1" applyBorder="1"/>
    <xf numFmtId="171" fontId="23" fillId="0" borderId="8" xfId="3" applyFont="1" applyBorder="1"/>
    <xf numFmtId="171" fontId="23" fillId="0" borderId="23" xfId="3" applyFont="1" applyBorder="1"/>
    <xf numFmtId="171" fontId="23" fillId="0" borderId="7" xfId="3" applyFont="1" applyFill="1" applyBorder="1"/>
    <xf numFmtId="171" fontId="23" fillId="0" borderId="23" xfId="3" applyFont="1" applyFill="1" applyBorder="1"/>
    <xf numFmtId="171" fontId="23" fillId="0" borderId="1" xfId="3" applyFont="1" applyBorder="1"/>
    <xf numFmtId="182" fontId="7" fillId="0" borderId="0" xfId="0" applyNumberFormat="1" applyFont="1" applyFill="1" applyBorder="1" applyAlignment="1" applyProtection="1">
      <alignment horizontal="center"/>
      <protection hidden="1"/>
    </xf>
    <xf numFmtId="41" fontId="0" fillId="13" borderId="1" xfId="3" applyNumberFormat="1" applyFont="1" applyFill="1" applyBorder="1"/>
    <xf numFmtId="41" fontId="0" fillId="13" borderId="0" xfId="3" applyNumberFormat="1" applyFont="1" applyFill="1" applyBorder="1"/>
  </cellXfs>
  <cellStyles count="6">
    <cellStyle name="Comma" xfId="1" builtinId="3"/>
    <cellStyle name="Currency" xfId="5" builtinId="4"/>
    <cellStyle name="FRxAmtStyle" xfId="3" xr:uid="{C006E655-3640-4D67-997C-CEB2CE759874}"/>
    <cellStyle name="Normal" xfId="0" builtinId="0"/>
    <cellStyle name="Normal 2" xfId="4" xr:uid="{B1EA6B08-4ABC-4239-8E26-9DB29B1A6087}"/>
    <cellStyle name="Percent" xfId="2" builtinId="5"/>
  </cellStyles>
  <dxfs count="0"/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5292</xdr:rowOff>
    </xdr:from>
    <xdr:to>
      <xdr:col>3</xdr:col>
      <xdr:colOff>0</xdr:colOff>
      <xdr:row>8</xdr:row>
      <xdr:rowOff>5292</xdr:rowOff>
    </xdr:to>
    <xdr:sp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>
          <a:spLocks noChangeArrowheads="1"/>
        </xdr:cNvSpPr>
      </xdr:nvSpPr>
      <xdr:spPr bwMode="auto">
        <a:xfrm>
          <a:off x="2152650" y="1329267"/>
          <a:ext cx="0" cy="0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Hide these two columns to print the proformas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&#65279;<?xml version="1.0" encoding="UTF-8" standalone="yes"?>
<Relationships xmlns="http://schemas.openxmlformats.org/package/2006/relationships"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.xml"/></Relationships>
</file>

<file path=xl/worksheets/_rels/sheet2.xml.rels>&#65279;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/Relationships>
</file>

<file path=xl/worksheets/_rels/sheet3.xml.rels>&#65279;<?xml version="1.0" encoding="UTF-8" standalone="yes"?>
<Relationships xmlns="http://schemas.openxmlformats.org/package/2006/relationships"><Relationship Id="rId3" Type="http://schemas.openxmlformats.org/officeDocument/2006/relationships/comments" Target="../comments2.xml" /><Relationship Id="rId2" Type="http://schemas.openxmlformats.org/officeDocument/2006/relationships/vmlDrawing" Target="../drawings/vmlDrawing2.v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&#65279;<?xml version="1.0" encoding="UTF-8" standalone="yes"?>
<Relationships xmlns="http://schemas.openxmlformats.org/package/2006/relationships"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&#65279;<?xml version="1.0" encoding="UTF-8" standalone="yes"?>
<Relationships xmlns="http://schemas.openxmlformats.org/package/2006/relationships"><Relationship Id="rId3" Type="http://schemas.openxmlformats.org/officeDocument/2006/relationships/comments" Target="../comments6.xml" /><Relationship Id="rId2" Type="http://schemas.openxmlformats.org/officeDocument/2006/relationships/vmlDrawing" Target="../drawings/vmlDrawing6.vml" /></Relationships>
</file>

<file path=xl/worksheets/_rels/sheet9.xml.rels>&#65279;<?xml version="1.0" encoding="UTF-8" standalone="yes"?>
<Relationships xmlns="http://schemas.openxmlformats.org/package/2006/relationships"><Relationship Id="rId3" Type="http://schemas.openxmlformats.org/officeDocument/2006/relationships/comments" Target="../comments7.xml" /><Relationship Id="rId2" Type="http://schemas.openxmlformats.org/officeDocument/2006/relationships/vmlDrawing" Target="../drawings/vmlDrawing7.v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8BB9-B13E-46A0-A3E3-A65F8A1A27CC}">
  <sheetPr>
    <tabColor rgb="FFFF0000"/>
  </sheetPr>
  <dimension ref="A1:AF110"/>
  <sheetViews>
    <sheetView zoomScale="73" zoomScaleNormal="73" workbookViewId="0">
      <pane ySplit="1" topLeftCell="A2" activePane="bottomLeft" state="frozen"/>
      <selection pane="bottomLeft" activeCell="B16" sqref="B16"/>
    </sheetView>
  </sheetViews>
  <sheetFormatPr defaultColWidth="29" defaultRowHeight="14.4" x14ac:dyDescent="0.3"/>
  <cols>
    <col min="1" max="1" width="12.88671875" style="99" customWidth="1"/>
    <col min="2" max="2" width="33.21875" style="99" customWidth="1"/>
    <col min="3" max="8" width="7.6640625" style="101" customWidth="1"/>
    <col min="9" max="10" width="7.6640625" style="123" customWidth="1"/>
    <col min="11" max="14" width="7.6640625" style="101" customWidth="1"/>
    <col min="15" max="15" width="7.6640625" style="112" customWidth="1"/>
    <col min="16" max="16384" width="29" style="99"/>
  </cols>
  <sheetData>
    <row r="1" spans="1:32" x14ac:dyDescent="0.3">
      <c r="A1" s="108"/>
      <c r="B1" s="239"/>
      <c r="C1" s="240" t="s">
        <v>123</v>
      </c>
      <c r="D1" s="240" t="s">
        <v>124</v>
      </c>
      <c r="E1" s="240" t="s">
        <v>125</v>
      </c>
      <c r="F1" s="240" t="s">
        <v>126</v>
      </c>
      <c r="G1" s="240" t="s">
        <v>127</v>
      </c>
      <c r="H1" s="380" t="s">
        <v>128</v>
      </c>
      <c r="I1" s="381" t="s">
        <v>129</v>
      </c>
      <c r="J1" s="381" t="s">
        <v>130</v>
      </c>
      <c r="K1" s="380" t="s">
        <v>131</v>
      </c>
      <c r="L1" s="380" t="s">
        <v>132</v>
      </c>
      <c r="M1" s="380" t="s">
        <v>133</v>
      </c>
      <c r="N1" s="380" t="s">
        <v>134</v>
      </c>
      <c r="O1" s="141" t="s">
        <v>10</v>
      </c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</row>
    <row r="2" spans="1:32" x14ac:dyDescent="0.3">
      <c r="A2" s="102" t="s">
        <v>135</v>
      </c>
      <c r="B2" s="102" t="s">
        <v>136</v>
      </c>
      <c r="C2" s="103">
        <v>0</v>
      </c>
      <c r="D2" s="103">
        <v>0</v>
      </c>
      <c r="E2" s="103">
        <v>0</v>
      </c>
      <c r="F2" s="103">
        <v>0</v>
      </c>
      <c r="G2" s="103">
        <v>0</v>
      </c>
      <c r="H2" s="372">
        <v>0</v>
      </c>
      <c r="I2" s="372">
        <v>0</v>
      </c>
      <c r="J2" s="372">
        <v>0</v>
      </c>
      <c r="K2" s="372">
        <v>0</v>
      </c>
      <c r="L2" s="372">
        <v>0</v>
      </c>
      <c r="M2" s="372">
        <v>0</v>
      </c>
      <c r="N2" s="372">
        <v>0</v>
      </c>
      <c r="O2" s="142">
        <f>SUM(C2:N2)</f>
        <v>0</v>
      </c>
    </row>
    <row r="3" spans="1:32" x14ac:dyDescent="0.3">
      <c r="A3" s="102" t="s">
        <v>137</v>
      </c>
      <c r="B3" s="102" t="s">
        <v>138</v>
      </c>
      <c r="C3" s="103">
        <v>0</v>
      </c>
      <c r="D3" s="103">
        <v>0</v>
      </c>
      <c r="E3" s="103">
        <v>0</v>
      </c>
      <c r="F3" s="103">
        <v>0</v>
      </c>
      <c r="G3" s="103">
        <v>0</v>
      </c>
      <c r="H3" s="372">
        <v>0</v>
      </c>
      <c r="I3" s="372">
        <v>0</v>
      </c>
      <c r="J3" s="372">
        <v>0</v>
      </c>
      <c r="K3" s="372">
        <v>0</v>
      </c>
      <c r="L3" s="372">
        <v>0</v>
      </c>
      <c r="M3" s="372">
        <v>0</v>
      </c>
      <c r="N3" s="372">
        <v>0</v>
      </c>
      <c r="O3" s="142">
        <f>SUM(C3:N3)</f>
        <v>0</v>
      </c>
    </row>
    <row r="4" spans="1:32" x14ac:dyDescent="0.3">
      <c r="A4" s="102" t="s">
        <v>139</v>
      </c>
      <c r="B4" s="102" t="s">
        <v>140</v>
      </c>
      <c r="C4" s="103">
        <v>0</v>
      </c>
      <c r="D4" s="103">
        <v>0</v>
      </c>
      <c r="E4" s="103">
        <v>0</v>
      </c>
      <c r="F4" s="103">
        <v>0</v>
      </c>
      <c r="G4" s="103">
        <v>0</v>
      </c>
      <c r="H4" s="372">
        <v>0</v>
      </c>
      <c r="I4" s="372">
        <v>0</v>
      </c>
      <c r="J4" s="372">
        <v>0</v>
      </c>
      <c r="K4" s="372">
        <v>0</v>
      </c>
      <c r="L4" s="372">
        <v>0</v>
      </c>
      <c r="M4" s="372">
        <v>0</v>
      </c>
      <c r="N4" s="372">
        <v>0</v>
      </c>
      <c r="O4" s="142">
        <f>SUM(C4:N4)</f>
        <v>0</v>
      </c>
    </row>
    <row r="5" spans="1:32" x14ac:dyDescent="0.3">
      <c r="A5" s="102">
        <v>408006</v>
      </c>
      <c r="B5" s="102" t="s">
        <v>141</v>
      </c>
      <c r="C5" s="103">
        <v>0</v>
      </c>
      <c r="D5" s="103">
        <v>0</v>
      </c>
      <c r="E5" s="103">
        <v>0</v>
      </c>
      <c r="F5" s="103">
        <v>0</v>
      </c>
      <c r="G5" s="103">
        <v>0</v>
      </c>
      <c r="H5" s="372">
        <v>0</v>
      </c>
      <c r="I5" s="372">
        <v>0</v>
      </c>
      <c r="J5" s="372">
        <v>0</v>
      </c>
      <c r="K5" s="372">
        <v>0</v>
      </c>
      <c r="L5" s="372">
        <v>0</v>
      </c>
      <c r="M5" s="372">
        <v>0</v>
      </c>
      <c r="N5" s="372">
        <v>0</v>
      </c>
      <c r="O5" s="142">
        <f>SUM(C5:N5)</f>
        <v>0</v>
      </c>
    </row>
    <row r="6" spans="1:32" x14ac:dyDescent="0.3">
      <c r="A6" s="102" t="s">
        <v>142</v>
      </c>
      <c r="B6" s="102" t="s">
        <v>143</v>
      </c>
      <c r="C6" s="103">
        <v>0</v>
      </c>
      <c r="D6" s="103">
        <v>0</v>
      </c>
      <c r="E6" s="103">
        <v>0</v>
      </c>
      <c r="F6" s="103">
        <v>0</v>
      </c>
      <c r="G6" s="103">
        <v>0</v>
      </c>
      <c r="H6" s="372">
        <v>0</v>
      </c>
      <c r="I6" s="372">
        <v>0</v>
      </c>
      <c r="J6" s="372">
        <v>0</v>
      </c>
      <c r="K6" s="372">
        <v>0</v>
      </c>
      <c r="L6" s="372">
        <v>0</v>
      </c>
      <c r="M6" s="372">
        <v>0</v>
      </c>
      <c r="N6" s="372">
        <v>0</v>
      </c>
      <c r="O6" s="142">
        <f>SUM(C6:N6)</f>
        <v>0</v>
      </c>
    </row>
    <row r="7" spans="1:32" x14ac:dyDescent="0.3">
      <c r="A7" s="108"/>
      <c r="B7" s="109" t="s">
        <v>144</v>
      </c>
      <c r="C7" s="359">
        <f t="shared" ref="C7:O7" si="0">SUM(C2:C6)</f>
        <v>0</v>
      </c>
      <c r="D7" s="359">
        <f t="shared" si="0"/>
        <v>0</v>
      </c>
      <c r="E7" s="359">
        <f t="shared" si="0"/>
        <v>0</v>
      </c>
      <c r="F7" s="359">
        <f t="shared" si="0"/>
        <v>0</v>
      </c>
      <c r="G7" s="359">
        <f t="shared" si="0"/>
        <v>0</v>
      </c>
      <c r="H7" s="373">
        <f t="shared" si="0"/>
        <v>0</v>
      </c>
      <c r="I7" s="373">
        <f t="shared" si="0"/>
        <v>0</v>
      </c>
      <c r="J7" s="373">
        <f t="shared" si="0"/>
        <v>0</v>
      </c>
      <c r="K7" s="373">
        <f t="shared" si="0"/>
        <v>0</v>
      </c>
      <c r="L7" s="373">
        <f t="shared" si="0"/>
        <v>0</v>
      </c>
      <c r="M7" s="373">
        <f t="shared" si="0"/>
        <v>0</v>
      </c>
      <c r="N7" s="373">
        <f t="shared" si="0"/>
        <v>0</v>
      </c>
      <c r="O7" s="358">
        <f t="shared" si="0"/>
        <v>0</v>
      </c>
    </row>
    <row r="8" spans="1:32" x14ac:dyDescent="0.3">
      <c r="A8" s="102" t="s">
        <v>145</v>
      </c>
      <c r="B8" s="102" t="s">
        <v>146</v>
      </c>
      <c r="C8" s="103">
        <v>0</v>
      </c>
      <c r="D8" s="103">
        <v>0</v>
      </c>
      <c r="E8" s="103">
        <v>0</v>
      </c>
      <c r="F8" s="103">
        <v>0</v>
      </c>
      <c r="G8" s="103">
        <v>0</v>
      </c>
      <c r="H8" s="372">
        <v>0</v>
      </c>
      <c r="I8" s="372">
        <v>0</v>
      </c>
      <c r="J8" s="372">
        <v>0</v>
      </c>
      <c r="K8" s="372">
        <v>0</v>
      </c>
      <c r="L8" s="372">
        <v>0</v>
      </c>
      <c r="M8" s="372">
        <v>0</v>
      </c>
      <c r="N8" s="372">
        <v>0</v>
      </c>
      <c r="O8" s="142">
        <f t="shared" ref="O8:O22" si="1">SUM(C8:N8)</f>
        <v>0</v>
      </c>
    </row>
    <row r="9" spans="1:32" x14ac:dyDescent="0.3">
      <c r="A9" s="102">
        <v>450000</v>
      </c>
      <c r="B9" s="102" t="s">
        <v>147</v>
      </c>
      <c r="C9" s="103">
        <v>0</v>
      </c>
      <c r="D9" s="103">
        <v>0</v>
      </c>
      <c r="E9" s="103">
        <v>0</v>
      </c>
      <c r="F9" s="103">
        <v>0</v>
      </c>
      <c r="G9" s="103">
        <v>0</v>
      </c>
      <c r="H9" s="372">
        <v>0</v>
      </c>
      <c r="I9" s="372">
        <v>0</v>
      </c>
      <c r="J9" s="372">
        <v>0</v>
      </c>
      <c r="K9" s="372">
        <v>0</v>
      </c>
      <c r="L9" s="372">
        <v>0</v>
      </c>
      <c r="M9" s="372">
        <v>0</v>
      </c>
      <c r="N9" s="372">
        <v>0</v>
      </c>
      <c r="O9" s="142">
        <f t="shared" si="1"/>
        <v>0</v>
      </c>
    </row>
    <row r="10" spans="1:32" x14ac:dyDescent="0.3">
      <c r="A10" s="102" t="s">
        <v>148</v>
      </c>
      <c r="B10" s="102" t="s">
        <v>149</v>
      </c>
      <c r="C10" s="103">
        <v>0</v>
      </c>
      <c r="D10" s="103">
        <v>0</v>
      </c>
      <c r="E10" s="103">
        <v>0</v>
      </c>
      <c r="F10" s="103">
        <v>0</v>
      </c>
      <c r="G10" s="103">
        <v>0</v>
      </c>
      <c r="H10" s="372">
        <v>0</v>
      </c>
      <c r="I10" s="372">
        <v>0</v>
      </c>
      <c r="J10" s="372">
        <v>0</v>
      </c>
      <c r="K10" s="372">
        <v>0</v>
      </c>
      <c r="L10" s="372">
        <v>0</v>
      </c>
      <c r="M10" s="372">
        <v>0</v>
      </c>
      <c r="N10" s="372">
        <v>0</v>
      </c>
      <c r="O10" s="142">
        <f t="shared" si="1"/>
        <v>0</v>
      </c>
    </row>
    <row r="11" spans="1:32" x14ac:dyDescent="0.3">
      <c r="A11" s="102" t="s">
        <v>150</v>
      </c>
      <c r="B11" s="102" t="s">
        <v>151</v>
      </c>
      <c r="C11" s="103">
        <v>0</v>
      </c>
      <c r="D11" s="103">
        <v>0</v>
      </c>
      <c r="E11" s="103">
        <v>0</v>
      </c>
      <c r="F11" s="103">
        <v>0</v>
      </c>
      <c r="G11" s="103">
        <v>0</v>
      </c>
      <c r="H11" s="372">
        <v>0</v>
      </c>
      <c r="I11" s="372">
        <v>0</v>
      </c>
      <c r="J11" s="372">
        <v>0</v>
      </c>
      <c r="K11" s="372">
        <v>0</v>
      </c>
      <c r="L11" s="372">
        <v>0</v>
      </c>
      <c r="M11" s="372">
        <v>0</v>
      </c>
      <c r="N11" s="372">
        <v>0</v>
      </c>
      <c r="O11" s="142">
        <f t="shared" si="1"/>
        <v>0</v>
      </c>
    </row>
    <row r="12" spans="1:32" x14ac:dyDescent="0.3">
      <c r="A12" s="102" t="s">
        <v>152</v>
      </c>
      <c r="B12" s="102" t="s">
        <v>153</v>
      </c>
      <c r="C12" s="103">
        <v>0</v>
      </c>
      <c r="D12" s="103">
        <v>0</v>
      </c>
      <c r="E12" s="103">
        <v>0</v>
      </c>
      <c r="F12" s="103">
        <v>0</v>
      </c>
      <c r="G12" s="103">
        <v>0</v>
      </c>
      <c r="H12" s="372">
        <v>0</v>
      </c>
      <c r="I12" s="372">
        <v>0</v>
      </c>
      <c r="J12" s="372">
        <v>0</v>
      </c>
      <c r="K12" s="372">
        <v>0</v>
      </c>
      <c r="L12" s="372">
        <v>0</v>
      </c>
      <c r="M12" s="372">
        <v>0</v>
      </c>
      <c r="N12" s="372">
        <v>0</v>
      </c>
      <c r="O12" s="142">
        <f t="shared" si="1"/>
        <v>0</v>
      </c>
    </row>
    <row r="13" spans="1:32" x14ac:dyDescent="0.3">
      <c r="A13" s="102" t="s">
        <v>154</v>
      </c>
      <c r="B13" s="102" t="s">
        <v>155</v>
      </c>
      <c r="C13" s="103">
        <v>0</v>
      </c>
      <c r="D13" s="103">
        <v>0</v>
      </c>
      <c r="E13" s="103">
        <v>0</v>
      </c>
      <c r="F13" s="103">
        <v>0</v>
      </c>
      <c r="G13" s="103">
        <v>0</v>
      </c>
      <c r="H13" s="372">
        <v>0</v>
      </c>
      <c r="I13" s="372">
        <v>0</v>
      </c>
      <c r="J13" s="372">
        <v>0</v>
      </c>
      <c r="K13" s="372">
        <v>0</v>
      </c>
      <c r="L13" s="372">
        <v>0</v>
      </c>
      <c r="M13" s="372">
        <v>0</v>
      </c>
      <c r="N13" s="372">
        <v>0</v>
      </c>
      <c r="O13" s="142">
        <f t="shared" si="1"/>
        <v>0</v>
      </c>
    </row>
    <row r="14" spans="1:32" x14ac:dyDescent="0.3">
      <c r="A14" s="102" t="s">
        <v>156</v>
      </c>
      <c r="B14" s="102" t="s">
        <v>157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372">
        <v>0</v>
      </c>
      <c r="I14" s="372">
        <v>0</v>
      </c>
      <c r="J14" s="372">
        <v>0</v>
      </c>
      <c r="K14" s="372">
        <v>0</v>
      </c>
      <c r="L14" s="372">
        <v>0</v>
      </c>
      <c r="M14" s="372">
        <v>0</v>
      </c>
      <c r="N14" s="372">
        <v>0</v>
      </c>
      <c r="O14" s="142">
        <f t="shared" si="1"/>
        <v>0</v>
      </c>
    </row>
    <row r="15" spans="1:32" s="126" customFormat="1" x14ac:dyDescent="0.3">
      <c r="A15" s="124" t="s">
        <v>158</v>
      </c>
      <c r="B15" s="124" t="s">
        <v>159</v>
      </c>
      <c r="C15" s="125">
        <v>0</v>
      </c>
      <c r="D15" s="125">
        <v>0</v>
      </c>
      <c r="E15" s="125">
        <v>0</v>
      </c>
      <c r="F15" s="125">
        <v>0</v>
      </c>
      <c r="G15" s="125">
        <v>0</v>
      </c>
      <c r="H15" s="384">
        <v>0</v>
      </c>
      <c r="I15" s="384">
        <v>0</v>
      </c>
      <c r="J15" s="384">
        <v>0</v>
      </c>
      <c r="K15" s="384">
        <v>0</v>
      </c>
      <c r="L15" s="384">
        <v>0</v>
      </c>
      <c r="M15" s="384">
        <v>0</v>
      </c>
      <c r="N15" s="384">
        <v>0</v>
      </c>
      <c r="O15" s="144">
        <f t="shared" si="1"/>
        <v>0</v>
      </c>
    </row>
    <row r="16" spans="1:32" x14ac:dyDescent="0.3">
      <c r="A16" s="102" t="s">
        <v>160</v>
      </c>
      <c r="B16" s="102" t="s">
        <v>161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 s="372">
        <v>0</v>
      </c>
      <c r="I16" s="372">
        <v>0</v>
      </c>
      <c r="J16" s="372">
        <v>0</v>
      </c>
      <c r="K16" s="372">
        <v>0</v>
      </c>
      <c r="L16" s="372">
        <v>0</v>
      </c>
      <c r="M16" s="372">
        <v>0</v>
      </c>
      <c r="N16" s="372">
        <v>0</v>
      </c>
      <c r="O16" s="142">
        <f t="shared" si="1"/>
        <v>0</v>
      </c>
    </row>
    <row r="17" spans="1:15" x14ac:dyDescent="0.3">
      <c r="A17" s="102" t="s">
        <v>162</v>
      </c>
      <c r="B17" s="102" t="s">
        <v>163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372">
        <v>0</v>
      </c>
      <c r="I17" s="372">
        <v>0</v>
      </c>
      <c r="J17" s="372">
        <v>0</v>
      </c>
      <c r="K17" s="372">
        <v>0</v>
      </c>
      <c r="L17" s="372">
        <v>0</v>
      </c>
      <c r="M17" s="372">
        <v>0</v>
      </c>
      <c r="N17" s="372">
        <v>0</v>
      </c>
      <c r="O17" s="142">
        <f t="shared" si="1"/>
        <v>0</v>
      </c>
    </row>
    <row r="18" spans="1:15" x14ac:dyDescent="0.3">
      <c r="A18" s="102">
        <v>456000</v>
      </c>
      <c r="B18" s="102" t="s">
        <v>164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372">
        <v>0</v>
      </c>
      <c r="I18" s="372">
        <v>0</v>
      </c>
      <c r="J18" s="372">
        <v>0</v>
      </c>
      <c r="K18" s="372">
        <v>0</v>
      </c>
      <c r="L18" s="372">
        <v>0</v>
      </c>
      <c r="M18" s="372">
        <v>0</v>
      </c>
      <c r="N18" s="372">
        <v>0</v>
      </c>
      <c r="O18" s="142">
        <f t="shared" si="1"/>
        <v>0</v>
      </c>
    </row>
    <row r="19" spans="1:15" s="126" customFormat="1" x14ac:dyDescent="0.3">
      <c r="A19" s="124" t="s">
        <v>165</v>
      </c>
      <c r="B19" s="124" t="s">
        <v>166</v>
      </c>
      <c r="C19" s="125">
        <v>0</v>
      </c>
      <c r="D19" s="125">
        <v>0</v>
      </c>
      <c r="E19" s="125">
        <v>0</v>
      </c>
      <c r="F19" s="125">
        <v>0</v>
      </c>
      <c r="G19" s="125">
        <v>0</v>
      </c>
      <c r="H19" s="384">
        <v>0</v>
      </c>
      <c r="I19" s="384">
        <v>0</v>
      </c>
      <c r="J19" s="384">
        <v>0</v>
      </c>
      <c r="K19" s="384">
        <v>0</v>
      </c>
      <c r="L19" s="384"/>
      <c r="M19" s="384"/>
      <c r="N19" s="384"/>
      <c r="O19" s="144">
        <f t="shared" si="1"/>
        <v>0</v>
      </c>
    </row>
    <row r="20" spans="1:15" x14ac:dyDescent="0.3">
      <c r="A20" s="102" t="s">
        <v>167</v>
      </c>
      <c r="B20" s="102" t="s">
        <v>168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 s="372">
        <v>0</v>
      </c>
      <c r="I20" s="372">
        <v>0</v>
      </c>
      <c r="J20" s="372">
        <v>0</v>
      </c>
      <c r="K20" s="372">
        <v>0</v>
      </c>
      <c r="L20" s="372">
        <v>0</v>
      </c>
      <c r="M20" s="372">
        <v>0</v>
      </c>
      <c r="N20" s="372">
        <v>0</v>
      </c>
      <c r="O20" s="142">
        <f t="shared" si="1"/>
        <v>0</v>
      </c>
    </row>
    <row r="21" spans="1:15" x14ac:dyDescent="0.3">
      <c r="A21" s="107" t="s">
        <v>169</v>
      </c>
      <c r="B21" s="107" t="s">
        <v>170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 s="372">
        <v>0</v>
      </c>
      <c r="I21" s="372">
        <v>0</v>
      </c>
      <c r="J21" s="372">
        <v>0</v>
      </c>
      <c r="K21" s="372">
        <v>0</v>
      </c>
      <c r="L21" s="372">
        <v>0</v>
      </c>
      <c r="M21" s="372">
        <v>0</v>
      </c>
      <c r="N21" s="372">
        <v>0</v>
      </c>
      <c r="O21" s="142">
        <f t="shared" si="1"/>
        <v>0</v>
      </c>
    </row>
    <row r="22" spans="1:15" s="126" customFormat="1" x14ac:dyDescent="0.3">
      <c r="A22" s="127" t="s">
        <v>171</v>
      </c>
      <c r="B22" s="127" t="s">
        <v>172</v>
      </c>
      <c r="C22" s="125">
        <v>0</v>
      </c>
      <c r="D22" s="125">
        <v>0</v>
      </c>
      <c r="E22" s="125">
        <v>0</v>
      </c>
      <c r="F22" s="125">
        <v>0</v>
      </c>
      <c r="G22" s="125">
        <v>0</v>
      </c>
      <c r="H22" s="384">
        <v>0</v>
      </c>
      <c r="I22" s="384">
        <v>0</v>
      </c>
      <c r="J22" s="384">
        <v>0</v>
      </c>
      <c r="K22" s="384">
        <v>0</v>
      </c>
      <c r="L22" s="384">
        <v>0</v>
      </c>
      <c r="M22" s="384">
        <v>0</v>
      </c>
      <c r="N22" s="384">
        <v>0</v>
      </c>
      <c r="O22" s="144">
        <f t="shared" si="1"/>
        <v>0</v>
      </c>
    </row>
    <row r="23" spans="1:15" x14ac:dyDescent="0.3">
      <c r="A23" s="108"/>
      <c r="B23" s="109" t="s">
        <v>173</v>
      </c>
      <c r="C23" s="121">
        <f t="shared" ref="C23:O23" si="2">SUM(C8:C22)</f>
        <v>0</v>
      </c>
      <c r="D23" s="121">
        <f t="shared" si="2"/>
        <v>0</v>
      </c>
      <c r="E23" s="121">
        <f t="shared" si="2"/>
        <v>0</v>
      </c>
      <c r="F23" s="121">
        <f t="shared" si="2"/>
        <v>0</v>
      </c>
      <c r="G23" s="121">
        <f t="shared" si="2"/>
        <v>0</v>
      </c>
      <c r="H23" s="385">
        <f t="shared" si="2"/>
        <v>0</v>
      </c>
      <c r="I23" s="385">
        <f t="shared" si="2"/>
        <v>0</v>
      </c>
      <c r="J23" s="385">
        <f t="shared" si="2"/>
        <v>0</v>
      </c>
      <c r="K23" s="385">
        <f t="shared" si="2"/>
        <v>0</v>
      </c>
      <c r="L23" s="385">
        <f t="shared" si="2"/>
        <v>0</v>
      </c>
      <c r="M23" s="385">
        <f t="shared" si="2"/>
        <v>0</v>
      </c>
      <c r="N23" s="385">
        <f t="shared" si="2"/>
        <v>0</v>
      </c>
      <c r="O23" s="118">
        <f t="shared" si="2"/>
        <v>0</v>
      </c>
    </row>
    <row r="24" spans="1:15" x14ac:dyDescent="0.3">
      <c r="A24" s="104"/>
      <c r="B24" s="105" t="s">
        <v>174</v>
      </c>
      <c r="C24" s="122">
        <f t="shared" ref="C24:O24" si="3">C23+C7</f>
        <v>0</v>
      </c>
      <c r="D24" s="122">
        <f t="shared" si="3"/>
        <v>0</v>
      </c>
      <c r="E24" s="122">
        <f t="shared" si="3"/>
        <v>0</v>
      </c>
      <c r="F24" s="122">
        <f t="shared" si="3"/>
        <v>0</v>
      </c>
      <c r="G24" s="122">
        <f t="shared" si="3"/>
        <v>0</v>
      </c>
      <c r="H24" s="386">
        <f t="shared" si="3"/>
        <v>0</v>
      </c>
      <c r="I24" s="386">
        <f t="shared" si="3"/>
        <v>0</v>
      </c>
      <c r="J24" s="386">
        <f t="shared" si="3"/>
        <v>0</v>
      </c>
      <c r="K24" s="386">
        <f t="shared" si="3"/>
        <v>0</v>
      </c>
      <c r="L24" s="386">
        <f t="shared" si="3"/>
        <v>0</v>
      </c>
      <c r="M24" s="386">
        <f t="shared" si="3"/>
        <v>0</v>
      </c>
      <c r="N24" s="386">
        <f t="shared" si="3"/>
        <v>0</v>
      </c>
      <c r="O24" s="145">
        <f t="shared" si="3"/>
        <v>0</v>
      </c>
    </row>
    <row r="25" spans="1:15" x14ac:dyDescent="0.3">
      <c r="A25" s="102">
        <v>522000</v>
      </c>
      <c r="B25" s="102" t="s">
        <v>175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 s="372">
        <v>0</v>
      </c>
      <c r="I25" s="372">
        <v>0</v>
      </c>
      <c r="J25" s="372">
        <v>0</v>
      </c>
      <c r="K25" s="372">
        <v>0</v>
      </c>
      <c r="L25" s="372">
        <v>0</v>
      </c>
      <c r="M25" s="372">
        <v>0</v>
      </c>
      <c r="N25" s="372">
        <v>0</v>
      </c>
      <c r="O25" s="142">
        <f>SUM(C25:N25)</f>
        <v>0</v>
      </c>
    </row>
    <row r="26" spans="1:15" x14ac:dyDescent="0.3">
      <c r="A26" s="102" t="s">
        <v>176</v>
      </c>
      <c r="B26" s="102" t="s">
        <v>177</v>
      </c>
      <c r="C26" s="125">
        <v>0</v>
      </c>
      <c r="D26" s="125">
        <v>0</v>
      </c>
      <c r="E26" s="125">
        <v>0</v>
      </c>
      <c r="F26" s="125">
        <v>0</v>
      </c>
      <c r="G26" s="125">
        <v>0</v>
      </c>
      <c r="H26" s="384">
        <v>0</v>
      </c>
      <c r="I26" s="384">
        <v>0</v>
      </c>
      <c r="J26" s="384">
        <v>0</v>
      </c>
      <c r="K26" s="384">
        <v>0</v>
      </c>
      <c r="L26" s="384">
        <v>0</v>
      </c>
      <c r="M26" s="384">
        <v>0</v>
      </c>
      <c r="N26" s="384">
        <v>0</v>
      </c>
      <c r="O26" s="142">
        <f>SUM(C26:N26)</f>
        <v>0</v>
      </c>
    </row>
    <row r="27" spans="1:15" x14ac:dyDescent="0.3">
      <c r="A27" s="102" t="s">
        <v>178</v>
      </c>
      <c r="B27" s="102" t="s">
        <v>179</v>
      </c>
      <c r="C27" s="113">
        <v>0</v>
      </c>
      <c r="D27" s="113">
        <v>0</v>
      </c>
      <c r="E27" s="113">
        <v>0</v>
      </c>
      <c r="F27" s="113">
        <v>0</v>
      </c>
      <c r="G27" s="113">
        <v>0</v>
      </c>
      <c r="H27" s="387">
        <v>0</v>
      </c>
      <c r="I27" s="387">
        <v>0</v>
      </c>
      <c r="J27" s="387">
        <v>0</v>
      </c>
      <c r="K27" s="387">
        <v>0</v>
      </c>
      <c r="L27" s="387">
        <v>0</v>
      </c>
      <c r="M27" s="387">
        <v>0</v>
      </c>
      <c r="N27" s="387">
        <v>0</v>
      </c>
      <c r="O27" s="142">
        <f>SUM(C27:N27)</f>
        <v>0</v>
      </c>
    </row>
    <row r="28" spans="1:15" x14ac:dyDescent="0.3">
      <c r="A28" s="107" t="s">
        <v>180</v>
      </c>
      <c r="B28" s="107" t="s">
        <v>181</v>
      </c>
      <c r="C28" s="113">
        <v>0</v>
      </c>
      <c r="D28" s="113">
        <v>0</v>
      </c>
      <c r="E28" s="113">
        <v>0</v>
      </c>
      <c r="F28" s="113">
        <v>0</v>
      </c>
      <c r="G28" s="113">
        <v>0</v>
      </c>
      <c r="H28" s="387">
        <v>0</v>
      </c>
      <c r="I28" s="387">
        <v>0</v>
      </c>
      <c r="J28" s="387">
        <v>0</v>
      </c>
      <c r="K28" s="387">
        <v>0</v>
      </c>
      <c r="L28" s="387">
        <v>0</v>
      </c>
      <c r="M28" s="387">
        <v>0</v>
      </c>
      <c r="N28" s="387">
        <v>0</v>
      </c>
      <c r="O28" s="142">
        <f>SUM(C28:N28)</f>
        <v>0</v>
      </c>
    </row>
    <row r="29" spans="1:15" x14ac:dyDescent="0.3">
      <c r="A29" s="108"/>
      <c r="B29" s="109" t="s">
        <v>182</v>
      </c>
      <c r="C29" s="110">
        <f t="shared" ref="C29:O29" si="4">SUM(C25:C28)</f>
        <v>0</v>
      </c>
      <c r="D29" s="110">
        <f t="shared" si="4"/>
        <v>0</v>
      </c>
      <c r="E29" s="110">
        <f t="shared" si="4"/>
        <v>0</v>
      </c>
      <c r="F29" s="110">
        <f t="shared" si="4"/>
        <v>0</v>
      </c>
      <c r="G29" s="110">
        <f t="shared" si="4"/>
        <v>0</v>
      </c>
      <c r="H29" s="388">
        <f t="shared" si="4"/>
        <v>0</v>
      </c>
      <c r="I29" s="388">
        <f t="shared" si="4"/>
        <v>0</v>
      </c>
      <c r="J29" s="388">
        <f t="shared" si="4"/>
        <v>0</v>
      </c>
      <c r="K29" s="388">
        <f t="shared" si="4"/>
        <v>0</v>
      </c>
      <c r="L29" s="388">
        <f t="shared" si="4"/>
        <v>0</v>
      </c>
      <c r="M29" s="388">
        <f t="shared" si="4"/>
        <v>0</v>
      </c>
      <c r="N29" s="388">
        <f t="shared" si="4"/>
        <v>0</v>
      </c>
      <c r="O29" s="118">
        <f t="shared" si="4"/>
        <v>0</v>
      </c>
    </row>
    <row r="30" spans="1:15" x14ac:dyDescent="0.3">
      <c r="A30" s="102">
        <v>561000</v>
      </c>
      <c r="B30" s="102" t="s">
        <v>183</v>
      </c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372">
        <v>0</v>
      </c>
      <c r="I30" s="372">
        <v>0</v>
      </c>
      <c r="J30" s="372">
        <v>0</v>
      </c>
      <c r="K30" s="372">
        <v>0</v>
      </c>
      <c r="L30" s="372">
        <v>0</v>
      </c>
      <c r="M30" s="372">
        <v>0</v>
      </c>
      <c r="N30" s="372">
        <v>0</v>
      </c>
      <c r="O30" s="142">
        <f>SUM(C30:N30)</f>
        <v>0</v>
      </c>
    </row>
    <row r="31" spans="1:15" x14ac:dyDescent="0.3">
      <c r="A31" s="102" t="s">
        <v>184</v>
      </c>
      <c r="B31" s="102" t="s">
        <v>185</v>
      </c>
      <c r="C31" s="112">
        <v>0</v>
      </c>
      <c r="D31" s="112">
        <v>0</v>
      </c>
      <c r="E31" s="112">
        <v>0</v>
      </c>
      <c r="F31" s="112">
        <v>0</v>
      </c>
      <c r="G31" s="112">
        <v>0</v>
      </c>
      <c r="H31" s="389">
        <v>0</v>
      </c>
      <c r="I31" s="389">
        <v>0</v>
      </c>
      <c r="J31" s="389">
        <v>0</v>
      </c>
      <c r="K31" s="389">
        <v>0</v>
      </c>
      <c r="L31" s="389">
        <v>0</v>
      </c>
      <c r="M31" s="389">
        <v>0</v>
      </c>
      <c r="N31" s="389">
        <v>0</v>
      </c>
      <c r="O31" s="142">
        <f t="shared" ref="O31:O51" si="5">SUM(C31:N31)</f>
        <v>0</v>
      </c>
    </row>
    <row r="32" spans="1:15" x14ac:dyDescent="0.3">
      <c r="A32" s="102" t="s">
        <v>186</v>
      </c>
      <c r="B32" s="102" t="s">
        <v>187</v>
      </c>
      <c r="C32" s="103">
        <v>0</v>
      </c>
      <c r="D32" s="103">
        <v>0</v>
      </c>
      <c r="E32" s="103">
        <v>0</v>
      </c>
      <c r="F32" s="103">
        <v>0</v>
      </c>
      <c r="G32" s="103">
        <v>0</v>
      </c>
      <c r="H32" s="372">
        <v>0</v>
      </c>
      <c r="I32" s="372">
        <v>0</v>
      </c>
      <c r="J32" s="372">
        <v>0</v>
      </c>
      <c r="K32" s="372">
        <v>0</v>
      </c>
      <c r="L32" s="372">
        <v>0</v>
      </c>
      <c r="M32" s="372">
        <v>0</v>
      </c>
      <c r="N32" s="372">
        <v>0</v>
      </c>
      <c r="O32" s="142">
        <f t="shared" si="5"/>
        <v>0</v>
      </c>
    </row>
    <row r="33" spans="1:15" x14ac:dyDescent="0.3">
      <c r="A33" s="102" t="s">
        <v>188</v>
      </c>
      <c r="B33" s="102" t="s">
        <v>189</v>
      </c>
      <c r="C33" s="103">
        <v>0</v>
      </c>
      <c r="D33" s="103">
        <v>0</v>
      </c>
      <c r="E33" s="103">
        <v>0</v>
      </c>
      <c r="F33" s="103">
        <v>0</v>
      </c>
      <c r="G33" s="103">
        <v>0</v>
      </c>
      <c r="H33" s="372">
        <v>0</v>
      </c>
      <c r="I33" s="372">
        <v>0</v>
      </c>
      <c r="J33" s="372">
        <v>0</v>
      </c>
      <c r="K33" s="372">
        <v>0</v>
      </c>
      <c r="L33" s="372">
        <v>0</v>
      </c>
      <c r="M33" s="372">
        <v>0</v>
      </c>
      <c r="N33" s="372">
        <v>0</v>
      </c>
      <c r="O33" s="142">
        <f t="shared" si="5"/>
        <v>0</v>
      </c>
    </row>
    <row r="34" spans="1:15" x14ac:dyDescent="0.3">
      <c r="A34" s="102" t="s">
        <v>190</v>
      </c>
      <c r="B34" s="102" t="s">
        <v>191</v>
      </c>
      <c r="C34" s="103">
        <v>0</v>
      </c>
      <c r="D34" s="103">
        <v>0</v>
      </c>
      <c r="E34" s="103">
        <v>0</v>
      </c>
      <c r="F34" s="103">
        <v>0</v>
      </c>
      <c r="G34" s="103">
        <v>0</v>
      </c>
      <c r="H34" s="372">
        <v>0</v>
      </c>
      <c r="I34" s="372">
        <v>0</v>
      </c>
      <c r="J34" s="372">
        <v>0</v>
      </c>
      <c r="K34" s="372">
        <v>0</v>
      </c>
      <c r="L34" s="372">
        <v>0</v>
      </c>
      <c r="M34" s="372">
        <v>0</v>
      </c>
      <c r="N34" s="372">
        <v>0</v>
      </c>
      <c r="O34" s="142">
        <f t="shared" si="5"/>
        <v>0</v>
      </c>
    </row>
    <row r="35" spans="1:15" x14ac:dyDescent="0.3">
      <c r="A35" s="102" t="s">
        <v>192</v>
      </c>
      <c r="B35" s="102" t="s">
        <v>193</v>
      </c>
      <c r="C35" s="103">
        <v>0</v>
      </c>
      <c r="D35" s="103">
        <v>0</v>
      </c>
      <c r="E35" s="103">
        <v>0</v>
      </c>
      <c r="F35" s="103">
        <v>0</v>
      </c>
      <c r="G35" s="103">
        <v>0</v>
      </c>
      <c r="H35" s="372">
        <v>0</v>
      </c>
      <c r="I35" s="372">
        <v>0</v>
      </c>
      <c r="J35" s="372">
        <v>0</v>
      </c>
      <c r="K35" s="372">
        <v>0</v>
      </c>
      <c r="L35" s="372">
        <v>0</v>
      </c>
      <c r="M35" s="372">
        <v>0</v>
      </c>
      <c r="N35" s="372">
        <v>0</v>
      </c>
      <c r="O35" s="142">
        <f t="shared" si="5"/>
        <v>0</v>
      </c>
    </row>
    <row r="36" spans="1:15" x14ac:dyDescent="0.3">
      <c r="A36" s="102" t="s">
        <v>194</v>
      </c>
      <c r="B36" s="102" t="s">
        <v>195</v>
      </c>
      <c r="C36" s="103">
        <v>0</v>
      </c>
      <c r="D36" s="103">
        <v>0</v>
      </c>
      <c r="E36" s="103">
        <v>0</v>
      </c>
      <c r="F36" s="103">
        <v>0</v>
      </c>
      <c r="G36" s="103">
        <v>0</v>
      </c>
      <c r="H36" s="372">
        <v>0</v>
      </c>
      <c r="I36" s="372">
        <v>0</v>
      </c>
      <c r="J36" s="372">
        <v>0</v>
      </c>
      <c r="K36" s="372">
        <v>0</v>
      </c>
      <c r="L36" s="372">
        <v>0</v>
      </c>
      <c r="M36" s="372">
        <v>0</v>
      </c>
      <c r="N36" s="372">
        <v>0</v>
      </c>
      <c r="O36" s="142">
        <f t="shared" si="5"/>
        <v>0</v>
      </c>
    </row>
    <row r="37" spans="1:15" x14ac:dyDescent="0.3">
      <c r="A37" s="102" t="s">
        <v>196</v>
      </c>
      <c r="B37" s="102" t="s">
        <v>380</v>
      </c>
      <c r="C37" s="113">
        <v>0</v>
      </c>
      <c r="D37" s="113">
        <v>0</v>
      </c>
      <c r="E37" s="113">
        <v>0</v>
      </c>
      <c r="F37" s="113">
        <v>0</v>
      </c>
      <c r="G37" s="113">
        <v>0</v>
      </c>
      <c r="H37" s="387">
        <v>0</v>
      </c>
      <c r="I37" s="387">
        <v>0</v>
      </c>
      <c r="J37" s="387">
        <v>0</v>
      </c>
      <c r="K37" s="387">
        <v>0</v>
      </c>
      <c r="L37" s="387">
        <v>0</v>
      </c>
      <c r="M37" s="387">
        <v>0</v>
      </c>
      <c r="N37" s="387">
        <v>0</v>
      </c>
      <c r="O37" s="142">
        <f t="shared" si="5"/>
        <v>0</v>
      </c>
    </row>
    <row r="38" spans="1:15" x14ac:dyDescent="0.3">
      <c r="A38" s="102" t="s">
        <v>197</v>
      </c>
      <c r="B38" s="102" t="s">
        <v>198</v>
      </c>
      <c r="C38" s="113">
        <v>0</v>
      </c>
      <c r="D38" s="113">
        <v>0</v>
      </c>
      <c r="E38" s="113">
        <v>0</v>
      </c>
      <c r="F38" s="113">
        <v>0</v>
      </c>
      <c r="G38" s="113">
        <v>0</v>
      </c>
      <c r="H38" s="387">
        <v>0</v>
      </c>
      <c r="I38" s="387">
        <v>0</v>
      </c>
      <c r="J38" s="387">
        <v>0</v>
      </c>
      <c r="K38" s="387">
        <v>0</v>
      </c>
      <c r="L38" s="387">
        <v>0</v>
      </c>
      <c r="M38" s="387">
        <v>0</v>
      </c>
      <c r="N38" s="387">
        <v>0</v>
      </c>
      <c r="O38" s="142">
        <f t="shared" si="5"/>
        <v>0</v>
      </c>
    </row>
    <row r="39" spans="1:15" x14ac:dyDescent="0.3">
      <c r="A39" s="102">
        <v>577200</v>
      </c>
      <c r="B39" s="102" t="s">
        <v>199</v>
      </c>
      <c r="C39" s="103">
        <v>0</v>
      </c>
      <c r="D39" s="103">
        <v>0</v>
      </c>
      <c r="E39" s="103">
        <v>0</v>
      </c>
      <c r="F39" s="103">
        <v>0</v>
      </c>
      <c r="G39" s="103">
        <v>0</v>
      </c>
      <c r="H39" s="372">
        <v>0</v>
      </c>
      <c r="I39" s="372">
        <v>0</v>
      </c>
      <c r="J39" s="372">
        <v>0</v>
      </c>
      <c r="K39" s="372">
        <v>0</v>
      </c>
      <c r="L39" s="372">
        <v>0</v>
      </c>
      <c r="M39" s="372">
        <v>0</v>
      </c>
      <c r="N39" s="372">
        <v>0</v>
      </c>
      <c r="O39" s="142">
        <f t="shared" si="5"/>
        <v>0</v>
      </c>
    </row>
    <row r="40" spans="1:15" x14ac:dyDescent="0.3">
      <c r="A40" s="102" t="s">
        <v>200</v>
      </c>
      <c r="B40" s="102" t="s">
        <v>201</v>
      </c>
      <c r="C40" s="113">
        <v>0</v>
      </c>
      <c r="D40" s="113">
        <v>0</v>
      </c>
      <c r="E40" s="113">
        <v>0</v>
      </c>
      <c r="F40" s="113">
        <v>0</v>
      </c>
      <c r="G40" s="113">
        <v>0</v>
      </c>
      <c r="H40" s="387">
        <v>0</v>
      </c>
      <c r="I40" s="387">
        <v>0</v>
      </c>
      <c r="J40" s="387">
        <v>0</v>
      </c>
      <c r="K40" s="387">
        <v>0</v>
      </c>
      <c r="L40" s="387">
        <v>0</v>
      </c>
      <c r="M40" s="387">
        <v>0</v>
      </c>
      <c r="N40" s="387">
        <v>0</v>
      </c>
      <c r="O40" s="142">
        <f t="shared" si="5"/>
        <v>0</v>
      </c>
    </row>
    <row r="41" spans="1:15" x14ac:dyDescent="0.3">
      <c r="A41" s="102" t="s">
        <v>202</v>
      </c>
      <c r="B41" s="102" t="s">
        <v>203</v>
      </c>
      <c r="C41" s="113">
        <v>0</v>
      </c>
      <c r="D41" s="113">
        <v>0</v>
      </c>
      <c r="E41" s="113">
        <v>0</v>
      </c>
      <c r="F41" s="113">
        <v>0</v>
      </c>
      <c r="G41" s="113">
        <v>0</v>
      </c>
      <c r="H41" s="387">
        <v>0</v>
      </c>
      <c r="I41" s="387">
        <v>0</v>
      </c>
      <c r="J41" s="387">
        <v>0</v>
      </c>
      <c r="K41" s="387">
        <v>0</v>
      </c>
      <c r="L41" s="387">
        <v>0</v>
      </c>
      <c r="M41" s="387">
        <v>0</v>
      </c>
      <c r="N41" s="387">
        <v>0</v>
      </c>
      <c r="O41" s="142">
        <f t="shared" si="5"/>
        <v>0</v>
      </c>
    </row>
    <row r="42" spans="1:15" x14ac:dyDescent="0.3">
      <c r="A42" s="102" t="s">
        <v>204</v>
      </c>
      <c r="B42" s="102" t="s">
        <v>205</v>
      </c>
      <c r="C42" s="103">
        <v>0</v>
      </c>
      <c r="D42" s="103">
        <v>0</v>
      </c>
      <c r="E42" s="103">
        <v>0</v>
      </c>
      <c r="F42" s="103">
        <v>0</v>
      </c>
      <c r="G42" s="103">
        <v>0</v>
      </c>
      <c r="H42" s="372">
        <v>0</v>
      </c>
      <c r="I42" s="372">
        <v>0</v>
      </c>
      <c r="J42" s="372">
        <v>0</v>
      </c>
      <c r="K42" s="372">
        <v>0</v>
      </c>
      <c r="L42" s="372">
        <v>0</v>
      </c>
      <c r="M42" s="372">
        <v>0</v>
      </c>
      <c r="N42" s="372">
        <v>0</v>
      </c>
      <c r="O42" s="142">
        <f t="shared" si="5"/>
        <v>0</v>
      </c>
    </row>
    <row r="43" spans="1:15" x14ac:dyDescent="0.3">
      <c r="A43" s="102" t="s">
        <v>206</v>
      </c>
      <c r="B43" s="102" t="s">
        <v>207</v>
      </c>
      <c r="C43" s="103">
        <v>0</v>
      </c>
      <c r="D43" s="103">
        <v>0</v>
      </c>
      <c r="E43" s="103">
        <v>0</v>
      </c>
      <c r="F43" s="103">
        <v>0</v>
      </c>
      <c r="G43" s="103">
        <v>0</v>
      </c>
      <c r="H43" s="372">
        <v>0</v>
      </c>
      <c r="I43" s="372">
        <v>0</v>
      </c>
      <c r="J43" s="372">
        <v>0</v>
      </c>
      <c r="K43" s="372">
        <v>0</v>
      </c>
      <c r="L43" s="372">
        <v>0</v>
      </c>
      <c r="M43" s="372">
        <v>0</v>
      </c>
      <c r="N43" s="372">
        <v>0</v>
      </c>
      <c r="O43" s="142">
        <f t="shared" si="5"/>
        <v>0</v>
      </c>
    </row>
    <row r="44" spans="1:15" x14ac:dyDescent="0.3">
      <c r="A44" s="102" t="s">
        <v>208</v>
      </c>
      <c r="B44" s="102" t="s">
        <v>209</v>
      </c>
      <c r="C44" s="113">
        <v>0</v>
      </c>
      <c r="D44" s="113">
        <v>0</v>
      </c>
      <c r="E44" s="113">
        <v>0</v>
      </c>
      <c r="F44" s="113">
        <v>0</v>
      </c>
      <c r="G44" s="113">
        <v>0</v>
      </c>
      <c r="H44" s="387">
        <v>0</v>
      </c>
      <c r="I44" s="387">
        <v>0</v>
      </c>
      <c r="J44" s="387">
        <v>0</v>
      </c>
      <c r="K44" s="387">
        <v>0</v>
      </c>
      <c r="L44" s="387">
        <v>0</v>
      </c>
      <c r="M44" s="387">
        <v>0</v>
      </c>
      <c r="N44" s="387">
        <v>0</v>
      </c>
      <c r="O44" s="142">
        <f t="shared" si="5"/>
        <v>0</v>
      </c>
    </row>
    <row r="45" spans="1:15" x14ac:dyDescent="0.3">
      <c r="A45" s="102" t="s">
        <v>210</v>
      </c>
      <c r="B45" s="102" t="s">
        <v>211</v>
      </c>
      <c r="C45" s="113">
        <v>0</v>
      </c>
      <c r="D45" s="113">
        <v>0</v>
      </c>
      <c r="E45" s="113">
        <v>0</v>
      </c>
      <c r="F45" s="113">
        <v>0</v>
      </c>
      <c r="G45" s="113">
        <v>0</v>
      </c>
      <c r="H45" s="387">
        <v>0</v>
      </c>
      <c r="I45" s="387">
        <v>0</v>
      </c>
      <c r="J45" s="387">
        <v>0</v>
      </c>
      <c r="K45" s="387">
        <v>0</v>
      </c>
      <c r="L45" s="387">
        <v>0</v>
      </c>
      <c r="M45" s="387">
        <v>0</v>
      </c>
      <c r="N45" s="387">
        <v>0</v>
      </c>
      <c r="O45" s="142">
        <f t="shared" si="5"/>
        <v>0</v>
      </c>
    </row>
    <row r="46" spans="1:15" x14ac:dyDescent="0.3">
      <c r="A46" s="102" t="s">
        <v>212</v>
      </c>
      <c r="B46" s="102" t="s">
        <v>213</v>
      </c>
      <c r="C46" s="113">
        <v>0</v>
      </c>
      <c r="D46" s="113">
        <v>0</v>
      </c>
      <c r="E46" s="113">
        <v>0</v>
      </c>
      <c r="F46" s="113">
        <v>0</v>
      </c>
      <c r="G46" s="113">
        <v>0</v>
      </c>
      <c r="H46" s="387">
        <v>0</v>
      </c>
      <c r="I46" s="387">
        <v>0</v>
      </c>
      <c r="J46" s="387">
        <v>0</v>
      </c>
      <c r="K46" s="387" t="s">
        <v>0</v>
      </c>
      <c r="L46" s="387">
        <v>0</v>
      </c>
      <c r="M46" s="387">
        <v>0</v>
      </c>
      <c r="N46" s="387">
        <v>0</v>
      </c>
      <c r="O46" s="142">
        <f t="shared" si="5"/>
        <v>0</v>
      </c>
    </row>
    <row r="47" spans="1:15" x14ac:dyDescent="0.3">
      <c r="A47" s="102" t="s">
        <v>214</v>
      </c>
      <c r="B47" s="102" t="s">
        <v>215</v>
      </c>
      <c r="C47" s="113">
        <v>0</v>
      </c>
      <c r="D47" s="113">
        <v>0</v>
      </c>
      <c r="E47" s="113">
        <v>0</v>
      </c>
      <c r="F47" s="113">
        <v>0</v>
      </c>
      <c r="G47" s="113">
        <v>0</v>
      </c>
      <c r="H47" s="387">
        <v>0</v>
      </c>
      <c r="I47" s="387">
        <v>0</v>
      </c>
      <c r="J47" s="387">
        <v>0</v>
      </c>
      <c r="K47" s="387">
        <v>0</v>
      </c>
      <c r="L47" s="387">
        <v>0</v>
      </c>
      <c r="M47" s="387">
        <v>0</v>
      </c>
      <c r="N47" s="387">
        <v>0</v>
      </c>
      <c r="O47" s="142">
        <f t="shared" si="5"/>
        <v>0</v>
      </c>
    </row>
    <row r="48" spans="1:15" x14ac:dyDescent="0.3">
      <c r="A48" s="102" t="s">
        <v>216</v>
      </c>
      <c r="B48" s="102" t="s">
        <v>217</v>
      </c>
      <c r="C48" s="113">
        <v>0</v>
      </c>
      <c r="D48" s="113">
        <v>0</v>
      </c>
      <c r="E48" s="113">
        <v>0</v>
      </c>
      <c r="F48" s="113">
        <v>0</v>
      </c>
      <c r="G48" s="113">
        <v>0</v>
      </c>
      <c r="H48" s="387">
        <v>0</v>
      </c>
      <c r="I48" s="387">
        <v>0</v>
      </c>
      <c r="J48" s="387">
        <v>0</v>
      </c>
      <c r="K48" s="382"/>
      <c r="L48" s="387">
        <v>0</v>
      </c>
      <c r="M48" s="387">
        <v>0</v>
      </c>
      <c r="N48" s="387">
        <v>0</v>
      </c>
      <c r="O48" s="142">
        <f t="shared" si="5"/>
        <v>0</v>
      </c>
    </row>
    <row r="49" spans="1:15" x14ac:dyDescent="0.3">
      <c r="A49" s="102" t="s">
        <v>218</v>
      </c>
      <c r="B49" s="102" t="s">
        <v>219</v>
      </c>
      <c r="C49" s="113">
        <v>0</v>
      </c>
      <c r="D49" s="113">
        <v>0</v>
      </c>
      <c r="E49" s="113">
        <v>0</v>
      </c>
      <c r="F49" s="113">
        <v>0</v>
      </c>
      <c r="G49" s="113">
        <v>0</v>
      </c>
      <c r="H49" s="387">
        <v>0</v>
      </c>
      <c r="I49" s="387">
        <v>0</v>
      </c>
      <c r="J49" s="387">
        <v>0</v>
      </c>
      <c r="K49" s="387">
        <v>0</v>
      </c>
      <c r="L49" s="387">
        <v>0</v>
      </c>
      <c r="M49" s="387">
        <v>0</v>
      </c>
      <c r="N49" s="387">
        <v>0</v>
      </c>
      <c r="O49" s="142">
        <f t="shared" si="5"/>
        <v>0</v>
      </c>
    </row>
    <row r="50" spans="1:15" x14ac:dyDescent="0.3">
      <c r="A50" s="102" t="s">
        <v>220</v>
      </c>
      <c r="B50" s="102" t="s">
        <v>221</v>
      </c>
      <c r="C50" s="113">
        <v>0</v>
      </c>
      <c r="D50" s="113">
        <v>0</v>
      </c>
      <c r="E50" s="113">
        <v>0</v>
      </c>
      <c r="F50" s="113">
        <v>0</v>
      </c>
      <c r="G50" s="113">
        <v>0</v>
      </c>
      <c r="H50" s="387">
        <v>0</v>
      </c>
      <c r="I50" s="387">
        <v>0</v>
      </c>
      <c r="J50" s="387">
        <v>0</v>
      </c>
      <c r="K50" s="387">
        <v>0</v>
      </c>
      <c r="L50" s="387">
        <v>0</v>
      </c>
      <c r="M50" s="387">
        <v>0</v>
      </c>
      <c r="N50" s="387">
        <v>0</v>
      </c>
      <c r="O50" s="142">
        <f t="shared" si="5"/>
        <v>0</v>
      </c>
    </row>
    <row r="51" spans="1:15" x14ac:dyDescent="0.3">
      <c r="A51" s="107" t="s">
        <v>222</v>
      </c>
      <c r="B51" s="107" t="s">
        <v>223</v>
      </c>
      <c r="C51" s="103">
        <v>0</v>
      </c>
      <c r="D51" s="103">
        <v>0</v>
      </c>
      <c r="E51" s="103">
        <v>0</v>
      </c>
      <c r="F51" s="103">
        <v>0</v>
      </c>
      <c r="G51" s="103">
        <v>0</v>
      </c>
      <c r="H51" s="372">
        <v>0</v>
      </c>
      <c r="I51" s="372">
        <v>0</v>
      </c>
      <c r="J51" s="372">
        <v>0</v>
      </c>
      <c r="K51" s="372">
        <v>0</v>
      </c>
      <c r="L51" s="372">
        <v>0</v>
      </c>
      <c r="M51" s="372">
        <v>0</v>
      </c>
      <c r="N51" s="372">
        <v>0</v>
      </c>
      <c r="O51" s="142">
        <f t="shared" si="5"/>
        <v>0</v>
      </c>
    </row>
    <row r="52" spans="1:15" x14ac:dyDescent="0.3">
      <c r="A52" s="108"/>
      <c r="B52" s="109" t="s">
        <v>224</v>
      </c>
      <c r="C52" s="110">
        <f t="shared" ref="C52:N52" si="6">SUM(C30:C51)</f>
        <v>0</v>
      </c>
      <c r="D52" s="110">
        <f t="shared" si="6"/>
        <v>0</v>
      </c>
      <c r="E52" s="110">
        <f t="shared" si="6"/>
        <v>0</v>
      </c>
      <c r="F52" s="110">
        <f t="shared" si="6"/>
        <v>0</v>
      </c>
      <c r="G52" s="110">
        <f t="shared" si="6"/>
        <v>0</v>
      </c>
      <c r="H52" s="388">
        <f t="shared" si="6"/>
        <v>0</v>
      </c>
      <c r="I52" s="388">
        <f t="shared" si="6"/>
        <v>0</v>
      </c>
      <c r="J52" s="388">
        <f t="shared" si="6"/>
        <v>0</v>
      </c>
      <c r="K52" s="388">
        <f t="shared" si="6"/>
        <v>0</v>
      </c>
      <c r="L52" s="388">
        <f t="shared" si="6"/>
        <v>0</v>
      </c>
      <c r="M52" s="388">
        <f t="shared" si="6"/>
        <v>0</v>
      </c>
      <c r="N52" s="388">
        <f t="shared" si="6"/>
        <v>0</v>
      </c>
      <c r="O52" s="118">
        <f>SUM(O30:O51)</f>
        <v>0</v>
      </c>
    </row>
    <row r="53" spans="1:15" x14ac:dyDescent="0.3">
      <c r="A53" s="114"/>
      <c r="B53" s="105" t="s">
        <v>225</v>
      </c>
      <c r="C53" s="111">
        <f t="shared" ref="C53:N53" si="7">C52+C29</f>
        <v>0</v>
      </c>
      <c r="D53" s="111">
        <f t="shared" si="7"/>
        <v>0</v>
      </c>
      <c r="E53" s="111">
        <f t="shared" si="7"/>
        <v>0</v>
      </c>
      <c r="F53" s="111">
        <f t="shared" si="7"/>
        <v>0</v>
      </c>
      <c r="G53" s="111">
        <f t="shared" si="7"/>
        <v>0</v>
      </c>
      <c r="H53" s="393">
        <f t="shared" si="7"/>
        <v>0</v>
      </c>
      <c r="I53" s="393">
        <f t="shared" si="7"/>
        <v>0</v>
      </c>
      <c r="J53" s="393">
        <f t="shared" si="7"/>
        <v>0</v>
      </c>
      <c r="K53" s="393">
        <f t="shared" si="7"/>
        <v>0</v>
      </c>
      <c r="L53" s="393">
        <f t="shared" si="7"/>
        <v>0</v>
      </c>
      <c r="M53" s="393">
        <f t="shared" si="7"/>
        <v>0</v>
      </c>
      <c r="N53" s="393">
        <f t="shared" si="7"/>
        <v>0</v>
      </c>
      <c r="O53" s="145">
        <f>O52+O29</f>
        <v>0</v>
      </c>
    </row>
    <row r="54" spans="1:15" x14ac:dyDescent="0.3">
      <c r="A54" s="102" t="s">
        <v>226</v>
      </c>
      <c r="B54" s="102" t="s">
        <v>227</v>
      </c>
      <c r="C54" s="113">
        <v>0</v>
      </c>
      <c r="D54" s="113">
        <v>0</v>
      </c>
      <c r="E54" s="113">
        <v>0</v>
      </c>
      <c r="F54" s="113">
        <v>0</v>
      </c>
      <c r="G54" s="113">
        <v>0</v>
      </c>
      <c r="H54" s="387">
        <v>0</v>
      </c>
      <c r="I54" s="387">
        <v>0</v>
      </c>
      <c r="J54" s="387">
        <v>0</v>
      </c>
      <c r="K54" s="387">
        <v>0</v>
      </c>
      <c r="L54" s="387">
        <v>0</v>
      </c>
      <c r="M54" s="387">
        <v>0</v>
      </c>
      <c r="N54" s="387">
        <v>0</v>
      </c>
      <c r="O54" s="142">
        <f>SUM(C54:N54)</f>
        <v>0</v>
      </c>
    </row>
    <row r="55" spans="1:15" x14ac:dyDescent="0.3">
      <c r="A55" s="102" t="s">
        <v>228</v>
      </c>
      <c r="B55" s="102" t="s">
        <v>229</v>
      </c>
      <c r="C55" s="113">
        <f>C54*0.09</f>
        <v>0</v>
      </c>
      <c r="D55" s="113">
        <f t="shared" ref="D55:N55" si="8">D54*0.09</f>
        <v>0</v>
      </c>
      <c r="E55" s="113">
        <f t="shared" si="8"/>
        <v>0</v>
      </c>
      <c r="F55" s="113">
        <f t="shared" si="8"/>
        <v>0</v>
      </c>
      <c r="G55" s="113">
        <f t="shared" si="8"/>
        <v>0</v>
      </c>
      <c r="H55" s="387">
        <f t="shared" si="8"/>
        <v>0</v>
      </c>
      <c r="I55" s="387">
        <f t="shared" si="8"/>
        <v>0</v>
      </c>
      <c r="J55" s="387">
        <f t="shared" si="8"/>
        <v>0</v>
      </c>
      <c r="K55" s="387">
        <f t="shared" si="8"/>
        <v>0</v>
      </c>
      <c r="L55" s="387">
        <f t="shared" si="8"/>
        <v>0</v>
      </c>
      <c r="M55" s="387">
        <f t="shared" si="8"/>
        <v>0</v>
      </c>
      <c r="N55" s="387">
        <f t="shared" si="8"/>
        <v>0</v>
      </c>
      <c r="O55" s="142">
        <f t="shared" ref="O55:O105" si="9">SUM(C55:N55)</f>
        <v>0</v>
      </c>
    </row>
    <row r="56" spans="1:15" x14ac:dyDescent="0.3">
      <c r="A56" s="102" t="s">
        <v>230</v>
      </c>
      <c r="B56" s="102" t="s">
        <v>231</v>
      </c>
      <c r="C56" s="113">
        <v>0</v>
      </c>
      <c r="D56" s="113">
        <v>0</v>
      </c>
      <c r="E56" s="113">
        <v>0</v>
      </c>
      <c r="F56" s="113">
        <v>0</v>
      </c>
      <c r="G56" s="113">
        <v>0</v>
      </c>
      <c r="H56" s="387">
        <v>0</v>
      </c>
      <c r="I56" s="387">
        <v>0</v>
      </c>
      <c r="J56" s="387">
        <v>0</v>
      </c>
      <c r="K56" s="387">
        <v>0</v>
      </c>
      <c r="L56" s="387">
        <v>0</v>
      </c>
      <c r="M56" s="387">
        <v>0</v>
      </c>
      <c r="N56" s="387">
        <v>0</v>
      </c>
      <c r="O56" s="142">
        <f t="shared" si="9"/>
        <v>0</v>
      </c>
    </row>
    <row r="57" spans="1:15" x14ac:dyDescent="0.3">
      <c r="A57" s="102" t="s">
        <v>232</v>
      </c>
      <c r="B57" s="102" t="s">
        <v>233</v>
      </c>
      <c r="C57" s="103">
        <v>0</v>
      </c>
      <c r="D57" s="103">
        <v>0</v>
      </c>
      <c r="E57" s="103">
        <v>0</v>
      </c>
      <c r="F57" s="103">
        <v>0</v>
      </c>
      <c r="G57" s="103">
        <v>0</v>
      </c>
      <c r="H57" s="372">
        <v>0</v>
      </c>
      <c r="I57" s="372">
        <v>0</v>
      </c>
      <c r="J57" s="372">
        <v>0</v>
      </c>
      <c r="K57" s="372">
        <v>0</v>
      </c>
      <c r="L57" s="372">
        <v>0</v>
      </c>
      <c r="M57" s="372">
        <v>0</v>
      </c>
      <c r="N57" s="372">
        <v>0</v>
      </c>
      <c r="O57" s="142">
        <f t="shared" si="9"/>
        <v>0</v>
      </c>
    </row>
    <row r="58" spans="1:15" x14ac:dyDescent="0.3">
      <c r="A58" s="102" t="s">
        <v>234</v>
      </c>
      <c r="B58" s="102" t="s">
        <v>235</v>
      </c>
      <c r="C58" s="113">
        <v>0</v>
      </c>
      <c r="D58" s="113">
        <v>0</v>
      </c>
      <c r="E58" s="113">
        <v>0</v>
      </c>
      <c r="F58" s="113">
        <v>0</v>
      </c>
      <c r="G58" s="113">
        <v>0</v>
      </c>
      <c r="H58" s="387">
        <v>0</v>
      </c>
      <c r="I58" s="387">
        <v>0</v>
      </c>
      <c r="J58" s="387">
        <v>0</v>
      </c>
      <c r="K58" s="387">
        <v>0</v>
      </c>
      <c r="L58" s="387">
        <v>0</v>
      </c>
      <c r="M58" s="387">
        <v>0</v>
      </c>
      <c r="N58" s="387">
        <v>0</v>
      </c>
      <c r="O58" s="142">
        <f t="shared" si="9"/>
        <v>0</v>
      </c>
    </row>
    <row r="59" spans="1:15" x14ac:dyDescent="0.3">
      <c r="A59" s="102" t="s">
        <v>236</v>
      </c>
      <c r="B59" s="102" t="s">
        <v>237</v>
      </c>
      <c r="C59" s="113">
        <v>0</v>
      </c>
      <c r="D59" s="113">
        <v>0</v>
      </c>
      <c r="E59" s="113">
        <v>0</v>
      </c>
      <c r="F59" s="113">
        <v>0</v>
      </c>
      <c r="G59" s="113">
        <v>0</v>
      </c>
      <c r="H59" s="387">
        <v>0</v>
      </c>
      <c r="I59" s="387">
        <v>0</v>
      </c>
      <c r="J59" s="387">
        <v>0</v>
      </c>
      <c r="K59" s="387">
        <v>0</v>
      </c>
      <c r="L59" s="387">
        <v>0</v>
      </c>
      <c r="M59" s="387">
        <v>0</v>
      </c>
      <c r="N59" s="387">
        <v>0</v>
      </c>
      <c r="O59" s="142">
        <f t="shared" si="9"/>
        <v>0</v>
      </c>
    </row>
    <row r="60" spans="1:15" x14ac:dyDescent="0.3">
      <c r="A60" s="102" t="s">
        <v>238</v>
      </c>
      <c r="B60" s="102" t="s">
        <v>239</v>
      </c>
      <c r="C60" s="103">
        <v>0</v>
      </c>
      <c r="D60" s="103">
        <v>0</v>
      </c>
      <c r="E60" s="103">
        <v>0</v>
      </c>
      <c r="F60" s="103">
        <v>0</v>
      </c>
      <c r="G60" s="103">
        <v>0</v>
      </c>
      <c r="H60" s="372">
        <v>0</v>
      </c>
      <c r="I60" s="372">
        <v>0</v>
      </c>
      <c r="J60" s="372">
        <v>0</v>
      </c>
      <c r="K60" s="372">
        <v>0</v>
      </c>
      <c r="L60" s="372">
        <v>0</v>
      </c>
      <c r="M60" s="372">
        <v>0</v>
      </c>
      <c r="N60" s="372">
        <v>0</v>
      </c>
      <c r="O60" s="142">
        <f>SUM(C60:N60)</f>
        <v>0</v>
      </c>
    </row>
    <row r="61" spans="1:15" x14ac:dyDescent="0.3">
      <c r="A61" s="102" t="s">
        <v>240</v>
      </c>
      <c r="B61" s="102" t="s">
        <v>241</v>
      </c>
      <c r="C61" s="113">
        <v>0</v>
      </c>
      <c r="D61" s="113">
        <v>0</v>
      </c>
      <c r="E61" s="113">
        <v>0</v>
      </c>
      <c r="F61" s="113">
        <v>0</v>
      </c>
      <c r="G61" s="113">
        <v>0</v>
      </c>
      <c r="H61" s="387">
        <v>0</v>
      </c>
      <c r="I61" s="387">
        <v>0</v>
      </c>
      <c r="J61" s="387">
        <v>0</v>
      </c>
      <c r="K61" s="387">
        <v>0</v>
      </c>
      <c r="L61" s="387">
        <v>0</v>
      </c>
      <c r="M61" s="387">
        <v>0</v>
      </c>
      <c r="N61" s="387">
        <v>0</v>
      </c>
      <c r="O61" s="142">
        <f t="shared" si="9"/>
        <v>0</v>
      </c>
    </row>
    <row r="62" spans="1:15" x14ac:dyDescent="0.3">
      <c r="A62" s="102" t="s">
        <v>242</v>
      </c>
      <c r="B62" s="102" t="s">
        <v>243</v>
      </c>
      <c r="C62" s="113">
        <f>C61*0.09</f>
        <v>0</v>
      </c>
      <c r="D62" s="113">
        <f t="shared" ref="D62:N62" si="10">D61*0.09</f>
        <v>0</v>
      </c>
      <c r="E62" s="113">
        <f t="shared" si="10"/>
        <v>0</v>
      </c>
      <c r="F62" s="113">
        <f t="shared" si="10"/>
        <v>0</v>
      </c>
      <c r="G62" s="113">
        <f t="shared" si="10"/>
        <v>0</v>
      </c>
      <c r="H62" s="387">
        <f t="shared" si="10"/>
        <v>0</v>
      </c>
      <c r="I62" s="387">
        <f t="shared" si="10"/>
        <v>0</v>
      </c>
      <c r="J62" s="387">
        <f t="shared" si="10"/>
        <v>0</v>
      </c>
      <c r="K62" s="387">
        <f t="shared" si="10"/>
        <v>0</v>
      </c>
      <c r="L62" s="387">
        <f t="shared" si="10"/>
        <v>0</v>
      </c>
      <c r="M62" s="387">
        <f t="shared" si="10"/>
        <v>0</v>
      </c>
      <c r="N62" s="387">
        <f t="shared" si="10"/>
        <v>0</v>
      </c>
      <c r="O62" s="142">
        <f t="shared" si="9"/>
        <v>0</v>
      </c>
    </row>
    <row r="63" spans="1:15" x14ac:dyDescent="0.3">
      <c r="A63" s="102" t="s">
        <v>244</v>
      </c>
      <c r="B63" s="102" t="s">
        <v>245</v>
      </c>
      <c r="C63" s="113">
        <v>0</v>
      </c>
      <c r="D63" s="113">
        <v>0</v>
      </c>
      <c r="E63" s="113">
        <v>0</v>
      </c>
      <c r="F63" s="113">
        <v>0</v>
      </c>
      <c r="G63" s="113">
        <v>0</v>
      </c>
      <c r="H63" s="387">
        <v>0</v>
      </c>
      <c r="I63" s="387">
        <v>0</v>
      </c>
      <c r="J63" s="387">
        <v>0</v>
      </c>
      <c r="K63" s="387">
        <v>0</v>
      </c>
      <c r="L63" s="387">
        <v>0</v>
      </c>
      <c r="M63" s="387">
        <v>0</v>
      </c>
      <c r="N63" s="387">
        <v>0</v>
      </c>
      <c r="O63" s="142">
        <f t="shared" si="9"/>
        <v>0</v>
      </c>
    </row>
    <row r="64" spans="1:15" x14ac:dyDescent="0.3">
      <c r="A64" s="102" t="s">
        <v>246</v>
      </c>
      <c r="B64" s="102" t="s">
        <v>247</v>
      </c>
      <c r="C64" s="113">
        <v>0</v>
      </c>
      <c r="D64" s="113">
        <v>0</v>
      </c>
      <c r="E64" s="113">
        <v>0</v>
      </c>
      <c r="F64" s="113">
        <v>0</v>
      </c>
      <c r="G64" s="113">
        <v>0</v>
      </c>
      <c r="H64" s="387">
        <v>0</v>
      </c>
      <c r="I64" s="387">
        <v>0</v>
      </c>
      <c r="J64" s="387">
        <v>0</v>
      </c>
      <c r="K64" s="387">
        <v>0</v>
      </c>
      <c r="L64" s="387">
        <v>0</v>
      </c>
      <c r="M64" s="387">
        <v>0</v>
      </c>
      <c r="N64" s="387">
        <v>0</v>
      </c>
      <c r="O64" s="142">
        <f t="shared" si="9"/>
        <v>0</v>
      </c>
    </row>
    <row r="65" spans="1:15" x14ac:dyDescent="0.3">
      <c r="A65" s="102" t="s">
        <v>248</v>
      </c>
      <c r="B65" s="102" t="s">
        <v>249</v>
      </c>
      <c r="C65" s="113">
        <f>C64*0.09</f>
        <v>0</v>
      </c>
      <c r="D65" s="113">
        <f t="shared" ref="D65:N65" si="11">D64*0.09</f>
        <v>0</v>
      </c>
      <c r="E65" s="113">
        <f t="shared" si="11"/>
        <v>0</v>
      </c>
      <c r="F65" s="113">
        <f t="shared" si="11"/>
        <v>0</v>
      </c>
      <c r="G65" s="113">
        <f t="shared" si="11"/>
        <v>0</v>
      </c>
      <c r="H65" s="387">
        <f t="shared" si="11"/>
        <v>0</v>
      </c>
      <c r="I65" s="387">
        <f t="shared" si="11"/>
        <v>0</v>
      </c>
      <c r="J65" s="387">
        <f t="shared" si="11"/>
        <v>0</v>
      </c>
      <c r="K65" s="387">
        <f t="shared" si="11"/>
        <v>0</v>
      </c>
      <c r="L65" s="387">
        <f t="shared" si="11"/>
        <v>0</v>
      </c>
      <c r="M65" s="387">
        <f t="shared" si="11"/>
        <v>0</v>
      </c>
      <c r="N65" s="387">
        <f t="shared" si="11"/>
        <v>0</v>
      </c>
      <c r="O65" s="142">
        <f t="shared" si="9"/>
        <v>0</v>
      </c>
    </row>
    <row r="66" spans="1:15" x14ac:dyDescent="0.3">
      <c r="A66" s="102" t="s">
        <v>250</v>
      </c>
      <c r="B66" s="102" t="s">
        <v>251</v>
      </c>
      <c r="C66" s="113">
        <v>0</v>
      </c>
      <c r="D66" s="113">
        <v>0</v>
      </c>
      <c r="E66" s="113">
        <v>0</v>
      </c>
      <c r="F66" s="113">
        <v>0</v>
      </c>
      <c r="G66" s="113">
        <v>0</v>
      </c>
      <c r="H66" s="387">
        <v>0</v>
      </c>
      <c r="I66" s="387">
        <v>0</v>
      </c>
      <c r="J66" s="387">
        <v>0</v>
      </c>
      <c r="K66" s="387">
        <v>0</v>
      </c>
      <c r="L66" s="387">
        <v>0</v>
      </c>
      <c r="M66" s="387">
        <v>0</v>
      </c>
      <c r="N66" s="387">
        <v>0</v>
      </c>
      <c r="O66" s="142">
        <f t="shared" si="9"/>
        <v>0</v>
      </c>
    </row>
    <row r="67" spans="1:15" x14ac:dyDescent="0.3">
      <c r="A67" s="102" t="s">
        <v>252</v>
      </c>
      <c r="B67" s="102" t="s">
        <v>253</v>
      </c>
      <c r="C67" s="103">
        <v>0</v>
      </c>
      <c r="D67" s="103">
        <v>0</v>
      </c>
      <c r="E67" s="103">
        <v>0</v>
      </c>
      <c r="F67" s="103">
        <v>0</v>
      </c>
      <c r="G67" s="103">
        <v>0</v>
      </c>
      <c r="H67" s="372">
        <v>0</v>
      </c>
      <c r="I67" s="372">
        <v>0</v>
      </c>
      <c r="J67" s="372">
        <v>0</v>
      </c>
      <c r="K67" s="372">
        <v>0</v>
      </c>
      <c r="L67" s="372">
        <v>0</v>
      </c>
      <c r="M67" s="372">
        <v>0</v>
      </c>
      <c r="N67" s="372">
        <v>0</v>
      </c>
      <c r="O67" s="142">
        <f t="shared" si="9"/>
        <v>0</v>
      </c>
    </row>
    <row r="68" spans="1:15" x14ac:dyDescent="0.3">
      <c r="A68" s="102" t="s">
        <v>254</v>
      </c>
      <c r="B68" s="102" t="s">
        <v>255</v>
      </c>
      <c r="C68" s="113">
        <v>0</v>
      </c>
      <c r="D68" s="113">
        <v>0</v>
      </c>
      <c r="E68" s="113">
        <v>0</v>
      </c>
      <c r="F68" s="113">
        <v>0</v>
      </c>
      <c r="G68" s="113">
        <v>0</v>
      </c>
      <c r="H68" s="387">
        <v>0</v>
      </c>
      <c r="I68" s="387">
        <v>0</v>
      </c>
      <c r="J68" s="387">
        <v>0</v>
      </c>
      <c r="K68" s="387">
        <v>0</v>
      </c>
      <c r="L68" s="387">
        <v>0</v>
      </c>
      <c r="M68" s="387">
        <v>0</v>
      </c>
      <c r="N68" s="387">
        <v>0</v>
      </c>
      <c r="O68" s="142">
        <f t="shared" si="9"/>
        <v>0</v>
      </c>
    </row>
    <row r="69" spans="1:15" x14ac:dyDescent="0.3">
      <c r="A69" s="102" t="s">
        <v>256</v>
      </c>
      <c r="B69" s="102" t="s">
        <v>257</v>
      </c>
      <c r="C69" s="113">
        <v>0</v>
      </c>
      <c r="D69" s="113">
        <v>0</v>
      </c>
      <c r="E69" s="113">
        <v>0</v>
      </c>
      <c r="F69" s="113">
        <v>0</v>
      </c>
      <c r="G69" s="113">
        <v>0</v>
      </c>
      <c r="H69" s="387">
        <v>0</v>
      </c>
      <c r="I69" s="387">
        <v>0</v>
      </c>
      <c r="J69" s="387">
        <v>0</v>
      </c>
      <c r="K69" s="387">
        <v>0</v>
      </c>
      <c r="L69" s="387">
        <v>0</v>
      </c>
      <c r="M69" s="387">
        <v>0</v>
      </c>
      <c r="N69" s="387">
        <v>0</v>
      </c>
      <c r="O69" s="142">
        <f t="shared" si="9"/>
        <v>0</v>
      </c>
    </row>
    <row r="70" spans="1:15" x14ac:dyDescent="0.3">
      <c r="A70" s="102" t="s">
        <v>258</v>
      </c>
      <c r="B70" s="102" t="s">
        <v>259</v>
      </c>
      <c r="C70" s="113">
        <v>0</v>
      </c>
      <c r="D70" s="113">
        <v>0</v>
      </c>
      <c r="E70" s="113">
        <v>0</v>
      </c>
      <c r="F70" s="113">
        <v>0</v>
      </c>
      <c r="G70" s="113">
        <v>0</v>
      </c>
      <c r="H70" s="387">
        <v>0</v>
      </c>
      <c r="I70" s="387">
        <v>0</v>
      </c>
      <c r="J70" s="387">
        <v>0</v>
      </c>
      <c r="K70" s="387">
        <v>0</v>
      </c>
      <c r="L70" s="387">
        <v>0</v>
      </c>
      <c r="M70" s="387">
        <v>0</v>
      </c>
      <c r="N70" s="387">
        <v>0</v>
      </c>
      <c r="O70" s="142">
        <f t="shared" si="9"/>
        <v>0</v>
      </c>
    </row>
    <row r="71" spans="1:15" x14ac:dyDescent="0.3">
      <c r="A71" s="102" t="s">
        <v>260</v>
      </c>
      <c r="B71" s="102" t="s">
        <v>261</v>
      </c>
      <c r="C71" s="113">
        <v>0</v>
      </c>
      <c r="D71" s="113">
        <v>0</v>
      </c>
      <c r="E71" s="113">
        <v>0</v>
      </c>
      <c r="F71" s="113">
        <v>0</v>
      </c>
      <c r="G71" s="113">
        <v>0</v>
      </c>
      <c r="H71" s="387">
        <v>0</v>
      </c>
      <c r="I71" s="387">
        <v>0</v>
      </c>
      <c r="J71" s="387">
        <v>0</v>
      </c>
      <c r="K71" s="387">
        <v>0</v>
      </c>
      <c r="L71" s="387">
        <v>0</v>
      </c>
      <c r="M71" s="387">
        <v>0</v>
      </c>
      <c r="N71" s="387">
        <v>0</v>
      </c>
      <c r="O71" s="142">
        <f t="shared" si="9"/>
        <v>0</v>
      </c>
    </row>
    <row r="72" spans="1:15" x14ac:dyDescent="0.3">
      <c r="A72" s="102" t="s">
        <v>262</v>
      </c>
      <c r="B72" s="102" t="s">
        <v>263</v>
      </c>
      <c r="C72" s="113">
        <v>0</v>
      </c>
      <c r="D72" s="113">
        <v>0</v>
      </c>
      <c r="E72" s="113">
        <v>0</v>
      </c>
      <c r="F72" s="113">
        <v>0</v>
      </c>
      <c r="G72" s="113">
        <v>0</v>
      </c>
      <c r="H72" s="387">
        <v>0</v>
      </c>
      <c r="I72" s="387">
        <v>0</v>
      </c>
      <c r="J72" s="387">
        <v>0</v>
      </c>
      <c r="K72" s="387">
        <v>0</v>
      </c>
      <c r="L72" s="387">
        <v>0</v>
      </c>
      <c r="M72" s="387">
        <v>0</v>
      </c>
      <c r="N72" s="387">
        <v>0</v>
      </c>
      <c r="O72" s="142">
        <f t="shared" si="9"/>
        <v>0</v>
      </c>
    </row>
    <row r="73" spans="1:15" x14ac:dyDescent="0.3">
      <c r="A73" s="102" t="s">
        <v>264</v>
      </c>
      <c r="B73" s="102" t="s">
        <v>265</v>
      </c>
      <c r="C73" s="113">
        <v>0</v>
      </c>
      <c r="D73" s="113">
        <v>0</v>
      </c>
      <c r="E73" s="113">
        <v>0</v>
      </c>
      <c r="F73" s="113">
        <v>0</v>
      </c>
      <c r="G73" s="113">
        <v>0</v>
      </c>
      <c r="H73" s="387">
        <v>0</v>
      </c>
      <c r="I73" s="387">
        <v>0</v>
      </c>
      <c r="J73" s="387">
        <v>0</v>
      </c>
      <c r="K73" s="387">
        <v>0</v>
      </c>
      <c r="L73" s="387">
        <v>0</v>
      </c>
      <c r="M73" s="387">
        <v>0</v>
      </c>
      <c r="N73" s="387">
        <v>0</v>
      </c>
      <c r="O73" s="142">
        <f t="shared" si="9"/>
        <v>0</v>
      </c>
    </row>
    <row r="74" spans="1:15" x14ac:dyDescent="0.3">
      <c r="A74" s="102" t="s">
        <v>266</v>
      </c>
      <c r="B74" s="102" t="s">
        <v>267</v>
      </c>
      <c r="C74" s="113">
        <v>0</v>
      </c>
      <c r="D74" s="113">
        <v>0</v>
      </c>
      <c r="E74" s="113">
        <v>0</v>
      </c>
      <c r="F74" s="113">
        <v>0</v>
      </c>
      <c r="G74" s="113">
        <v>0</v>
      </c>
      <c r="H74" s="387">
        <v>0</v>
      </c>
      <c r="I74" s="387">
        <v>0</v>
      </c>
      <c r="J74" s="387">
        <v>0</v>
      </c>
      <c r="K74" s="387">
        <v>0</v>
      </c>
      <c r="L74" s="387">
        <v>0</v>
      </c>
      <c r="M74" s="387">
        <v>0</v>
      </c>
      <c r="N74" s="387">
        <v>0</v>
      </c>
      <c r="O74" s="142">
        <f t="shared" si="9"/>
        <v>0</v>
      </c>
    </row>
    <row r="75" spans="1:15" x14ac:dyDescent="0.3">
      <c r="A75" s="102" t="s">
        <v>268</v>
      </c>
      <c r="B75" s="102" t="s">
        <v>269</v>
      </c>
      <c r="C75" s="113">
        <v>0</v>
      </c>
      <c r="D75" s="113">
        <v>0</v>
      </c>
      <c r="E75" s="113">
        <v>0</v>
      </c>
      <c r="F75" s="113">
        <v>0</v>
      </c>
      <c r="G75" s="113">
        <v>0</v>
      </c>
      <c r="H75" s="387">
        <v>0</v>
      </c>
      <c r="I75" s="387">
        <v>0</v>
      </c>
      <c r="J75" s="387">
        <v>0</v>
      </c>
      <c r="K75" s="387">
        <v>0</v>
      </c>
      <c r="L75" s="387">
        <v>0</v>
      </c>
      <c r="M75" s="387">
        <v>0</v>
      </c>
      <c r="N75" s="387">
        <v>0</v>
      </c>
      <c r="O75" s="142">
        <f t="shared" si="9"/>
        <v>0</v>
      </c>
    </row>
    <row r="76" spans="1:15" x14ac:dyDescent="0.3">
      <c r="A76" s="102" t="s">
        <v>270</v>
      </c>
      <c r="B76" s="102" t="s">
        <v>271</v>
      </c>
      <c r="C76" s="113">
        <v>0</v>
      </c>
      <c r="D76" s="113">
        <v>0</v>
      </c>
      <c r="E76" s="113">
        <v>0</v>
      </c>
      <c r="F76" s="113">
        <v>0</v>
      </c>
      <c r="G76" s="113">
        <v>0</v>
      </c>
      <c r="H76" s="387">
        <v>0</v>
      </c>
      <c r="I76" s="387">
        <v>0</v>
      </c>
      <c r="J76" s="387">
        <v>0</v>
      </c>
      <c r="K76" s="387">
        <v>0</v>
      </c>
      <c r="L76" s="387">
        <v>0</v>
      </c>
      <c r="M76" s="387">
        <v>0</v>
      </c>
      <c r="N76" s="387">
        <v>0</v>
      </c>
      <c r="O76" s="142">
        <f t="shared" si="9"/>
        <v>0</v>
      </c>
    </row>
    <row r="77" spans="1:15" x14ac:dyDescent="0.3">
      <c r="A77" s="102" t="s">
        <v>272</v>
      </c>
      <c r="B77" s="102" t="s">
        <v>273</v>
      </c>
      <c r="C77" s="113">
        <v>0</v>
      </c>
      <c r="D77" s="113">
        <v>0</v>
      </c>
      <c r="E77" s="113">
        <v>0</v>
      </c>
      <c r="F77" s="113">
        <v>0</v>
      </c>
      <c r="G77" s="113">
        <v>0</v>
      </c>
      <c r="H77" s="387">
        <v>0</v>
      </c>
      <c r="I77" s="387">
        <v>0</v>
      </c>
      <c r="J77" s="387">
        <v>0</v>
      </c>
      <c r="K77" s="387">
        <v>0</v>
      </c>
      <c r="L77" s="387">
        <v>0</v>
      </c>
      <c r="M77" s="387">
        <v>0</v>
      </c>
      <c r="N77" s="387">
        <v>0</v>
      </c>
      <c r="O77" s="142">
        <f t="shared" si="9"/>
        <v>0</v>
      </c>
    </row>
    <row r="78" spans="1:15" x14ac:dyDescent="0.3">
      <c r="A78" s="102" t="s">
        <v>274</v>
      </c>
      <c r="B78" s="102" t="s">
        <v>275</v>
      </c>
      <c r="C78" s="113">
        <v>0</v>
      </c>
      <c r="D78" s="113">
        <v>0</v>
      </c>
      <c r="E78" s="113">
        <v>0</v>
      </c>
      <c r="F78" s="113">
        <v>0</v>
      </c>
      <c r="G78" s="113">
        <v>0</v>
      </c>
      <c r="H78" s="387">
        <v>0</v>
      </c>
      <c r="I78" s="387">
        <v>0</v>
      </c>
      <c r="J78" s="387">
        <v>0</v>
      </c>
      <c r="K78" s="387">
        <v>0</v>
      </c>
      <c r="L78" s="387">
        <v>0</v>
      </c>
      <c r="M78" s="387">
        <v>0</v>
      </c>
      <c r="N78" s="387">
        <v>0</v>
      </c>
      <c r="O78" s="142">
        <f t="shared" si="9"/>
        <v>0</v>
      </c>
    </row>
    <row r="79" spans="1:15" x14ac:dyDescent="0.3">
      <c r="A79" s="102" t="s">
        <v>276</v>
      </c>
      <c r="B79" s="102" t="s">
        <v>277</v>
      </c>
      <c r="C79" s="113">
        <v>0</v>
      </c>
      <c r="D79" s="113">
        <v>0</v>
      </c>
      <c r="E79" s="113">
        <v>0</v>
      </c>
      <c r="F79" s="113">
        <v>0</v>
      </c>
      <c r="G79" s="113">
        <v>0</v>
      </c>
      <c r="H79" s="387">
        <v>0</v>
      </c>
      <c r="I79" s="387">
        <v>0</v>
      </c>
      <c r="J79" s="387">
        <v>0</v>
      </c>
      <c r="K79" s="387">
        <v>0</v>
      </c>
      <c r="L79" s="387">
        <v>0</v>
      </c>
      <c r="M79" s="387">
        <v>0</v>
      </c>
      <c r="N79" s="387">
        <v>0</v>
      </c>
      <c r="O79" s="142">
        <f t="shared" si="9"/>
        <v>0</v>
      </c>
    </row>
    <row r="80" spans="1:15" x14ac:dyDescent="0.3">
      <c r="A80" s="102" t="s">
        <v>278</v>
      </c>
      <c r="B80" s="102" t="s">
        <v>279</v>
      </c>
      <c r="C80" s="113">
        <v>0</v>
      </c>
      <c r="D80" s="113">
        <v>0</v>
      </c>
      <c r="E80" s="113">
        <v>0</v>
      </c>
      <c r="F80" s="113">
        <v>0</v>
      </c>
      <c r="G80" s="113">
        <v>0</v>
      </c>
      <c r="H80" s="387">
        <v>0</v>
      </c>
      <c r="I80" s="387">
        <v>0</v>
      </c>
      <c r="J80" s="387">
        <v>0</v>
      </c>
      <c r="K80" s="387">
        <v>0</v>
      </c>
      <c r="L80" s="387">
        <v>0</v>
      </c>
      <c r="M80" s="387">
        <v>0</v>
      </c>
      <c r="N80" s="387">
        <v>0</v>
      </c>
      <c r="O80" s="142">
        <f t="shared" si="9"/>
        <v>0</v>
      </c>
    </row>
    <row r="81" spans="1:15" x14ac:dyDescent="0.3">
      <c r="A81" s="102" t="s">
        <v>280</v>
      </c>
      <c r="B81" s="102" t="s">
        <v>281</v>
      </c>
      <c r="C81" s="113">
        <v>0</v>
      </c>
      <c r="D81" s="113">
        <v>0</v>
      </c>
      <c r="E81" s="113">
        <v>0</v>
      </c>
      <c r="F81" s="113">
        <v>0</v>
      </c>
      <c r="G81" s="113">
        <v>0</v>
      </c>
      <c r="H81" s="387">
        <v>0</v>
      </c>
      <c r="I81" s="387">
        <v>0</v>
      </c>
      <c r="J81" s="387">
        <v>0</v>
      </c>
      <c r="K81" s="387">
        <v>0</v>
      </c>
      <c r="L81" s="387">
        <v>0</v>
      </c>
      <c r="M81" s="387">
        <v>0</v>
      </c>
      <c r="N81" s="387">
        <v>0</v>
      </c>
      <c r="O81" s="142">
        <f t="shared" si="9"/>
        <v>0</v>
      </c>
    </row>
    <row r="82" spans="1:15" x14ac:dyDescent="0.3">
      <c r="A82" s="102" t="s">
        <v>282</v>
      </c>
      <c r="B82" s="102" t="s">
        <v>283</v>
      </c>
      <c r="C82" s="113">
        <v>0</v>
      </c>
      <c r="D82" s="113">
        <v>0</v>
      </c>
      <c r="E82" s="113">
        <v>0</v>
      </c>
      <c r="F82" s="113">
        <v>0</v>
      </c>
      <c r="G82" s="113">
        <v>0</v>
      </c>
      <c r="H82" s="387">
        <v>0</v>
      </c>
      <c r="I82" s="387">
        <v>0</v>
      </c>
      <c r="J82" s="387">
        <v>0</v>
      </c>
      <c r="K82" s="387">
        <v>0</v>
      </c>
      <c r="L82" s="387">
        <v>0</v>
      </c>
      <c r="M82" s="387">
        <v>0</v>
      </c>
      <c r="N82" s="387">
        <v>0</v>
      </c>
      <c r="O82" s="142">
        <f t="shared" si="9"/>
        <v>0</v>
      </c>
    </row>
    <row r="83" spans="1:15" x14ac:dyDescent="0.3">
      <c r="A83" s="102" t="s">
        <v>284</v>
      </c>
      <c r="B83" s="102" t="s">
        <v>285</v>
      </c>
      <c r="C83" s="113">
        <v>0</v>
      </c>
      <c r="D83" s="113">
        <v>0</v>
      </c>
      <c r="E83" s="113">
        <v>0</v>
      </c>
      <c r="F83" s="113">
        <v>0</v>
      </c>
      <c r="G83" s="113">
        <v>0</v>
      </c>
      <c r="H83" s="387">
        <v>0</v>
      </c>
      <c r="I83" s="387">
        <v>0</v>
      </c>
      <c r="J83" s="387">
        <v>0</v>
      </c>
      <c r="K83" s="387">
        <v>0</v>
      </c>
      <c r="L83" s="387">
        <v>0</v>
      </c>
      <c r="M83" s="387">
        <v>0</v>
      </c>
      <c r="N83" s="387">
        <v>0</v>
      </c>
      <c r="O83" s="142">
        <f t="shared" si="9"/>
        <v>0</v>
      </c>
    </row>
    <row r="84" spans="1:15" x14ac:dyDescent="0.3">
      <c r="A84" s="102" t="s">
        <v>286</v>
      </c>
      <c r="B84" s="102" t="s">
        <v>287</v>
      </c>
      <c r="C84" s="113">
        <v>0</v>
      </c>
      <c r="D84" s="113">
        <v>0</v>
      </c>
      <c r="E84" s="113">
        <v>0</v>
      </c>
      <c r="F84" s="113">
        <v>0</v>
      </c>
      <c r="G84" s="113">
        <v>0</v>
      </c>
      <c r="H84" s="387">
        <v>0</v>
      </c>
      <c r="I84" s="387">
        <v>0</v>
      </c>
      <c r="J84" s="387">
        <v>0</v>
      </c>
      <c r="K84" s="387">
        <v>0</v>
      </c>
      <c r="L84" s="387">
        <v>0</v>
      </c>
      <c r="M84" s="387">
        <v>0</v>
      </c>
      <c r="N84" s="387">
        <v>0</v>
      </c>
      <c r="O84" s="142">
        <f t="shared" si="9"/>
        <v>0</v>
      </c>
    </row>
    <row r="85" spans="1:15" x14ac:dyDescent="0.3">
      <c r="A85" s="102" t="s">
        <v>288</v>
      </c>
      <c r="B85" s="102" t="s">
        <v>289</v>
      </c>
      <c r="C85" s="113">
        <v>0</v>
      </c>
      <c r="D85" s="113">
        <v>0</v>
      </c>
      <c r="E85" s="113">
        <v>0</v>
      </c>
      <c r="F85" s="113">
        <v>0</v>
      </c>
      <c r="G85" s="113">
        <v>0</v>
      </c>
      <c r="H85" s="387">
        <v>0</v>
      </c>
      <c r="I85" s="387">
        <v>0</v>
      </c>
      <c r="J85" s="387">
        <v>0</v>
      </c>
      <c r="K85" s="387">
        <v>0</v>
      </c>
      <c r="L85" s="387">
        <v>0</v>
      </c>
      <c r="M85" s="387">
        <v>0</v>
      </c>
      <c r="N85" s="387">
        <v>0</v>
      </c>
      <c r="O85" s="142">
        <f t="shared" si="9"/>
        <v>0</v>
      </c>
    </row>
    <row r="86" spans="1:15" x14ac:dyDescent="0.3">
      <c r="A86" s="102" t="s">
        <v>290</v>
      </c>
      <c r="B86" s="102" t="s">
        <v>291</v>
      </c>
      <c r="C86" s="113">
        <v>0</v>
      </c>
      <c r="D86" s="113">
        <v>0</v>
      </c>
      <c r="E86" s="113">
        <v>0</v>
      </c>
      <c r="F86" s="113">
        <v>0</v>
      </c>
      <c r="G86" s="113">
        <v>0</v>
      </c>
      <c r="H86" s="387">
        <v>0</v>
      </c>
      <c r="I86" s="387">
        <v>0</v>
      </c>
      <c r="J86" s="387">
        <v>0</v>
      </c>
      <c r="K86" s="387">
        <v>0</v>
      </c>
      <c r="L86" s="387">
        <v>0</v>
      </c>
      <c r="M86" s="387">
        <v>0</v>
      </c>
      <c r="N86" s="387">
        <v>0</v>
      </c>
      <c r="O86" s="142">
        <f t="shared" si="9"/>
        <v>0</v>
      </c>
    </row>
    <row r="87" spans="1:15" x14ac:dyDescent="0.3">
      <c r="A87" s="102" t="s">
        <v>292</v>
      </c>
      <c r="B87" s="102" t="s">
        <v>293</v>
      </c>
      <c r="C87" s="113">
        <v>0</v>
      </c>
      <c r="D87" s="113">
        <v>0</v>
      </c>
      <c r="E87" s="113">
        <v>0</v>
      </c>
      <c r="F87" s="113">
        <v>0</v>
      </c>
      <c r="G87" s="113">
        <v>0</v>
      </c>
      <c r="H87" s="387">
        <v>0</v>
      </c>
      <c r="I87" s="387">
        <v>0</v>
      </c>
      <c r="J87" s="387">
        <v>0</v>
      </c>
      <c r="K87" s="387">
        <v>0</v>
      </c>
      <c r="L87" s="387">
        <v>0</v>
      </c>
      <c r="M87" s="387">
        <v>0</v>
      </c>
      <c r="N87" s="387">
        <v>0</v>
      </c>
      <c r="O87" s="142">
        <f t="shared" si="9"/>
        <v>0</v>
      </c>
    </row>
    <row r="88" spans="1:15" x14ac:dyDescent="0.3">
      <c r="A88" s="102" t="s">
        <v>294</v>
      </c>
      <c r="B88" s="102" t="s">
        <v>295</v>
      </c>
      <c r="C88" s="113">
        <v>0</v>
      </c>
      <c r="D88" s="113">
        <v>0</v>
      </c>
      <c r="E88" s="113">
        <v>0</v>
      </c>
      <c r="F88" s="113">
        <v>0</v>
      </c>
      <c r="G88" s="113">
        <v>0</v>
      </c>
      <c r="H88" s="387">
        <v>0</v>
      </c>
      <c r="I88" s="387">
        <v>0</v>
      </c>
      <c r="J88" s="387">
        <v>0</v>
      </c>
      <c r="K88" s="387">
        <v>0</v>
      </c>
      <c r="L88" s="387">
        <v>0</v>
      </c>
      <c r="M88" s="387">
        <v>0</v>
      </c>
      <c r="N88" s="387">
        <v>0</v>
      </c>
      <c r="O88" s="142">
        <f t="shared" si="9"/>
        <v>0</v>
      </c>
    </row>
    <row r="89" spans="1:15" x14ac:dyDescent="0.3">
      <c r="A89" s="102" t="s">
        <v>296</v>
      </c>
      <c r="B89" s="102" t="s">
        <v>297</v>
      </c>
      <c r="C89" s="113">
        <v>0</v>
      </c>
      <c r="D89" s="113">
        <v>0</v>
      </c>
      <c r="E89" s="113">
        <v>0</v>
      </c>
      <c r="F89" s="113">
        <v>0</v>
      </c>
      <c r="G89" s="113">
        <v>0</v>
      </c>
      <c r="H89" s="387">
        <v>0</v>
      </c>
      <c r="I89" s="387">
        <v>0</v>
      </c>
      <c r="J89" s="387">
        <v>0</v>
      </c>
      <c r="K89" s="387">
        <v>0</v>
      </c>
      <c r="L89" s="387">
        <v>0</v>
      </c>
      <c r="M89" s="387">
        <v>0</v>
      </c>
      <c r="N89" s="387">
        <v>0</v>
      </c>
      <c r="O89" s="142">
        <f t="shared" si="9"/>
        <v>0</v>
      </c>
    </row>
    <row r="90" spans="1:15" x14ac:dyDescent="0.3">
      <c r="A90" s="102" t="s">
        <v>298</v>
      </c>
      <c r="B90" s="102" t="s">
        <v>299</v>
      </c>
      <c r="C90" s="113">
        <v>0</v>
      </c>
      <c r="D90" s="113">
        <v>0</v>
      </c>
      <c r="E90" s="113">
        <v>0</v>
      </c>
      <c r="F90" s="113">
        <v>0</v>
      </c>
      <c r="G90" s="113">
        <v>0</v>
      </c>
      <c r="H90" s="387">
        <v>0</v>
      </c>
      <c r="I90" s="387">
        <v>0</v>
      </c>
      <c r="J90" s="387">
        <v>0</v>
      </c>
      <c r="K90" s="387">
        <v>0</v>
      </c>
      <c r="L90" s="387">
        <v>0</v>
      </c>
      <c r="M90" s="387">
        <v>0</v>
      </c>
      <c r="N90" s="387">
        <v>0</v>
      </c>
      <c r="O90" s="142">
        <f t="shared" si="9"/>
        <v>0</v>
      </c>
    </row>
    <row r="91" spans="1:15" x14ac:dyDescent="0.3">
      <c r="A91" s="102" t="s">
        <v>300</v>
      </c>
      <c r="B91" s="102" t="s">
        <v>301</v>
      </c>
      <c r="C91" s="113">
        <v>0</v>
      </c>
      <c r="D91" s="113">
        <v>0</v>
      </c>
      <c r="E91" s="113">
        <v>0</v>
      </c>
      <c r="F91" s="113">
        <v>0</v>
      </c>
      <c r="G91" s="113">
        <v>0</v>
      </c>
      <c r="H91" s="387">
        <v>0</v>
      </c>
      <c r="I91" s="387">
        <v>0</v>
      </c>
      <c r="J91" s="387">
        <v>0</v>
      </c>
      <c r="K91" s="387">
        <v>0</v>
      </c>
      <c r="L91" s="387">
        <v>0</v>
      </c>
      <c r="M91" s="387">
        <v>0</v>
      </c>
      <c r="N91" s="387">
        <v>0</v>
      </c>
      <c r="O91" s="142">
        <f t="shared" si="9"/>
        <v>0</v>
      </c>
    </row>
    <row r="92" spans="1:15" x14ac:dyDescent="0.3">
      <c r="A92" s="102" t="s">
        <v>302</v>
      </c>
      <c r="B92" s="102" t="s">
        <v>303</v>
      </c>
      <c r="C92" s="113">
        <v>0</v>
      </c>
      <c r="D92" s="113">
        <v>0</v>
      </c>
      <c r="E92" s="113">
        <v>0</v>
      </c>
      <c r="F92" s="113">
        <v>0</v>
      </c>
      <c r="G92" s="113">
        <v>0</v>
      </c>
      <c r="H92" s="387">
        <v>0</v>
      </c>
      <c r="I92" s="387">
        <v>0</v>
      </c>
      <c r="J92" s="387">
        <v>0</v>
      </c>
      <c r="K92" s="387">
        <v>0</v>
      </c>
      <c r="L92" s="387">
        <v>0</v>
      </c>
      <c r="M92" s="387">
        <v>0</v>
      </c>
      <c r="N92" s="387">
        <v>0</v>
      </c>
      <c r="O92" s="142">
        <f t="shared" si="9"/>
        <v>0</v>
      </c>
    </row>
    <row r="93" spans="1:15" x14ac:dyDescent="0.3">
      <c r="A93" s="102" t="s">
        <v>304</v>
      </c>
      <c r="B93" s="102" t="s">
        <v>305</v>
      </c>
      <c r="C93" s="113">
        <v>0</v>
      </c>
      <c r="D93" s="113">
        <v>0</v>
      </c>
      <c r="E93" s="113">
        <v>0</v>
      </c>
      <c r="F93" s="113">
        <v>0</v>
      </c>
      <c r="G93" s="113">
        <v>0</v>
      </c>
      <c r="H93" s="387">
        <v>0</v>
      </c>
      <c r="I93" s="387">
        <v>0</v>
      </c>
      <c r="J93" s="387">
        <v>0</v>
      </c>
      <c r="K93" s="387">
        <v>0</v>
      </c>
      <c r="L93" s="387">
        <v>0</v>
      </c>
      <c r="M93" s="387">
        <v>0</v>
      </c>
      <c r="N93" s="387">
        <v>0</v>
      </c>
      <c r="O93" s="142">
        <f t="shared" si="9"/>
        <v>0</v>
      </c>
    </row>
    <row r="94" spans="1:15" x14ac:dyDescent="0.3">
      <c r="A94" s="102" t="s">
        <v>306</v>
      </c>
      <c r="B94" s="102" t="s">
        <v>307</v>
      </c>
      <c r="C94" s="113">
        <v>0</v>
      </c>
      <c r="D94" s="113">
        <v>0</v>
      </c>
      <c r="E94" s="113">
        <v>0</v>
      </c>
      <c r="F94" s="113">
        <v>0</v>
      </c>
      <c r="G94" s="113">
        <v>0</v>
      </c>
      <c r="H94" s="387">
        <v>0</v>
      </c>
      <c r="I94" s="387">
        <v>0</v>
      </c>
      <c r="J94" s="387">
        <v>0</v>
      </c>
      <c r="K94" s="387">
        <v>0</v>
      </c>
      <c r="L94" s="387">
        <v>0</v>
      </c>
      <c r="M94" s="387">
        <v>0</v>
      </c>
      <c r="N94" s="387">
        <v>0</v>
      </c>
      <c r="O94" s="142">
        <f t="shared" si="9"/>
        <v>0</v>
      </c>
    </row>
    <row r="95" spans="1:15" x14ac:dyDescent="0.3">
      <c r="A95" s="102" t="s">
        <v>308</v>
      </c>
      <c r="B95" s="102" t="s">
        <v>309</v>
      </c>
      <c r="C95" s="113">
        <v>0</v>
      </c>
      <c r="D95" s="113">
        <v>0</v>
      </c>
      <c r="E95" s="113">
        <v>0</v>
      </c>
      <c r="F95" s="113">
        <v>0</v>
      </c>
      <c r="G95" s="113">
        <v>0</v>
      </c>
      <c r="H95" s="387">
        <v>0</v>
      </c>
      <c r="I95" s="387">
        <v>0</v>
      </c>
      <c r="J95" s="387">
        <v>0</v>
      </c>
      <c r="K95" s="387">
        <v>0</v>
      </c>
      <c r="L95" s="387">
        <v>0</v>
      </c>
      <c r="M95" s="387">
        <v>0</v>
      </c>
      <c r="N95" s="387">
        <v>0</v>
      </c>
      <c r="O95" s="142">
        <f t="shared" si="9"/>
        <v>0</v>
      </c>
    </row>
    <row r="96" spans="1:15" x14ac:dyDescent="0.3">
      <c r="A96" s="102" t="s">
        <v>310</v>
      </c>
      <c r="B96" s="102" t="s">
        <v>311</v>
      </c>
      <c r="C96" s="113">
        <v>0</v>
      </c>
      <c r="D96" s="113">
        <v>0</v>
      </c>
      <c r="E96" s="113">
        <v>0</v>
      </c>
      <c r="F96" s="113">
        <v>0</v>
      </c>
      <c r="G96" s="113">
        <v>0</v>
      </c>
      <c r="H96" s="387">
        <v>0</v>
      </c>
      <c r="I96" s="387">
        <v>0</v>
      </c>
      <c r="J96" s="387">
        <v>0</v>
      </c>
      <c r="K96" s="387">
        <v>0</v>
      </c>
      <c r="L96" s="387">
        <v>0</v>
      </c>
      <c r="M96" s="387">
        <v>0</v>
      </c>
      <c r="N96" s="387">
        <v>0</v>
      </c>
      <c r="O96" s="142">
        <f t="shared" si="9"/>
        <v>0</v>
      </c>
    </row>
    <row r="97" spans="1:15" x14ac:dyDescent="0.3">
      <c r="A97" s="102" t="s">
        <v>312</v>
      </c>
      <c r="B97" s="102" t="s">
        <v>313</v>
      </c>
      <c r="C97" s="113">
        <v>0</v>
      </c>
      <c r="D97" s="113">
        <v>0</v>
      </c>
      <c r="E97" s="113">
        <v>0</v>
      </c>
      <c r="F97" s="113">
        <v>0</v>
      </c>
      <c r="G97" s="113">
        <v>0</v>
      </c>
      <c r="H97" s="387">
        <v>0</v>
      </c>
      <c r="I97" s="387">
        <v>0</v>
      </c>
      <c r="J97" s="387">
        <v>0</v>
      </c>
      <c r="K97" s="387">
        <v>0</v>
      </c>
      <c r="L97" s="387">
        <v>0</v>
      </c>
      <c r="M97" s="387">
        <v>0</v>
      </c>
      <c r="N97" s="387">
        <v>0</v>
      </c>
      <c r="O97" s="142">
        <f t="shared" si="9"/>
        <v>0</v>
      </c>
    </row>
    <row r="98" spans="1:15" x14ac:dyDescent="0.3">
      <c r="A98" s="102" t="s">
        <v>314</v>
      </c>
      <c r="B98" s="102" t="s">
        <v>315</v>
      </c>
      <c r="C98" s="113">
        <v>0</v>
      </c>
      <c r="D98" s="113">
        <v>0</v>
      </c>
      <c r="E98" s="113">
        <v>0</v>
      </c>
      <c r="F98" s="113">
        <v>0</v>
      </c>
      <c r="G98" s="113">
        <v>0</v>
      </c>
      <c r="H98" s="387">
        <v>0</v>
      </c>
      <c r="I98" s="387">
        <v>0</v>
      </c>
      <c r="J98" s="387">
        <v>0</v>
      </c>
      <c r="K98" s="387">
        <v>0</v>
      </c>
      <c r="L98" s="387">
        <v>0</v>
      </c>
      <c r="M98" s="387">
        <v>0</v>
      </c>
      <c r="N98" s="387">
        <v>0</v>
      </c>
      <c r="O98" s="142">
        <f t="shared" si="9"/>
        <v>0</v>
      </c>
    </row>
    <row r="99" spans="1:15" x14ac:dyDescent="0.3">
      <c r="A99" s="102" t="s">
        <v>316</v>
      </c>
      <c r="B99" s="102" t="s">
        <v>317</v>
      </c>
      <c r="C99" s="113">
        <v>0</v>
      </c>
      <c r="D99" s="113">
        <v>0</v>
      </c>
      <c r="E99" s="113">
        <v>0</v>
      </c>
      <c r="F99" s="113">
        <v>0</v>
      </c>
      <c r="G99" s="113">
        <v>0</v>
      </c>
      <c r="H99" s="387">
        <v>0</v>
      </c>
      <c r="I99" s="387">
        <v>0</v>
      </c>
      <c r="J99" s="387">
        <v>0</v>
      </c>
      <c r="K99" s="387">
        <v>0</v>
      </c>
      <c r="L99" s="387">
        <v>0</v>
      </c>
      <c r="M99" s="387">
        <v>0</v>
      </c>
      <c r="N99" s="387">
        <v>0</v>
      </c>
      <c r="O99" s="142">
        <f t="shared" si="9"/>
        <v>0</v>
      </c>
    </row>
    <row r="100" spans="1:15" x14ac:dyDescent="0.3">
      <c r="A100" s="102" t="s">
        <v>318</v>
      </c>
      <c r="B100" s="102" t="s">
        <v>319</v>
      </c>
      <c r="C100" s="113">
        <v>0</v>
      </c>
      <c r="D100" s="113">
        <v>0</v>
      </c>
      <c r="E100" s="113">
        <v>0</v>
      </c>
      <c r="F100" s="113">
        <v>0</v>
      </c>
      <c r="G100" s="113">
        <v>0</v>
      </c>
      <c r="H100" s="387">
        <v>0</v>
      </c>
      <c r="I100" s="387">
        <v>0</v>
      </c>
      <c r="J100" s="387">
        <v>0</v>
      </c>
      <c r="K100" s="387">
        <v>0</v>
      </c>
      <c r="L100" s="387">
        <v>0</v>
      </c>
      <c r="M100" s="387">
        <v>0</v>
      </c>
      <c r="N100" s="387">
        <v>0</v>
      </c>
      <c r="O100" s="142">
        <f t="shared" si="9"/>
        <v>0</v>
      </c>
    </row>
    <row r="101" spans="1:15" x14ac:dyDescent="0.3">
      <c r="A101" s="102" t="s">
        <v>320</v>
      </c>
      <c r="B101" s="102" t="s">
        <v>321</v>
      </c>
      <c r="C101" s="113">
        <v>0</v>
      </c>
      <c r="D101" s="113">
        <v>0</v>
      </c>
      <c r="E101" s="113">
        <v>0</v>
      </c>
      <c r="F101" s="113">
        <v>0</v>
      </c>
      <c r="G101" s="113">
        <v>0</v>
      </c>
      <c r="H101" s="387">
        <v>0</v>
      </c>
      <c r="I101" s="387">
        <v>0</v>
      </c>
      <c r="J101" s="387">
        <v>0</v>
      </c>
      <c r="K101" s="387">
        <v>0</v>
      </c>
      <c r="L101" s="387">
        <v>0</v>
      </c>
      <c r="M101" s="387">
        <v>0</v>
      </c>
      <c r="N101" s="387">
        <v>0</v>
      </c>
      <c r="O101" s="142">
        <f t="shared" si="9"/>
        <v>0</v>
      </c>
    </row>
    <row r="102" spans="1:15" x14ac:dyDescent="0.3">
      <c r="A102" s="102" t="s">
        <v>322</v>
      </c>
      <c r="B102" s="102" t="s">
        <v>323</v>
      </c>
      <c r="C102" s="113">
        <v>0</v>
      </c>
      <c r="D102" s="113">
        <v>0</v>
      </c>
      <c r="E102" s="113">
        <v>0</v>
      </c>
      <c r="F102" s="113">
        <v>0</v>
      </c>
      <c r="G102" s="113">
        <v>0</v>
      </c>
      <c r="H102" s="387">
        <v>0</v>
      </c>
      <c r="I102" s="387">
        <v>0</v>
      </c>
      <c r="J102" s="387">
        <v>0</v>
      </c>
      <c r="K102" s="387">
        <v>0</v>
      </c>
      <c r="L102" s="387">
        <v>0</v>
      </c>
      <c r="M102" s="387">
        <v>0</v>
      </c>
      <c r="N102" s="387">
        <v>0</v>
      </c>
      <c r="O102" s="142">
        <f t="shared" si="9"/>
        <v>0</v>
      </c>
    </row>
    <row r="103" spans="1:15" x14ac:dyDescent="0.3">
      <c r="A103" s="102" t="s">
        <v>324</v>
      </c>
      <c r="B103" s="102" t="s">
        <v>325</v>
      </c>
      <c r="C103" s="113">
        <v>0</v>
      </c>
      <c r="D103" s="113">
        <v>0</v>
      </c>
      <c r="E103" s="113">
        <v>0</v>
      </c>
      <c r="F103" s="113">
        <v>0</v>
      </c>
      <c r="G103" s="113">
        <v>0</v>
      </c>
      <c r="H103" s="387">
        <v>0</v>
      </c>
      <c r="I103" s="387">
        <v>0</v>
      </c>
      <c r="J103" s="387">
        <v>0</v>
      </c>
      <c r="K103" s="387">
        <v>0</v>
      </c>
      <c r="L103" s="387">
        <v>0</v>
      </c>
      <c r="M103" s="387">
        <v>0</v>
      </c>
      <c r="N103" s="387">
        <v>0</v>
      </c>
      <c r="O103" s="142">
        <f t="shared" si="9"/>
        <v>0</v>
      </c>
    </row>
    <row r="104" spans="1:15" x14ac:dyDescent="0.3">
      <c r="A104" s="107" t="s">
        <v>326</v>
      </c>
      <c r="B104" s="107" t="s">
        <v>327</v>
      </c>
      <c r="C104" s="113">
        <v>0</v>
      </c>
      <c r="D104" s="113">
        <v>0</v>
      </c>
      <c r="E104" s="113">
        <v>0</v>
      </c>
      <c r="F104" s="113">
        <v>0</v>
      </c>
      <c r="G104" s="113">
        <v>0</v>
      </c>
      <c r="H104" s="387">
        <v>0</v>
      </c>
      <c r="I104" s="387">
        <v>0</v>
      </c>
      <c r="J104" s="387">
        <v>0</v>
      </c>
      <c r="K104" s="387">
        <v>0</v>
      </c>
      <c r="L104" s="387">
        <v>0</v>
      </c>
      <c r="M104" s="387">
        <v>0</v>
      </c>
      <c r="N104" s="387">
        <v>0</v>
      </c>
      <c r="O104" s="142">
        <f t="shared" si="9"/>
        <v>0</v>
      </c>
    </row>
    <row r="105" spans="1:15" x14ac:dyDescent="0.3">
      <c r="A105" s="296"/>
      <c r="B105" s="300" t="s">
        <v>382</v>
      </c>
      <c r="C105" s="333">
        <f>SUM(C54:C104)</f>
        <v>0</v>
      </c>
      <c r="D105" s="333">
        <f t="shared" ref="D105:F105" si="12">SUM(D54:D104)</f>
        <v>0</v>
      </c>
      <c r="E105" s="333">
        <f t="shared" si="12"/>
        <v>0</v>
      </c>
      <c r="F105" s="333">
        <f t="shared" si="12"/>
        <v>0</v>
      </c>
      <c r="G105" s="333">
        <f>SUM(G53:G104)</f>
        <v>0</v>
      </c>
      <c r="H105" s="499">
        <f>SUM(H53:H104)</f>
        <v>0</v>
      </c>
      <c r="I105" s="499">
        <f t="shared" ref="I105:N105" si="13">SUM(I53:I104)</f>
        <v>0</v>
      </c>
      <c r="J105" s="499">
        <f>SUM(J53:J104)</f>
        <v>0</v>
      </c>
      <c r="K105" s="499">
        <f t="shared" si="13"/>
        <v>0</v>
      </c>
      <c r="L105" s="499">
        <f t="shared" si="13"/>
        <v>0</v>
      </c>
      <c r="M105" s="499">
        <f t="shared" si="13"/>
        <v>0</v>
      </c>
      <c r="N105" s="499">
        <f t="shared" si="13"/>
        <v>0</v>
      </c>
      <c r="O105" s="145">
        <f t="shared" si="9"/>
        <v>0</v>
      </c>
    </row>
    <row r="106" spans="1:15" x14ac:dyDescent="0.3">
      <c r="A106" s="108"/>
      <c r="B106" s="109" t="s">
        <v>328</v>
      </c>
      <c r="C106" s="110"/>
      <c r="D106" s="110"/>
      <c r="E106" s="110"/>
      <c r="F106" s="110"/>
      <c r="G106" s="110"/>
      <c r="H106" s="388"/>
      <c r="I106" s="385"/>
      <c r="J106" s="385"/>
      <c r="K106" s="388"/>
      <c r="L106" s="388"/>
      <c r="M106" s="388"/>
      <c r="N106" s="388"/>
      <c r="O106" s="420"/>
    </row>
    <row r="107" spans="1:15" s="165" customFormat="1" ht="15" thickBot="1" x14ac:dyDescent="0.35">
      <c r="A107" s="162" t="s">
        <v>0</v>
      </c>
      <c r="B107" s="162" t="s">
        <v>329</v>
      </c>
      <c r="C107" s="162">
        <f>C24-(C105+C53)</f>
        <v>0</v>
      </c>
      <c r="D107" s="162">
        <f t="shared" ref="D107:O107" si="14">D24-(D105+D53)</f>
        <v>0</v>
      </c>
      <c r="E107" s="162">
        <f t="shared" si="14"/>
        <v>0</v>
      </c>
      <c r="F107" s="162">
        <f t="shared" si="14"/>
        <v>0</v>
      </c>
      <c r="G107" s="162">
        <f t="shared" si="14"/>
        <v>0</v>
      </c>
      <c r="H107" s="394">
        <f t="shared" si="14"/>
        <v>0</v>
      </c>
      <c r="I107" s="394">
        <f t="shared" si="14"/>
        <v>0</v>
      </c>
      <c r="J107" s="394">
        <f t="shared" si="14"/>
        <v>0</v>
      </c>
      <c r="K107" s="394">
        <f t="shared" si="14"/>
        <v>0</v>
      </c>
      <c r="L107" s="394">
        <f t="shared" si="14"/>
        <v>0</v>
      </c>
      <c r="M107" s="394">
        <f t="shared" si="14"/>
        <v>0</v>
      </c>
      <c r="N107" s="394">
        <f t="shared" si="14"/>
        <v>0</v>
      </c>
      <c r="O107" s="500">
        <f t="shared" si="14"/>
        <v>0</v>
      </c>
    </row>
    <row r="108" spans="1:15" ht="15" thickTop="1" x14ac:dyDescent="0.3">
      <c r="C108" s="116"/>
      <c r="D108" s="116"/>
      <c r="E108" s="116"/>
      <c r="F108" s="116"/>
      <c r="G108" s="116"/>
      <c r="H108" s="116"/>
      <c r="K108" s="116"/>
      <c r="L108" s="116"/>
      <c r="M108" s="116"/>
      <c r="N108" s="116"/>
    </row>
    <row r="109" spans="1:15" x14ac:dyDescent="0.3">
      <c r="O109" s="112" t="s">
        <v>0</v>
      </c>
    </row>
    <row r="110" spans="1:15" x14ac:dyDescent="0.3">
      <c r="I110" s="123" t="s">
        <v>0</v>
      </c>
      <c r="J110" s="123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E972-3812-4F47-85B6-F86FAEDB5CDB}">
  <sheetPr>
    <tabColor rgb="FF00B050"/>
  </sheetPr>
  <dimension ref="A1:AA136"/>
  <sheetViews>
    <sheetView zoomScale="63" zoomScaleNormal="63" workbookViewId="0">
      <selection activeCell="O47" sqref="O47"/>
    </sheetView>
  </sheetViews>
  <sheetFormatPr defaultRowHeight="14.4" x14ac:dyDescent="0.3"/>
  <cols>
    <col min="1" max="1" width="29.6640625" style="99" customWidth="1"/>
    <col min="2" max="2" width="39.88671875" style="99" customWidth="1"/>
    <col min="3" max="7" width="15.6640625" style="101" customWidth="1"/>
    <col min="8" max="8" width="8.6640625" style="101" customWidth="1"/>
    <col min="9" max="9" width="18.44140625" style="123" customWidth="1"/>
    <col min="10" max="10" width="15.6640625" style="123" customWidth="1"/>
    <col min="11" max="12" width="15.6640625" style="101" customWidth="1"/>
    <col min="13" max="13" width="12.6640625" style="101" customWidth="1"/>
    <col min="14" max="14" width="16.5546875" style="101" customWidth="1"/>
    <col min="15" max="15" width="14.88671875" style="112" customWidth="1"/>
    <col min="16" max="16" width="6.5546875" style="112" customWidth="1"/>
    <col min="17" max="17" width="13" style="99" customWidth="1"/>
    <col min="18" max="18" width="11.6640625" style="99" customWidth="1"/>
    <col min="19" max="19" width="17.88671875" style="99" customWidth="1"/>
    <col min="20" max="20" width="31.33203125" style="99" customWidth="1"/>
    <col min="21" max="21" width="14.6640625" style="99" customWidth="1"/>
    <col min="22" max="22" width="14.33203125" style="99" customWidth="1"/>
    <col min="23" max="23" width="13.44140625" style="99" customWidth="1"/>
    <col min="24" max="24" width="13.88671875" style="99" customWidth="1"/>
    <col min="25" max="25" width="13.6640625" style="99" customWidth="1"/>
    <col min="26" max="26" width="12.6640625" style="99" customWidth="1"/>
    <col min="27" max="235" width="8.88671875" style="99"/>
    <col min="236" max="236" width="16.6640625" style="99" customWidth="1"/>
    <col min="237" max="237" width="39.88671875" style="99" customWidth="1"/>
    <col min="238" max="250" width="15.6640625" style="99" customWidth="1"/>
    <col min="251" max="491" width="8.88671875" style="99"/>
    <col min="492" max="492" width="16.6640625" style="99" customWidth="1"/>
    <col min="493" max="493" width="39.88671875" style="99" customWidth="1"/>
    <col min="494" max="506" width="15.6640625" style="99" customWidth="1"/>
    <col min="507" max="747" width="8.88671875" style="99"/>
    <col min="748" max="748" width="16.6640625" style="99" customWidth="1"/>
    <col min="749" max="749" width="39.88671875" style="99" customWidth="1"/>
    <col min="750" max="762" width="15.6640625" style="99" customWidth="1"/>
    <col min="763" max="1003" width="8.88671875" style="99"/>
    <col min="1004" max="1004" width="16.6640625" style="99" customWidth="1"/>
    <col min="1005" max="1005" width="39.88671875" style="99" customWidth="1"/>
    <col min="1006" max="1018" width="15.6640625" style="99" customWidth="1"/>
    <col min="1019" max="1259" width="8.88671875" style="99"/>
    <col min="1260" max="1260" width="16.6640625" style="99" customWidth="1"/>
    <col min="1261" max="1261" width="39.88671875" style="99" customWidth="1"/>
    <col min="1262" max="1274" width="15.6640625" style="99" customWidth="1"/>
    <col min="1275" max="1515" width="8.88671875" style="99"/>
    <col min="1516" max="1516" width="16.6640625" style="99" customWidth="1"/>
    <col min="1517" max="1517" width="39.88671875" style="99" customWidth="1"/>
    <col min="1518" max="1530" width="15.6640625" style="99" customWidth="1"/>
    <col min="1531" max="1771" width="8.88671875" style="99"/>
    <col min="1772" max="1772" width="16.6640625" style="99" customWidth="1"/>
    <col min="1773" max="1773" width="39.88671875" style="99" customWidth="1"/>
    <col min="1774" max="1786" width="15.6640625" style="99" customWidth="1"/>
    <col min="1787" max="2027" width="8.88671875" style="99"/>
    <col min="2028" max="2028" width="16.6640625" style="99" customWidth="1"/>
    <col min="2029" max="2029" width="39.88671875" style="99" customWidth="1"/>
    <col min="2030" max="2042" width="15.6640625" style="99" customWidth="1"/>
    <col min="2043" max="2283" width="8.88671875" style="99"/>
    <col min="2284" max="2284" width="16.6640625" style="99" customWidth="1"/>
    <col min="2285" max="2285" width="39.88671875" style="99" customWidth="1"/>
    <col min="2286" max="2298" width="15.6640625" style="99" customWidth="1"/>
    <col min="2299" max="2539" width="8.88671875" style="99"/>
    <col min="2540" max="2540" width="16.6640625" style="99" customWidth="1"/>
    <col min="2541" max="2541" width="39.88671875" style="99" customWidth="1"/>
    <col min="2542" max="2554" width="15.6640625" style="99" customWidth="1"/>
    <col min="2555" max="2795" width="8.88671875" style="99"/>
    <col min="2796" max="2796" width="16.6640625" style="99" customWidth="1"/>
    <col min="2797" max="2797" width="39.88671875" style="99" customWidth="1"/>
    <col min="2798" max="2810" width="15.6640625" style="99" customWidth="1"/>
    <col min="2811" max="3051" width="8.88671875" style="99"/>
    <col min="3052" max="3052" width="16.6640625" style="99" customWidth="1"/>
    <col min="3053" max="3053" width="39.88671875" style="99" customWidth="1"/>
    <col min="3054" max="3066" width="15.6640625" style="99" customWidth="1"/>
    <col min="3067" max="3307" width="8.88671875" style="99"/>
    <col min="3308" max="3308" width="16.6640625" style="99" customWidth="1"/>
    <col min="3309" max="3309" width="39.88671875" style="99" customWidth="1"/>
    <col min="3310" max="3322" width="15.6640625" style="99" customWidth="1"/>
    <col min="3323" max="3563" width="8.88671875" style="99"/>
    <col min="3564" max="3564" width="16.6640625" style="99" customWidth="1"/>
    <col min="3565" max="3565" width="39.88671875" style="99" customWidth="1"/>
    <col min="3566" max="3578" width="15.6640625" style="99" customWidth="1"/>
    <col min="3579" max="3819" width="8.88671875" style="99"/>
    <col min="3820" max="3820" width="16.6640625" style="99" customWidth="1"/>
    <col min="3821" max="3821" width="39.88671875" style="99" customWidth="1"/>
    <col min="3822" max="3834" width="15.6640625" style="99" customWidth="1"/>
    <col min="3835" max="4075" width="8.88671875" style="99"/>
    <col min="4076" max="4076" width="16.6640625" style="99" customWidth="1"/>
    <col min="4077" max="4077" width="39.88671875" style="99" customWidth="1"/>
    <col min="4078" max="4090" width="15.6640625" style="99" customWidth="1"/>
    <col min="4091" max="4331" width="8.88671875" style="99"/>
    <col min="4332" max="4332" width="16.6640625" style="99" customWidth="1"/>
    <col min="4333" max="4333" width="39.88671875" style="99" customWidth="1"/>
    <col min="4334" max="4346" width="15.6640625" style="99" customWidth="1"/>
    <col min="4347" max="4587" width="8.88671875" style="99"/>
    <col min="4588" max="4588" width="16.6640625" style="99" customWidth="1"/>
    <col min="4589" max="4589" width="39.88671875" style="99" customWidth="1"/>
    <col min="4590" max="4602" width="15.6640625" style="99" customWidth="1"/>
    <col min="4603" max="4843" width="8.88671875" style="99"/>
    <col min="4844" max="4844" width="16.6640625" style="99" customWidth="1"/>
    <col min="4845" max="4845" width="39.88671875" style="99" customWidth="1"/>
    <col min="4846" max="4858" width="15.6640625" style="99" customWidth="1"/>
    <col min="4859" max="5099" width="8.88671875" style="99"/>
    <col min="5100" max="5100" width="16.6640625" style="99" customWidth="1"/>
    <col min="5101" max="5101" width="39.88671875" style="99" customWidth="1"/>
    <col min="5102" max="5114" width="15.6640625" style="99" customWidth="1"/>
    <col min="5115" max="5355" width="8.88671875" style="99"/>
    <col min="5356" max="5356" width="16.6640625" style="99" customWidth="1"/>
    <col min="5357" max="5357" width="39.88671875" style="99" customWidth="1"/>
    <col min="5358" max="5370" width="15.6640625" style="99" customWidth="1"/>
    <col min="5371" max="5611" width="8.88671875" style="99"/>
    <col min="5612" max="5612" width="16.6640625" style="99" customWidth="1"/>
    <col min="5613" max="5613" width="39.88671875" style="99" customWidth="1"/>
    <col min="5614" max="5626" width="15.6640625" style="99" customWidth="1"/>
    <col min="5627" max="5867" width="8.88671875" style="99"/>
    <col min="5868" max="5868" width="16.6640625" style="99" customWidth="1"/>
    <col min="5869" max="5869" width="39.88671875" style="99" customWidth="1"/>
    <col min="5870" max="5882" width="15.6640625" style="99" customWidth="1"/>
    <col min="5883" max="6123" width="8.88671875" style="99"/>
    <col min="6124" max="6124" width="16.6640625" style="99" customWidth="1"/>
    <col min="6125" max="6125" width="39.88671875" style="99" customWidth="1"/>
    <col min="6126" max="6138" width="15.6640625" style="99" customWidth="1"/>
    <col min="6139" max="6379" width="8.88671875" style="99"/>
    <col min="6380" max="6380" width="16.6640625" style="99" customWidth="1"/>
    <col min="6381" max="6381" width="39.88671875" style="99" customWidth="1"/>
    <col min="6382" max="6394" width="15.6640625" style="99" customWidth="1"/>
    <col min="6395" max="6635" width="8.88671875" style="99"/>
    <col min="6636" max="6636" width="16.6640625" style="99" customWidth="1"/>
    <col min="6637" max="6637" width="39.88671875" style="99" customWidth="1"/>
    <col min="6638" max="6650" width="15.6640625" style="99" customWidth="1"/>
    <col min="6651" max="6891" width="8.88671875" style="99"/>
    <col min="6892" max="6892" width="16.6640625" style="99" customWidth="1"/>
    <col min="6893" max="6893" width="39.88671875" style="99" customWidth="1"/>
    <col min="6894" max="6906" width="15.6640625" style="99" customWidth="1"/>
    <col min="6907" max="7147" width="8.88671875" style="99"/>
    <col min="7148" max="7148" width="16.6640625" style="99" customWidth="1"/>
    <col min="7149" max="7149" width="39.88671875" style="99" customWidth="1"/>
    <col min="7150" max="7162" width="15.6640625" style="99" customWidth="1"/>
    <col min="7163" max="7403" width="8.88671875" style="99"/>
    <col min="7404" max="7404" width="16.6640625" style="99" customWidth="1"/>
    <col min="7405" max="7405" width="39.88671875" style="99" customWidth="1"/>
    <col min="7406" max="7418" width="15.6640625" style="99" customWidth="1"/>
    <col min="7419" max="7659" width="8.88671875" style="99"/>
    <col min="7660" max="7660" width="16.6640625" style="99" customWidth="1"/>
    <col min="7661" max="7661" width="39.88671875" style="99" customWidth="1"/>
    <col min="7662" max="7674" width="15.6640625" style="99" customWidth="1"/>
    <col min="7675" max="7915" width="8.88671875" style="99"/>
    <col min="7916" max="7916" width="16.6640625" style="99" customWidth="1"/>
    <col min="7917" max="7917" width="39.88671875" style="99" customWidth="1"/>
    <col min="7918" max="7930" width="15.6640625" style="99" customWidth="1"/>
    <col min="7931" max="8171" width="8.88671875" style="99"/>
    <col min="8172" max="8172" width="16.6640625" style="99" customWidth="1"/>
    <col min="8173" max="8173" width="39.88671875" style="99" customWidth="1"/>
    <col min="8174" max="8186" width="15.6640625" style="99" customWidth="1"/>
    <col min="8187" max="8427" width="8.88671875" style="99"/>
    <col min="8428" max="8428" width="16.6640625" style="99" customWidth="1"/>
    <col min="8429" max="8429" width="39.88671875" style="99" customWidth="1"/>
    <col min="8430" max="8442" width="15.6640625" style="99" customWidth="1"/>
    <col min="8443" max="8683" width="8.88671875" style="99"/>
    <col min="8684" max="8684" width="16.6640625" style="99" customWidth="1"/>
    <col min="8685" max="8685" width="39.88671875" style="99" customWidth="1"/>
    <col min="8686" max="8698" width="15.6640625" style="99" customWidth="1"/>
    <col min="8699" max="8939" width="8.88671875" style="99"/>
    <col min="8940" max="8940" width="16.6640625" style="99" customWidth="1"/>
    <col min="8941" max="8941" width="39.88671875" style="99" customWidth="1"/>
    <col min="8942" max="8954" width="15.6640625" style="99" customWidth="1"/>
    <col min="8955" max="9195" width="8.88671875" style="99"/>
    <col min="9196" max="9196" width="16.6640625" style="99" customWidth="1"/>
    <col min="9197" max="9197" width="39.88671875" style="99" customWidth="1"/>
    <col min="9198" max="9210" width="15.6640625" style="99" customWidth="1"/>
    <col min="9211" max="9451" width="8.88671875" style="99"/>
    <col min="9452" max="9452" width="16.6640625" style="99" customWidth="1"/>
    <col min="9453" max="9453" width="39.88671875" style="99" customWidth="1"/>
    <col min="9454" max="9466" width="15.6640625" style="99" customWidth="1"/>
    <col min="9467" max="9707" width="8.88671875" style="99"/>
    <col min="9708" max="9708" width="16.6640625" style="99" customWidth="1"/>
    <col min="9709" max="9709" width="39.88671875" style="99" customWidth="1"/>
    <col min="9710" max="9722" width="15.6640625" style="99" customWidth="1"/>
    <col min="9723" max="9963" width="8.88671875" style="99"/>
    <col min="9964" max="9964" width="16.6640625" style="99" customWidth="1"/>
    <col min="9965" max="9965" width="39.88671875" style="99" customWidth="1"/>
    <col min="9966" max="9978" width="15.6640625" style="99" customWidth="1"/>
    <col min="9979" max="10219" width="8.88671875" style="99"/>
    <col min="10220" max="10220" width="16.6640625" style="99" customWidth="1"/>
    <col min="10221" max="10221" width="39.88671875" style="99" customWidth="1"/>
    <col min="10222" max="10234" width="15.6640625" style="99" customWidth="1"/>
    <col min="10235" max="10475" width="8.88671875" style="99"/>
    <col min="10476" max="10476" width="16.6640625" style="99" customWidth="1"/>
    <col min="10477" max="10477" width="39.88671875" style="99" customWidth="1"/>
    <col min="10478" max="10490" width="15.6640625" style="99" customWidth="1"/>
    <col min="10491" max="10731" width="8.88671875" style="99"/>
    <col min="10732" max="10732" width="16.6640625" style="99" customWidth="1"/>
    <col min="10733" max="10733" width="39.88671875" style="99" customWidth="1"/>
    <col min="10734" max="10746" width="15.6640625" style="99" customWidth="1"/>
    <col min="10747" max="10987" width="8.88671875" style="99"/>
    <col min="10988" max="10988" width="16.6640625" style="99" customWidth="1"/>
    <col min="10989" max="10989" width="39.88671875" style="99" customWidth="1"/>
    <col min="10990" max="11002" width="15.6640625" style="99" customWidth="1"/>
    <col min="11003" max="11243" width="8.88671875" style="99"/>
    <col min="11244" max="11244" width="16.6640625" style="99" customWidth="1"/>
    <col min="11245" max="11245" width="39.88671875" style="99" customWidth="1"/>
    <col min="11246" max="11258" width="15.6640625" style="99" customWidth="1"/>
    <col min="11259" max="11499" width="8.88671875" style="99"/>
    <col min="11500" max="11500" width="16.6640625" style="99" customWidth="1"/>
    <col min="11501" max="11501" width="39.88671875" style="99" customWidth="1"/>
    <col min="11502" max="11514" width="15.6640625" style="99" customWidth="1"/>
    <col min="11515" max="11755" width="8.88671875" style="99"/>
    <col min="11756" max="11756" width="16.6640625" style="99" customWidth="1"/>
    <col min="11757" max="11757" width="39.88671875" style="99" customWidth="1"/>
    <col min="11758" max="11770" width="15.6640625" style="99" customWidth="1"/>
    <col min="11771" max="12011" width="8.88671875" style="99"/>
    <col min="12012" max="12012" width="16.6640625" style="99" customWidth="1"/>
    <col min="12013" max="12013" width="39.88671875" style="99" customWidth="1"/>
    <col min="12014" max="12026" width="15.6640625" style="99" customWidth="1"/>
    <col min="12027" max="12267" width="8.88671875" style="99"/>
    <col min="12268" max="12268" width="16.6640625" style="99" customWidth="1"/>
    <col min="12269" max="12269" width="39.88671875" style="99" customWidth="1"/>
    <col min="12270" max="12282" width="15.6640625" style="99" customWidth="1"/>
    <col min="12283" max="12523" width="8.88671875" style="99"/>
    <col min="12524" max="12524" width="16.6640625" style="99" customWidth="1"/>
    <col min="12525" max="12525" width="39.88671875" style="99" customWidth="1"/>
    <col min="12526" max="12538" width="15.6640625" style="99" customWidth="1"/>
    <col min="12539" max="12779" width="8.88671875" style="99"/>
    <col min="12780" max="12780" width="16.6640625" style="99" customWidth="1"/>
    <col min="12781" max="12781" width="39.88671875" style="99" customWidth="1"/>
    <col min="12782" max="12794" width="15.6640625" style="99" customWidth="1"/>
    <col min="12795" max="13035" width="8.88671875" style="99"/>
    <col min="13036" max="13036" width="16.6640625" style="99" customWidth="1"/>
    <col min="13037" max="13037" width="39.88671875" style="99" customWidth="1"/>
    <col min="13038" max="13050" width="15.6640625" style="99" customWidth="1"/>
    <col min="13051" max="13291" width="8.88671875" style="99"/>
    <col min="13292" max="13292" width="16.6640625" style="99" customWidth="1"/>
    <col min="13293" max="13293" width="39.88671875" style="99" customWidth="1"/>
    <col min="13294" max="13306" width="15.6640625" style="99" customWidth="1"/>
    <col min="13307" max="13547" width="8.88671875" style="99"/>
    <col min="13548" max="13548" width="16.6640625" style="99" customWidth="1"/>
    <col min="13549" max="13549" width="39.88671875" style="99" customWidth="1"/>
    <col min="13550" max="13562" width="15.6640625" style="99" customWidth="1"/>
    <col min="13563" max="13803" width="8.88671875" style="99"/>
    <col min="13804" max="13804" width="16.6640625" style="99" customWidth="1"/>
    <col min="13805" max="13805" width="39.88671875" style="99" customWidth="1"/>
    <col min="13806" max="13818" width="15.6640625" style="99" customWidth="1"/>
    <col min="13819" max="14059" width="8.88671875" style="99"/>
    <col min="14060" max="14060" width="16.6640625" style="99" customWidth="1"/>
    <col min="14061" max="14061" width="39.88671875" style="99" customWidth="1"/>
    <col min="14062" max="14074" width="15.6640625" style="99" customWidth="1"/>
    <col min="14075" max="14315" width="8.88671875" style="99"/>
    <col min="14316" max="14316" width="16.6640625" style="99" customWidth="1"/>
    <col min="14317" max="14317" width="39.88671875" style="99" customWidth="1"/>
    <col min="14318" max="14330" width="15.6640625" style="99" customWidth="1"/>
    <col min="14331" max="14571" width="8.88671875" style="99"/>
    <col min="14572" max="14572" width="16.6640625" style="99" customWidth="1"/>
    <col min="14573" max="14573" width="39.88671875" style="99" customWidth="1"/>
    <col min="14574" max="14586" width="15.6640625" style="99" customWidth="1"/>
    <col min="14587" max="14827" width="8.88671875" style="99"/>
    <col min="14828" max="14828" width="16.6640625" style="99" customWidth="1"/>
    <col min="14829" max="14829" width="39.88671875" style="99" customWidth="1"/>
    <col min="14830" max="14842" width="15.6640625" style="99" customWidth="1"/>
    <col min="14843" max="15083" width="8.88671875" style="99"/>
    <col min="15084" max="15084" width="16.6640625" style="99" customWidth="1"/>
    <col min="15085" max="15085" width="39.88671875" style="99" customWidth="1"/>
    <col min="15086" max="15098" width="15.6640625" style="99" customWidth="1"/>
    <col min="15099" max="15339" width="8.88671875" style="99"/>
    <col min="15340" max="15340" width="16.6640625" style="99" customWidth="1"/>
    <col min="15341" max="15341" width="39.88671875" style="99" customWidth="1"/>
    <col min="15342" max="15354" width="15.6640625" style="99" customWidth="1"/>
    <col min="15355" max="15595" width="8.88671875" style="99"/>
    <col min="15596" max="15596" width="16.6640625" style="99" customWidth="1"/>
    <col min="15597" max="15597" width="39.88671875" style="99" customWidth="1"/>
    <col min="15598" max="15610" width="15.6640625" style="99" customWidth="1"/>
    <col min="15611" max="15851" width="8.88671875" style="99"/>
    <col min="15852" max="15852" width="16.6640625" style="99" customWidth="1"/>
    <col min="15853" max="15853" width="39.88671875" style="99" customWidth="1"/>
    <col min="15854" max="15866" width="15.6640625" style="99" customWidth="1"/>
    <col min="15867" max="16107" width="8.88671875" style="99"/>
    <col min="16108" max="16108" width="16.6640625" style="99" customWidth="1"/>
    <col min="16109" max="16109" width="39.88671875" style="99" customWidth="1"/>
    <col min="16110" max="16122" width="15.6640625" style="99" customWidth="1"/>
    <col min="16123" max="16384" width="8.88671875" style="99"/>
  </cols>
  <sheetData>
    <row r="1" spans="1:27" x14ac:dyDescent="0.3">
      <c r="A1" s="293"/>
      <c r="B1" s="294"/>
      <c r="C1" s="380" t="s">
        <v>123</v>
      </c>
      <c r="D1" s="380" t="s">
        <v>124</v>
      </c>
      <c r="E1" s="380" t="s">
        <v>125</v>
      </c>
      <c r="F1" s="380" t="s">
        <v>126</v>
      </c>
      <c r="G1" s="380" t="s">
        <v>127</v>
      </c>
      <c r="H1" s="240" t="s">
        <v>128</v>
      </c>
      <c r="I1" s="241" t="s">
        <v>129</v>
      </c>
      <c r="J1" s="241" t="s">
        <v>130</v>
      </c>
      <c r="K1" s="240" t="s">
        <v>131</v>
      </c>
      <c r="L1" s="240" t="s">
        <v>132</v>
      </c>
      <c r="M1" s="240" t="s">
        <v>133</v>
      </c>
      <c r="N1" s="240" t="s">
        <v>134</v>
      </c>
      <c r="O1" s="141" t="s">
        <v>10</v>
      </c>
      <c r="P1" s="332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7" ht="15" thickBot="1" x14ac:dyDescent="0.35">
      <c r="A2" s="210" t="s">
        <v>135</v>
      </c>
      <c r="B2" s="210" t="s">
        <v>136</v>
      </c>
      <c r="C2" s="372">
        <f t="shared" ref="C2:H2" si="0">U5</f>
        <v>92596.77</v>
      </c>
      <c r="D2" s="372">
        <f t="shared" si="0"/>
        <v>83701.14</v>
      </c>
      <c r="E2" s="372">
        <f t="shared" si="0"/>
        <v>77280.75</v>
      </c>
      <c r="F2" s="372">
        <f t="shared" si="0"/>
        <v>75262.13</v>
      </c>
      <c r="G2" s="372">
        <f t="shared" si="0"/>
        <v>80698.63</v>
      </c>
      <c r="H2" s="103">
        <f t="shared" si="0"/>
        <v>0</v>
      </c>
      <c r="I2" s="103">
        <v>0</v>
      </c>
      <c r="J2" s="103">
        <v>0</v>
      </c>
      <c r="K2" s="103">
        <v>0</v>
      </c>
      <c r="L2" s="103">
        <v>0</v>
      </c>
      <c r="M2" s="103">
        <v>0</v>
      </c>
      <c r="N2" s="103">
        <v>0</v>
      </c>
      <c r="O2" s="348">
        <f>SUM(C2:N2)</f>
        <v>409539.42000000004</v>
      </c>
      <c r="P2" s="333"/>
      <c r="Q2" s="283"/>
      <c r="R2" s="283"/>
      <c r="S2" s="283"/>
      <c r="T2" s="283"/>
      <c r="U2" s="284" t="s">
        <v>383</v>
      </c>
      <c r="V2" s="284" t="s">
        <v>384</v>
      </c>
      <c r="W2" s="284" t="s">
        <v>385</v>
      </c>
      <c r="X2" s="284" t="s">
        <v>386</v>
      </c>
      <c r="Y2" s="284" t="s">
        <v>387</v>
      </c>
      <c r="Z2" s="321"/>
    </row>
    <row r="3" spans="1:27" ht="15" thickTop="1" x14ac:dyDescent="0.3">
      <c r="A3" s="210" t="s">
        <v>137</v>
      </c>
      <c r="B3" s="210" t="s">
        <v>138</v>
      </c>
      <c r="C3" s="372">
        <f>U11</f>
        <v>20372</v>
      </c>
      <c r="D3" s="372">
        <f>V11</f>
        <v>22622.5</v>
      </c>
      <c r="E3" s="372">
        <f>W11</f>
        <v>23574.5</v>
      </c>
      <c r="F3" s="372">
        <f>X11</f>
        <v>37488.33</v>
      </c>
      <c r="G3" s="372">
        <f>Y11</f>
        <v>36969.67</v>
      </c>
      <c r="H3" s="103">
        <v>0</v>
      </c>
      <c r="I3" s="103">
        <v>0</v>
      </c>
      <c r="J3" s="103">
        <v>0</v>
      </c>
      <c r="K3" s="103">
        <v>0</v>
      </c>
      <c r="L3" s="103">
        <v>0</v>
      </c>
      <c r="M3" s="103">
        <v>0</v>
      </c>
      <c r="N3" s="103">
        <v>0</v>
      </c>
      <c r="O3" s="348">
        <f t="shared" ref="O3:O22" si="1">SUM(C3:N3)</f>
        <v>141027</v>
      </c>
      <c r="P3" s="333"/>
      <c r="Q3" s="285"/>
      <c r="R3" s="285"/>
      <c r="S3" s="285"/>
      <c r="T3" s="285"/>
      <c r="U3" s="278"/>
      <c r="V3" s="278"/>
      <c r="W3" s="278"/>
      <c r="X3" s="278"/>
      <c r="Y3" s="278"/>
      <c r="Z3" s="322"/>
    </row>
    <row r="4" spans="1:27" x14ac:dyDescent="0.3">
      <c r="A4" s="210" t="s">
        <v>139</v>
      </c>
      <c r="B4" s="210" t="s">
        <v>140</v>
      </c>
      <c r="C4" s="372">
        <f>U6</f>
        <v>10076.11</v>
      </c>
      <c r="D4" s="372">
        <f>V6</f>
        <v>13672.5</v>
      </c>
      <c r="E4" s="372">
        <f>W6</f>
        <v>18753</v>
      </c>
      <c r="F4" s="372">
        <f>X6</f>
        <v>9003.32</v>
      </c>
      <c r="G4" s="372">
        <f>Y6</f>
        <v>15422.74</v>
      </c>
      <c r="H4" s="103">
        <v>0</v>
      </c>
      <c r="I4" s="103">
        <v>0</v>
      </c>
      <c r="J4" s="103">
        <v>0</v>
      </c>
      <c r="K4" s="103">
        <v>0</v>
      </c>
      <c r="L4" s="103">
        <v>0</v>
      </c>
      <c r="M4" s="103">
        <v>0</v>
      </c>
      <c r="N4" s="103">
        <v>0</v>
      </c>
      <c r="O4" s="348">
        <f t="shared" si="1"/>
        <v>66927.67</v>
      </c>
      <c r="P4" s="333"/>
      <c r="Q4" s="285"/>
      <c r="R4" s="285" t="s">
        <v>388</v>
      </c>
      <c r="S4" s="285"/>
      <c r="T4" s="285"/>
      <c r="U4" s="278"/>
      <c r="V4" s="278"/>
      <c r="W4" s="278"/>
      <c r="X4" s="278"/>
      <c r="Y4" s="278"/>
      <c r="Z4" s="322"/>
    </row>
    <row r="5" spans="1:27" x14ac:dyDescent="0.3">
      <c r="A5" s="210">
        <v>408006</v>
      </c>
      <c r="B5" s="210" t="s">
        <v>141</v>
      </c>
      <c r="C5" s="372">
        <v>0</v>
      </c>
      <c r="D5" s="372">
        <v>0</v>
      </c>
      <c r="E5" s="372">
        <v>0</v>
      </c>
      <c r="F5" s="372">
        <v>0</v>
      </c>
      <c r="G5" s="372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348">
        <f t="shared" si="1"/>
        <v>0</v>
      </c>
      <c r="P5" s="333"/>
      <c r="Q5" s="285"/>
      <c r="R5" s="285"/>
      <c r="S5" s="285" t="s">
        <v>389</v>
      </c>
      <c r="T5" s="285"/>
      <c r="U5" s="281">
        <v>92596.77</v>
      </c>
      <c r="V5" s="281">
        <v>83701.14</v>
      </c>
      <c r="W5" s="281">
        <v>77280.75</v>
      </c>
      <c r="X5" s="281">
        <v>75262.13</v>
      </c>
      <c r="Y5" s="281">
        <v>80698.63</v>
      </c>
      <c r="Z5" s="322"/>
    </row>
    <row r="6" spans="1:27" x14ac:dyDescent="0.3">
      <c r="A6" s="210" t="s">
        <v>142</v>
      </c>
      <c r="B6" s="210" t="s">
        <v>143</v>
      </c>
      <c r="C6" s="372">
        <f>U10</f>
        <v>2015</v>
      </c>
      <c r="D6" s="372">
        <f t="shared" ref="D6:G6" si="2">V10</f>
        <v>0</v>
      </c>
      <c r="E6" s="372">
        <f t="shared" si="2"/>
        <v>0</v>
      </c>
      <c r="F6" s="372">
        <f t="shared" si="2"/>
        <v>2600</v>
      </c>
      <c r="G6" s="372">
        <f t="shared" si="2"/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348">
        <f t="shared" si="1"/>
        <v>4615</v>
      </c>
      <c r="P6" s="333"/>
      <c r="Q6" s="285"/>
      <c r="R6" s="285"/>
      <c r="S6" s="285" t="s">
        <v>390</v>
      </c>
      <c r="T6" s="285"/>
      <c r="U6" s="281">
        <v>10076.11</v>
      </c>
      <c r="V6" s="281">
        <v>13672.5</v>
      </c>
      <c r="W6" s="281">
        <v>18753</v>
      </c>
      <c r="X6" s="281">
        <v>9003.32</v>
      </c>
      <c r="Y6" s="281">
        <v>15422.74</v>
      </c>
      <c r="Z6" s="322"/>
    </row>
    <row r="7" spans="1:27" x14ac:dyDescent="0.3">
      <c r="A7" s="293"/>
      <c r="B7" s="297" t="s">
        <v>144</v>
      </c>
      <c r="C7" s="488">
        <f>SUM(C2:C6)</f>
        <v>125059.88</v>
      </c>
      <c r="D7" s="488">
        <f t="shared" ref="D7:O7" si="3">SUM(D2:D6)</f>
        <v>119996.14</v>
      </c>
      <c r="E7" s="488">
        <f t="shared" si="3"/>
        <v>119608.25</v>
      </c>
      <c r="F7" s="488">
        <f t="shared" si="3"/>
        <v>124353.78</v>
      </c>
      <c r="G7" s="488">
        <f t="shared" si="3"/>
        <v>133091.04</v>
      </c>
      <c r="H7" s="339">
        <f t="shared" si="3"/>
        <v>0</v>
      </c>
      <c r="I7" s="339">
        <f t="shared" si="3"/>
        <v>0</v>
      </c>
      <c r="J7" s="339">
        <f t="shared" si="3"/>
        <v>0</v>
      </c>
      <c r="K7" s="339">
        <f t="shared" si="3"/>
        <v>0</v>
      </c>
      <c r="L7" s="339">
        <f t="shared" si="3"/>
        <v>0</v>
      </c>
      <c r="M7" s="339">
        <f t="shared" si="3"/>
        <v>0</v>
      </c>
      <c r="N7" s="339">
        <f t="shared" si="3"/>
        <v>0</v>
      </c>
      <c r="O7" s="489">
        <f t="shared" si="3"/>
        <v>622109.09000000008</v>
      </c>
      <c r="P7" s="103"/>
      <c r="Q7" s="285"/>
      <c r="R7" s="285"/>
      <c r="S7" s="285" t="s">
        <v>391</v>
      </c>
      <c r="T7" s="285"/>
      <c r="U7" s="278"/>
      <c r="V7" s="278"/>
      <c r="W7" s="278"/>
      <c r="X7" s="278"/>
      <c r="Y7" s="278"/>
      <c r="Z7" s="322"/>
    </row>
    <row r="8" spans="1:27" x14ac:dyDescent="0.3">
      <c r="A8" s="210" t="s">
        <v>145</v>
      </c>
      <c r="B8" s="210" t="s">
        <v>146</v>
      </c>
      <c r="C8" s="372">
        <v>0</v>
      </c>
      <c r="D8" s="372">
        <v>0</v>
      </c>
      <c r="E8" s="372">
        <v>0</v>
      </c>
      <c r="F8" s="372">
        <v>0</v>
      </c>
      <c r="G8" s="372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348">
        <f t="shared" si="1"/>
        <v>0</v>
      </c>
      <c r="P8" s="333"/>
      <c r="Q8" s="285"/>
      <c r="R8" s="285"/>
      <c r="S8" s="285"/>
      <c r="T8" s="285" t="s">
        <v>392</v>
      </c>
      <c r="U8" s="278">
        <v>2015</v>
      </c>
      <c r="V8" s="278">
        <v>0</v>
      </c>
      <c r="W8" s="278">
        <v>0</v>
      </c>
      <c r="X8" s="278">
        <v>0</v>
      </c>
      <c r="Y8" s="278">
        <v>0</v>
      </c>
      <c r="Z8" s="322"/>
    </row>
    <row r="9" spans="1:27" ht="15" thickBot="1" x14ac:dyDescent="0.35">
      <c r="A9" s="210">
        <v>450000</v>
      </c>
      <c r="B9" s="330" t="s">
        <v>147</v>
      </c>
      <c r="C9" s="372">
        <f>U12</f>
        <v>0</v>
      </c>
      <c r="D9" s="372">
        <f t="shared" ref="D9:G9" si="4">V12</f>
        <v>0</v>
      </c>
      <c r="E9" s="372">
        <f t="shared" si="4"/>
        <v>0</v>
      </c>
      <c r="F9" s="372">
        <f t="shared" si="4"/>
        <v>0</v>
      </c>
      <c r="G9" s="372">
        <f t="shared" si="4"/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348">
        <f t="shared" si="1"/>
        <v>0</v>
      </c>
      <c r="P9" s="333"/>
      <c r="Q9" s="285"/>
      <c r="R9" s="285"/>
      <c r="S9" s="285"/>
      <c r="T9" s="285" t="s">
        <v>393</v>
      </c>
      <c r="U9" s="286">
        <v>0</v>
      </c>
      <c r="V9" s="286">
        <v>0</v>
      </c>
      <c r="W9" s="286">
        <v>0</v>
      </c>
      <c r="X9" s="286">
        <v>2600</v>
      </c>
      <c r="Y9" s="286">
        <v>0</v>
      </c>
      <c r="Z9" s="322"/>
    </row>
    <row r="10" spans="1:27" x14ac:dyDescent="0.3">
      <c r="A10" s="210" t="s">
        <v>148</v>
      </c>
      <c r="B10" s="210" t="s">
        <v>149</v>
      </c>
      <c r="C10" s="372">
        <v>0</v>
      </c>
      <c r="D10" s="372">
        <v>0</v>
      </c>
      <c r="E10" s="372">
        <v>0</v>
      </c>
      <c r="F10" s="372">
        <v>0</v>
      </c>
      <c r="G10" s="372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348">
        <f t="shared" si="1"/>
        <v>0</v>
      </c>
      <c r="P10" s="333"/>
      <c r="Q10" s="285"/>
      <c r="R10" s="285"/>
      <c r="S10" s="285" t="s">
        <v>394</v>
      </c>
      <c r="T10" s="285"/>
      <c r="U10" s="281">
        <v>2015</v>
      </c>
      <c r="V10" s="281">
        <v>0</v>
      </c>
      <c r="W10" s="281">
        <v>0</v>
      </c>
      <c r="X10" s="281">
        <v>2600</v>
      </c>
      <c r="Y10" s="281">
        <v>0</v>
      </c>
      <c r="Z10" s="322"/>
    </row>
    <row r="11" spans="1:27" x14ac:dyDescent="0.3">
      <c r="A11" s="210" t="s">
        <v>150</v>
      </c>
      <c r="B11" s="210" t="s">
        <v>151</v>
      </c>
      <c r="C11" s="372">
        <f>U13</f>
        <v>4950</v>
      </c>
      <c r="D11" s="372">
        <f t="shared" ref="D11:G11" si="5">V13</f>
        <v>5250</v>
      </c>
      <c r="E11" s="372">
        <f t="shared" si="5"/>
        <v>5200</v>
      </c>
      <c r="F11" s="372">
        <f t="shared" si="5"/>
        <v>5450</v>
      </c>
      <c r="G11" s="372">
        <f t="shared" si="5"/>
        <v>5900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348">
        <f t="shared" si="1"/>
        <v>26750</v>
      </c>
      <c r="P11" s="333"/>
      <c r="Q11" s="285"/>
      <c r="R11" s="285"/>
      <c r="S11" s="285" t="s">
        <v>395</v>
      </c>
      <c r="T11" s="285"/>
      <c r="U11" s="281">
        <v>20372</v>
      </c>
      <c r="V11" s="281">
        <v>22622.5</v>
      </c>
      <c r="W11" s="281">
        <v>23574.5</v>
      </c>
      <c r="X11" s="281">
        <v>37488.33</v>
      </c>
      <c r="Y11" s="281">
        <v>36969.67</v>
      </c>
      <c r="Z11" s="322"/>
    </row>
    <row r="12" spans="1:27" x14ac:dyDescent="0.3">
      <c r="A12" s="210" t="s">
        <v>152</v>
      </c>
      <c r="B12" s="210" t="s">
        <v>153</v>
      </c>
      <c r="C12" s="372">
        <f>U17</f>
        <v>2370</v>
      </c>
      <c r="D12" s="372">
        <f t="shared" ref="D12:G12" si="6">V17</f>
        <v>3950</v>
      </c>
      <c r="E12" s="372">
        <f t="shared" si="6"/>
        <v>3220</v>
      </c>
      <c r="F12" s="372">
        <f t="shared" si="6"/>
        <v>3460</v>
      </c>
      <c r="G12" s="372">
        <f t="shared" si="6"/>
        <v>3590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348">
        <f t="shared" si="1"/>
        <v>16590</v>
      </c>
      <c r="P12" s="333"/>
      <c r="Q12" s="285"/>
      <c r="R12" s="285"/>
      <c r="S12" s="331" t="s">
        <v>396</v>
      </c>
      <c r="T12" s="285"/>
      <c r="U12" s="278">
        <v>0</v>
      </c>
      <c r="V12" s="278">
        <v>0</v>
      </c>
      <c r="W12" s="278">
        <v>0</v>
      </c>
      <c r="X12" s="278">
        <v>0</v>
      </c>
      <c r="Y12" s="278">
        <v>0</v>
      </c>
      <c r="Z12" s="322"/>
    </row>
    <row r="13" spans="1:27" x14ac:dyDescent="0.3">
      <c r="A13" s="210" t="s">
        <v>154</v>
      </c>
      <c r="B13" s="210" t="s">
        <v>155</v>
      </c>
      <c r="C13" s="372">
        <f>U18</f>
        <v>1597.05</v>
      </c>
      <c r="D13" s="372">
        <f t="shared" ref="D13:G13" si="7">V18</f>
        <v>2578</v>
      </c>
      <c r="E13" s="372">
        <f t="shared" si="7"/>
        <v>1548</v>
      </c>
      <c r="F13" s="372">
        <f t="shared" si="7"/>
        <v>-3015.85</v>
      </c>
      <c r="G13" s="372">
        <f t="shared" si="7"/>
        <v>2015.2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348">
        <f t="shared" si="1"/>
        <v>4722.4000000000005</v>
      </c>
      <c r="P13" s="333"/>
      <c r="Q13" s="285"/>
      <c r="R13" s="285"/>
      <c r="S13" s="285" t="s">
        <v>397</v>
      </c>
      <c r="T13" s="285"/>
      <c r="U13" s="281">
        <v>4950</v>
      </c>
      <c r="V13" s="281">
        <v>5250</v>
      </c>
      <c r="W13" s="281">
        <v>5200</v>
      </c>
      <c r="X13" s="281">
        <v>5450</v>
      </c>
      <c r="Y13" s="281">
        <v>5900</v>
      </c>
      <c r="Z13" s="322"/>
    </row>
    <row r="14" spans="1:27" x14ac:dyDescent="0.3">
      <c r="A14" s="210" t="s">
        <v>156</v>
      </c>
      <c r="B14" s="210" t="s">
        <v>157</v>
      </c>
      <c r="C14" s="372">
        <f>U19</f>
        <v>780</v>
      </c>
      <c r="D14" s="372">
        <f t="shared" ref="D14:G14" si="8">V19</f>
        <v>169</v>
      </c>
      <c r="E14" s="372">
        <f t="shared" si="8"/>
        <v>252</v>
      </c>
      <c r="F14" s="372">
        <f t="shared" si="8"/>
        <v>48</v>
      </c>
      <c r="G14" s="372">
        <f t="shared" si="8"/>
        <v>383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348">
        <f t="shared" si="1"/>
        <v>1632</v>
      </c>
      <c r="P14" s="333"/>
      <c r="Q14" s="285"/>
      <c r="R14" s="285"/>
      <c r="S14" s="285" t="s">
        <v>398</v>
      </c>
      <c r="T14" s="285"/>
      <c r="U14" s="278"/>
      <c r="V14" s="278"/>
      <c r="W14" s="278"/>
      <c r="X14" s="278"/>
      <c r="Y14" s="278"/>
      <c r="Z14" s="322"/>
    </row>
    <row r="15" spans="1:27" s="126" customFormat="1" x14ac:dyDescent="0.3">
      <c r="A15" s="124" t="s">
        <v>158</v>
      </c>
      <c r="B15" s="124" t="s">
        <v>159</v>
      </c>
      <c r="C15" s="372">
        <v>0</v>
      </c>
      <c r="D15" s="372">
        <v>0</v>
      </c>
      <c r="E15" s="372">
        <v>0</v>
      </c>
      <c r="F15" s="372">
        <v>0</v>
      </c>
      <c r="G15" s="372">
        <v>0</v>
      </c>
      <c r="H15" s="103">
        <v>0</v>
      </c>
      <c r="I15" s="125">
        <v>0</v>
      </c>
      <c r="J15" s="125">
        <v>0</v>
      </c>
      <c r="K15" s="125">
        <v>0</v>
      </c>
      <c r="L15" s="125">
        <v>0</v>
      </c>
      <c r="M15" s="125">
        <v>0</v>
      </c>
      <c r="N15" s="125">
        <v>0</v>
      </c>
      <c r="O15" s="349">
        <f t="shared" si="1"/>
        <v>0</v>
      </c>
      <c r="P15" s="334"/>
      <c r="Q15" s="285"/>
      <c r="R15" s="285"/>
      <c r="S15" s="285"/>
      <c r="T15" s="285" t="s">
        <v>399</v>
      </c>
      <c r="U15" s="278">
        <v>2375</v>
      </c>
      <c r="V15" s="278">
        <v>3875</v>
      </c>
      <c r="W15" s="278">
        <v>3300</v>
      </c>
      <c r="X15" s="278">
        <v>3500</v>
      </c>
      <c r="Y15" s="278">
        <v>3875</v>
      </c>
      <c r="Z15" s="322"/>
      <c r="AA15" s="99"/>
    </row>
    <row r="16" spans="1:27" ht="15" thickBot="1" x14ac:dyDescent="0.35">
      <c r="A16" s="210" t="s">
        <v>160</v>
      </c>
      <c r="B16" s="210" t="s">
        <v>161</v>
      </c>
      <c r="C16" s="372">
        <v>0</v>
      </c>
      <c r="D16" s="372">
        <v>0</v>
      </c>
      <c r="E16" s="372">
        <v>0</v>
      </c>
      <c r="F16" s="372">
        <v>0</v>
      </c>
      <c r="G16" s="372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348">
        <f t="shared" si="1"/>
        <v>0</v>
      </c>
      <c r="P16" s="333"/>
      <c r="Q16" s="285"/>
      <c r="R16" s="285"/>
      <c r="S16" s="285"/>
      <c r="T16" s="285" t="s">
        <v>400</v>
      </c>
      <c r="U16" s="286">
        <v>-5</v>
      </c>
      <c r="V16" s="286">
        <v>75</v>
      </c>
      <c r="W16" s="286">
        <v>-80</v>
      </c>
      <c r="X16" s="286">
        <v>-40</v>
      </c>
      <c r="Y16" s="286">
        <v>-285</v>
      </c>
      <c r="Z16" s="322"/>
      <c r="AA16" s="126"/>
    </row>
    <row r="17" spans="1:27" x14ac:dyDescent="0.3">
      <c r="A17" s="210" t="s">
        <v>162</v>
      </c>
      <c r="B17" s="210" t="s">
        <v>163</v>
      </c>
      <c r="C17" s="372">
        <f>U20</f>
        <v>0</v>
      </c>
      <c r="D17" s="372">
        <f t="shared" ref="D17:G17" si="9">V20</f>
        <v>2625</v>
      </c>
      <c r="E17" s="372">
        <f t="shared" si="9"/>
        <v>9024</v>
      </c>
      <c r="F17" s="372">
        <f t="shared" si="9"/>
        <v>3500</v>
      </c>
      <c r="G17" s="372">
        <f t="shared" si="9"/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348">
        <f t="shared" si="1"/>
        <v>15149</v>
      </c>
      <c r="P17" s="333"/>
      <c r="Q17" s="285"/>
      <c r="R17" s="285"/>
      <c r="S17" s="285" t="s">
        <v>401</v>
      </c>
      <c r="T17" s="285"/>
      <c r="U17" s="281">
        <v>2370</v>
      </c>
      <c r="V17" s="281">
        <v>3950</v>
      </c>
      <c r="W17" s="281">
        <v>3220</v>
      </c>
      <c r="X17" s="281">
        <v>3460</v>
      </c>
      <c r="Y17" s="281">
        <v>3590</v>
      </c>
      <c r="Z17" s="322"/>
    </row>
    <row r="18" spans="1:27" x14ac:dyDescent="0.3">
      <c r="A18" s="210">
        <v>456000</v>
      </c>
      <c r="B18" s="210" t="s">
        <v>164</v>
      </c>
      <c r="C18" s="372">
        <f>U29</f>
        <v>4782.25</v>
      </c>
      <c r="D18" s="372">
        <f t="shared" ref="D18:G18" si="10">V29</f>
        <v>4376.5</v>
      </c>
      <c r="E18" s="372">
        <f t="shared" si="10"/>
        <v>2347</v>
      </c>
      <c r="F18" s="372">
        <f t="shared" si="10"/>
        <v>-99.75</v>
      </c>
      <c r="G18" s="372">
        <f t="shared" si="10"/>
        <v>3321.25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348">
        <f t="shared" si="1"/>
        <v>14727.25</v>
      </c>
      <c r="P18" s="333"/>
      <c r="Q18" s="285"/>
      <c r="R18" s="285"/>
      <c r="S18" s="285" t="s">
        <v>402</v>
      </c>
      <c r="T18" s="285"/>
      <c r="U18" s="281">
        <v>1597.05</v>
      </c>
      <c r="V18" s="281">
        <v>2578</v>
      </c>
      <c r="W18" s="281">
        <v>1548</v>
      </c>
      <c r="X18" s="281">
        <v>-3015.85</v>
      </c>
      <c r="Y18" s="281">
        <v>2015.2</v>
      </c>
      <c r="Z18" s="322"/>
    </row>
    <row r="19" spans="1:27" s="126" customFormat="1" x14ac:dyDescent="0.3">
      <c r="A19" s="124" t="s">
        <v>165</v>
      </c>
      <c r="B19" s="124" t="s">
        <v>166</v>
      </c>
      <c r="C19" s="372">
        <v>0</v>
      </c>
      <c r="D19" s="372">
        <v>0</v>
      </c>
      <c r="E19" s="372">
        <v>0</v>
      </c>
      <c r="F19" s="372">
        <v>0</v>
      </c>
      <c r="G19" s="372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</v>
      </c>
      <c r="M19" s="103">
        <v>0</v>
      </c>
      <c r="N19" s="103">
        <v>0</v>
      </c>
      <c r="O19" s="349">
        <f t="shared" si="1"/>
        <v>0</v>
      </c>
      <c r="P19" s="334"/>
      <c r="Q19" s="285"/>
      <c r="R19" s="285"/>
      <c r="S19" s="285" t="s">
        <v>403</v>
      </c>
      <c r="T19" s="285"/>
      <c r="U19" s="281">
        <v>780</v>
      </c>
      <c r="V19" s="281">
        <v>169</v>
      </c>
      <c r="W19" s="281">
        <v>252</v>
      </c>
      <c r="X19" s="281">
        <v>48</v>
      </c>
      <c r="Y19" s="281">
        <v>383</v>
      </c>
      <c r="Z19" s="322"/>
      <c r="AA19" s="99"/>
    </row>
    <row r="20" spans="1:27" x14ac:dyDescent="0.3">
      <c r="A20" s="210" t="s">
        <v>167</v>
      </c>
      <c r="B20" s="210" t="s">
        <v>168</v>
      </c>
      <c r="C20" s="372">
        <f>U31</f>
        <v>0</v>
      </c>
      <c r="D20" s="372">
        <f t="shared" ref="D20:G20" si="11">V31</f>
        <v>0</v>
      </c>
      <c r="E20" s="372">
        <f t="shared" si="11"/>
        <v>5895.68</v>
      </c>
      <c r="F20" s="372">
        <f t="shared" si="11"/>
        <v>-1330.68</v>
      </c>
      <c r="G20" s="372">
        <f t="shared" si="11"/>
        <v>-240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348">
        <f t="shared" si="1"/>
        <v>4325</v>
      </c>
      <c r="P20" s="333"/>
      <c r="Q20" s="285"/>
      <c r="R20" s="285"/>
      <c r="S20" s="285" t="s">
        <v>404</v>
      </c>
      <c r="T20" s="285"/>
      <c r="U20" s="278">
        <v>0</v>
      </c>
      <c r="V20" s="278">
        <v>2625</v>
      </c>
      <c r="W20" s="278">
        <v>9024</v>
      </c>
      <c r="X20" s="278">
        <v>3500</v>
      </c>
      <c r="Y20" s="278">
        <v>0</v>
      </c>
      <c r="Z20" s="322"/>
      <c r="AA20" s="126"/>
    </row>
    <row r="21" spans="1:27" x14ac:dyDescent="0.3">
      <c r="A21" s="296" t="s">
        <v>169</v>
      </c>
      <c r="B21" s="296" t="s">
        <v>170</v>
      </c>
      <c r="C21" s="372">
        <f>U30</f>
        <v>1505</v>
      </c>
      <c r="D21" s="372">
        <f t="shared" ref="D21:G21" si="12">V30</f>
        <v>910</v>
      </c>
      <c r="E21" s="372">
        <f t="shared" si="12"/>
        <v>1240</v>
      </c>
      <c r="F21" s="372">
        <f t="shared" si="12"/>
        <v>635</v>
      </c>
      <c r="G21" s="372">
        <f t="shared" si="12"/>
        <v>2140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348">
        <f t="shared" si="1"/>
        <v>6430</v>
      </c>
      <c r="P21" s="333"/>
      <c r="Q21" s="285"/>
      <c r="R21" s="285"/>
      <c r="S21" s="285" t="s">
        <v>405</v>
      </c>
      <c r="T21" s="285"/>
      <c r="U21" s="278"/>
      <c r="V21" s="278"/>
      <c r="W21" s="278"/>
      <c r="X21" s="278"/>
      <c r="Y21" s="278"/>
      <c r="Z21" s="322"/>
    </row>
    <row r="22" spans="1:27" s="126" customFormat="1" x14ac:dyDescent="0.3">
      <c r="A22" s="127" t="s">
        <v>171</v>
      </c>
      <c r="B22" s="127" t="s">
        <v>172</v>
      </c>
      <c r="C22" s="372">
        <v>0</v>
      </c>
      <c r="D22" s="372">
        <v>0</v>
      </c>
      <c r="E22" s="372">
        <v>0</v>
      </c>
      <c r="F22" s="372">
        <v>0</v>
      </c>
      <c r="G22" s="372">
        <v>0</v>
      </c>
      <c r="H22" s="103">
        <v>0</v>
      </c>
      <c r="I22" s="103">
        <v>0</v>
      </c>
      <c r="J22" s="103">
        <v>0</v>
      </c>
      <c r="K22" s="103">
        <v>0</v>
      </c>
      <c r="L22" s="103">
        <v>0</v>
      </c>
      <c r="M22" s="103">
        <v>0</v>
      </c>
      <c r="N22" s="103">
        <v>0</v>
      </c>
      <c r="O22" s="349">
        <f t="shared" si="1"/>
        <v>0</v>
      </c>
      <c r="P22" s="334"/>
      <c r="Q22" s="285"/>
      <c r="R22" s="285"/>
      <c r="S22" s="285"/>
      <c r="T22" s="285" t="s">
        <v>406</v>
      </c>
      <c r="U22" s="278">
        <v>0</v>
      </c>
      <c r="V22" s="278">
        <v>175</v>
      </c>
      <c r="W22" s="278">
        <v>0</v>
      </c>
      <c r="X22" s="278">
        <v>0</v>
      </c>
      <c r="Y22" s="278">
        <v>393.75</v>
      </c>
      <c r="Z22" s="322"/>
      <c r="AA22" s="99"/>
    </row>
    <row r="23" spans="1:27" s="126" customFormat="1" ht="19.2" customHeight="1" x14ac:dyDescent="0.3">
      <c r="A23" s="127"/>
      <c r="B23" s="127" t="s">
        <v>407</v>
      </c>
      <c r="C23" s="372">
        <f>U32</f>
        <v>-391.37</v>
      </c>
      <c r="D23" s="372">
        <f t="shared" ref="D23:G23" si="13">V32</f>
        <v>-101.17</v>
      </c>
      <c r="E23" s="372">
        <f t="shared" si="13"/>
        <v>271.05</v>
      </c>
      <c r="F23" s="372">
        <f t="shared" si="13"/>
        <v>35.81</v>
      </c>
      <c r="G23" s="372">
        <f t="shared" si="13"/>
        <v>37.5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349"/>
      <c r="P23" s="334"/>
      <c r="Q23" s="285"/>
      <c r="R23" s="285"/>
      <c r="S23" s="285"/>
      <c r="T23" s="285" t="s">
        <v>408</v>
      </c>
      <c r="U23" s="278">
        <v>175</v>
      </c>
      <c r="V23" s="278">
        <v>0</v>
      </c>
      <c r="W23" s="278">
        <v>155</v>
      </c>
      <c r="X23" s="278">
        <v>-120</v>
      </c>
      <c r="Y23" s="278">
        <v>0</v>
      </c>
      <c r="Z23" s="322"/>
    </row>
    <row r="24" spans="1:27" x14ac:dyDescent="0.3">
      <c r="A24" s="293"/>
      <c r="B24" s="297" t="s">
        <v>173</v>
      </c>
      <c r="C24" s="476">
        <f>SUM(C8:C23)</f>
        <v>15592.929999999998</v>
      </c>
      <c r="D24" s="476">
        <f t="shared" ref="D24:G24" si="14">SUM(D8:D23)</f>
        <v>19757.330000000002</v>
      </c>
      <c r="E24" s="476">
        <f t="shared" si="14"/>
        <v>28997.73</v>
      </c>
      <c r="F24" s="476">
        <f t="shared" si="14"/>
        <v>8682.5299999999988</v>
      </c>
      <c r="G24" s="476">
        <f t="shared" si="14"/>
        <v>17146.95</v>
      </c>
      <c r="H24" s="121">
        <f t="shared" ref="H24" si="15">SUM(H8:H22)</f>
        <v>0</v>
      </c>
      <c r="I24" s="121">
        <f>SUM(I8:I22)</f>
        <v>0</v>
      </c>
      <c r="J24" s="121">
        <f>SUM(J8:J22)</f>
        <v>0</v>
      </c>
      <c r="K24" s="121">
        <f t="shared" ref="K24:N24" si="16">SUM(K8:K22)</f>
        <v>0</v>
      </c>
      <c r="L24" s="121">
        <f t="shared" si="16"/>
        <v>0</v>
      </c>
      <c r="M24" s="121">
        <f t="shared" si="16"/>
        <v>0</v>
      </c>
      <c r="N24" s="121">
        <f t="shared" si="16"/>
        <v>0</v>
      </c>
      <c r="O24" s="350">
        <f>SUM(O8:O22)</f>
        <v>90325.65</v>
      </c>
      <c r="P24" s="333"/>
      <c r="Q24" s="285"/>
      <c r="R24" s="285"/>
      <c r="S24" s="285"/>
      <c r="T24" s="285" t="s">
        <v>409</v>
      </c>
      <c r="U24" s="278">
        <v>160</v>
      </c>
      <c r="V24" s="278">
        <v>1848</v>
      </c>
      <c r="W24" s="278">
        <v>3731.25</v>
      </c>
      <c r="X24" s="278">
        <v>418.5</v>
      </c>
      <c r="Y24" s="278">
        <v>203.75</v>
      </c>
      <c r="Z24" s="322"/>
      <c r="AA24" s="126"/>
    </row>
    <row r="25" spans="1:27" x14ac:dyDescent="0.3">
      <c r="A25" s="295"/>
      <c r="B25" s="213" t="s">
        <v>174</v>
      </c>
      <c r="C25" s="477">
        <f>C24+C7</f>
        <v>140652.81</v>
      </c>
      <c r="D25" s="477">
        <f t="shared" ref="D25:O25" si="17">D24+D7</f>
        <v>139753.47</v>
      </c>
      <c r="E25" s="477">
        <f t="shared" si="17"/>
        <v>148605.98000000001</v>
      </c>
      <c r="F25" s="477">
        <f t="shared" si="17"/>
        <v>133036.31</v>
      </c>
      <c r="G25" s="477">
        <f t="shared" si="17"/>
        <v>150237.99000000002</v>
      </c>
      <c r="H25" s="122">
        <f t="shared" si="17"/>
        <v>0</v>
      </c>
      <c r="I25" s="122">
        <f t="shared" si="17"/>
        <v>0</v>
      </c>
      <c r="J25" s="122">
        <f t="shared" si="17"/>
        <v>0</v>
      </c>
      <c r="K25" s="122">
        <f t="shared" si="17"/>
        <v>0</v>
      </c>
      <c r="L25" s="122">
        <f t="shared" si="17"/>
        <v>0</v>
      </c>
      <c r="M25" s="122">
        <f t="shared" si="17"/>
        <v>0</v>
      </c>
      <c r="N25" s="122">
        <f t="shared" si="17"/>
        <v>0</v>
      </c>
      <c r="O25" s="351">
        <f t="shared" si="17"/>
        <v>712434.74000000011</v>
      </c>
      <c r="P25" s="333"/>
      <c r="Q25" s="285"/>
      <c r="R25" s="285"/>
      <c r="S25" s="285"/>
      <c r="T25" s="285" t="s">
        <v>410</v>
      </c>
      <c r="U25" s="278">
        <v>4341.25</v>
      </c>
      <c r="V25" s="278">
        <v>2366</v>
      </c>
      <c r="W25" s="278">
        <v>-1539.25</v>
      </c>
      <c r="X25" s="278">
        <v>-385.75</v>
      </c>
      <c r="Y25" s="278">
        <v>3315.25</v>
      </c>
      <c r="Z25" s="322"/>
    </row>
    <row r="26" spans="1:27" x14ac:dyDescent="0.3">
      <c r="A26" s="210">
        <v>522000</v>
      </c>
      <c r="B26" s="210" t="s">
        <v>175</v>
      </c>
      <c r="C26" s="372">
        <f>U39</f>
        <v>27159.71</v>
      </c>
      <c r="D26" s="372">
        <f t="shared" ref="D26:G26" si="18">V39</f>
        <v>28446.45</v>
      </c>
      <c r="E26" s="372">
        <f t="shared" si="18"/>
        <v>44378.29</v>
      </c>
      <c r="F26" s="372">
        <f t="shared" si="18"/>
        <v>34555.54</v>
      </c>
      <c r="G26" s="372">
        <f t="shared" si="18"/>
        <v>33236.67</v>
      </c>
      <c r="H26" s="103">
        <v>0</v>
      </c>
      <c r="I26" s="103">
        <v>0</v>
      </c>
      <c r="J26" s="103">
        <v>0</v>
      </c>
      <c r="K26" s="103">
        <v>0</v>
      </c>
      <c r="L26" s="103">
        <v>0</v>
      </c>
      <c r="M26" s="103">
        <v>0</v>
      </c>
      <c r="N26" s="103">
        <v>0</v>
      </c>
      <c r="O26" s="348">
        <f t="shared" ref="O26:O29" si="19">SUM(C26:N26)</f>
        <v>167776.66000000003</v>
      </c>
      <c r="P26" s="333"/>
      <c r="Q26" s="285"/>
      <c r="R26" s="285"/>
      <c r="S26" s="285"/>
      <c r="T26" s="285" t="s">
        <v>411</v>
      </c>
      <c r="U26" s="278">
        <v>100</v>
      </c>
      <c r="V26" s="278">
        <v>-12.5</v>
      </c>
      <c r="W26" s="278">
        <v>0</v>
      </c>
      <c r="X26" s="278">
        <v>-12.5</v>
      </c>
      <c r="Y26" s="278">
        <v>-591.5</v>
      </c>
      <c r="Z26" s="322"/>
    </row>
    <row r="27" spans="1:27" x14ac:dyDescent="0.3">
      <c r="A27" s="210" t="s">
        <v>176</v>
      </c>
      <c r="B27" s="210" t="s">
        <v>177</v>
      </c>
      <c r="C27" s="372">
        <f>U41</f>
        <v>2628.95</v>
      </c>
      <c r="D27" s="372">
        <f t="shared" ref="D27:G27" si="20">V41</f>
        <v>2944.33</v>
      </c>
      <c r="E27" s="372">
        <f t="shared" si="20"/>
        <v>4400.21</v>
      </c>
      <c r="F27" s="372">
        <f t="shared" si="20"/>
        <v>2881.42</v>
      </c>
      <c r="G27" s="372">
        <f t="shared" si="20"/>
        <v>3221.72</v>
      </c>
      <c r="H27" s="103">
        <v>0</v>
      </c>
      <c r="I27" s="125">
        <v>0</v>
      </c>
      <c r="J27" s="125">
        <v>0</v>
      </c>
      <c r="K27" s="125">
        <v>0</v>
      </c>
      <c r="L27" s="125">
        <v>0</v>
      </c>
      <c r="M27" s="125">
        <v>0</v>
      </c>
      <c r="N27" s="125">
        <v>0</v>
      </c>
      <c r="O27" s="348">
        <f t="shared" si="19"/>
        <v>16076.63</v>
      </c>
      <c r="P27" s="333"/>
      <c r="Q27" s="285"/>
      <c r="R27" s="285"/>
      <c r="S27" s="285"/>
      <c r="T27" s="285" t="s">
        <v>412</v>
      </c>
      <c r="U27" s="278">
        <v>6</v>
      </c>
      <c r="V27" s="278">
        <v>0</v>
      </c>
      <c r="W27" s="278">
        <v>0</v>
      </c>
      <c r="X27" s="278">
        <v>0</v>
      </c>
      <c r="Y27" s="278">
        <v>0</v>
      </c>
      <c r="Z27" s="322"/>
    </row>
    <row r="28" spans="1:27" ht="15" thickBot="1" x14ac:dyDescent="0.35">
      <c r="A28" s="210" t="s">
        <v>178</v>
      </c>
      <c r="B28" s="210" t="s">
        <v>179</v>
      </c>
      <c r="C28" s="372">
        <f>U37+U42</f>
        <v>750.09</v>
      </c>
      <c r="D28" s="372">
        <f t="shared" ref="D28:G28" si="21">V37+V42</f>
        <v>779.72</v>
      </c>
      <c r="E28" s="372">
        <f t="shared" si="21"/>
        <v>1207.95</v>
      </c>
      <c r="F28" s="372">
        <f t="shared" si="21"/>
        <v>912.78</v>
      </c>
      <c r="G28" s="372">
        <f t="shared" si="21"/>
        <v>964.62000000000012</v>
      </c>
      <c r="H28" s="103">
        <v>0</v>
      </c>
      <c r="I28" s="113">
        <v>0</v>
      </c>
      <c r="J28" s="113">
        <v>0</v>
      </c>
      <c r="K28" s="113">
        <v>0</v>
      </c>
      <c r="L28" s="113">
        <v>0</v>
      </c>
      <c r="M28" s="113">
        <v>0</v>
      </c>
      <c r="N28" s="113">
        <v>0</v>
      </c>
      <c r="O28" s="348">
        <f t="shared" si="19"/>
        <v>4615.16</v>
      </c>
      <c r="P28" s="333"/>
      <c r="Q28" s="285"/>
      <c r="R28" s="285"/>
      <c r="S28" s="285"/>
      <c r="T28" s="285" t="s">
        <v>413</v>
      </c>
      <c r="U28" s="286">
        <v>0</v>
      </c>
      <c r="V28" s="286">
        <v>0</v>
      </c>
      <c r="W28" s="286">
        <v>0</v>
      </c>
      <c r="X28" s="286">
        <v>0</v>
      </c>
      <c r="Y28" s="286">
        <v>0</v>
      </c>
      <c r="Z28" s="322"/>
    </row>
    <row r="29" spans="1:27" x14ac:dyDescent="0.3">
      <c r="A29" s="296" t="s">
        <v>180</v>
      </c>
      <c r="B29" s="319" t="s">
        <v>181</v>
      </c>
      <c r="C29" s="372">
        <f>U38+U43</f>
        <v>3396.5499999999997</v>
      </c>
      <c r="D29" s="372">
        <f t="shared" ref="D29:G29" si="22">V38+V43</f>
        <v>3383.5200000000004</v>
      </c>
      <c r="E29" s="372">
        <f t="shared" si="22"/>
        <v>4448.53</v>
      </c>
      <c r="F29" s="372">
        <f t="shared" si="22"/>
        <v>3991.81</v>
      </c>
      <c r="G29" s="372">
        <f t="shared" si="22"/>
        <v>3560.49</v>
      </c>
      <c r="H29" s="103">
        <v>0</v>
      </c>
      <c r="I29" s="113">
        <v>0</v>
      </c>
      <c r="J29" s="113">
        <v>0</v>
      </c>
      <c r="K29" s="113">
        <v>0</v>
      </c>
      <c r="L29" s="113">
        <v>0</v>
      </c>
      <c r="M29" s="113">
        <v>0</v>
      </c>
      <c r="N29" s="113">
        <v>0</v>
      </c>
      <c r="O29" s="348">
        <f t="shared" si="19"/>
        <v>18780.899999999998</v>
      </c>
      <c r="P29" s="333"/>
      <c r="Q29" s="285"/>
      <c r="R29" s="285"/>
      <c r="S29" s="285" t="s">
        <v>414</v>
      </c>
      <c r="T29" s="285"/>
      <c r="U29" s="281">
        <v>4782.25</v>
      </c>
      <c r="V29" s="281">
        <v>4376.5</v>
      </c>
      <c r="W29" s="281">
        <v>2347</v>
      </c>
      <c r="X29" s="281">
        <v>-99.75</v>
      </c>
      <c r="Y29" s="281">
        <v>3321.25</v>
      </c>
      <c r="Z29" s="322"/>
    </row>
    <row r="30" spans="1:27" x14ac:dyDescent="0.3">
      <c r="A30" s="293"/>
      <c r="B30" s="297" t="s">
        <v>182</v>
      </c>
      <c r="C30" s="374">
        <f>SUM(C26:C29)</f>
        <v>33935.300000000003</v>
      </c>
      <c r="D30" s="374">
        <f t="shared" ref="D30:N30" si="23">SUM(D26:D29)</f>
        <v>35554.020000000004</v>
      </c>
      <c r="E30" s="374">
        <f t="shared" si="23"/>
        <v>54434.979999999996</v>
      </c>
      <c r="F30" s="374">
        <f t="shared" si="23"/>
        <v>42341.549999999996</v>
      </c>
      <c r="G30" s="374">
        <f t="shared" si="23"/>
        <v>40983.5</v>
      </c>
      <c r="H30" s="110">
        <f t="shared" si="23"/>
        <v>0</v>
      </c>
      <c r="I30" s="121">
        <f t="shared" si="23"/>
        <v>0</v>
      </c>
      <c r="J30" s="121">
        <f t="shared" si="23"/>
        <v>0</v>
      </c>
      <c r="K30" s="110">
        <f t="shared" si="23"/>
        <v>0</v>
      </c>
      <c r="L30" s="110">
        <f t="shared" si="23"/>
        <v>0</v>
      </c>
      <c r="M30" s="110">
        <f t="shared" si="23"/>
        <v>0</v>
      </c>
      <c r="N30" s="110">
        <f t="shared" si="23"/>
        <v>0</v>
      </c>
      <c r="O30" s="350">
        <f>SUM(O26:O29)</f>
        <v>207249.35000000003</v>
      </c>
      <c r="P30" s="333"/>
      <c r="Q30" s="285"/>
      <c r="R30" s="285"/>
      <c r="S30" s="285" t="s">
        <v>415</v>
      </c>
      <c r="T30" s="285"/>
      <c r="U30" s="281">
        <v>1505</v>
      </c>
      <c r="V30" s="281">
        <v>910</v>
      </c>
      <c r="W30" s="281">
        <v>1240</v>
      </c>
      <c r="X30" s="281">
        <v>635</v>
      </c>
      <c r="Y30" s="281">
        <v>2140</v>
      </c>
      <c r="Z30" s="322"/>
    </row>
    <row r="31" spans="1:27" x14ac:dyDescent="0.3">
      <c r="A31" s="210">
        <v>561000</v>
      </c>
      <c r="B31" s="210" t="s">
        <v>183</v>
      </c>
      <c r="C31" s="372">
        <f>U44</f>
        <v>34511.760000000002</v>
      </c>
      <c r="D31" s="372">
        <f t="shared" ref="D31:G31" si="24">V44</f>
        <v>33978.61</v>
      </c>
      <c r="E31" s="372">
        <f t="shared" si="24"/>
        <v>27380.5</v>
      </c>
      <c r="F31" s="372">
        <f t="shared" si="24"/>
        <v>28220.16</v>
      </c>
      <c r="G31" s="372">
        <f t="shared" si="24"/>
        <v>31371.81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348">
        <f>SUM(C31:N31)</f>
        <v>155462.84</v>
      </c>
      <c r="P31" s="333"/>
      <c r="Q31" s="285"/>
      <c r="R31" s="285"/>
      <c r="S31" s="285" t="s">
        <v>416</v>
      </c>
      <c r="T31" s="285"/>
      <c r="U31" s="281">
        <v>0</v>
      </c>
      <c r="V31" s="281">
        <v>0</v>
      </c>
      <c r="W31" s="281">
        <v>5895.68</v>
      </c>
      <c r="X31" s="281">
        <v>-1330.68</v>
      </c>
      <c r="Y31" s="281">
        <v>-240</v>
      </c>
      <c r="Z31" s="322"/>
    </row>
    <row r="32" spans="1:27" ht="15" thickBot="1" x14ac:dyDescent="0.35">
      <c r="A32" s="210" t="s">
        <v>184</v>
      </c>
      <c r="B32" s="210" t="s">
        <v>185</v>
      </c>
      <c r="C32" s="372">
        <v>0</v>
      </c>
      <c r="D32" s="372">
        <v>0</v>
      </c>
      <c r="E32" s="372">
        <v>0</v>
      </c>
      <c r="F32" s="372">
        <v>0</v>
      </c>
      <c r="G32" s="372">
        <v>0</v>
      </c>
      <c r="H32" s="103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</v>
      </c>
      <c r="N32" s="112">
        <v>0</v>
      </c>
      <c r="O32" s="348">
        <f t="shared" ref="O32:O95" si="25">SUM(C32:N32)</f>
        <v>0</v>
      </c>
      <c r="P32" s="333"/>
      <c r="Q32" s="285"/>
      <c r="R32" s="285" t="s">
        <v>417</v>
      </c>
      <c r="S32" s="285" t="s">
        <v>418</v>
      </c>
      <c r="T32" s="285"/>
      <c r="U32" s="280">
        <v>-391.37</v>
      </c>
      <c r="V32" s="280">
        <v>-101.17</v>
      </c>
      <c r="W32" s="280">
        <v>271.05</v>
      </c>
      <c r="X32" s="280">
        <v>35.81</v>
      </c>
      <c r="Y32" s="280">
        <v>37.5</v>
      </c>
      <c r="Z32" s="322"/>
    </row>
    <row r="33" spans="1:26" ht="15" thickBot="1" x14ac:dyDescent="0.35">
      <c r="A33" s="210" t="s">
        <v>186</v>
      </c>
      <c r="B33" s="210" t="s">
        <v>187</v>
      </c>
      <c r="C33" s="372">
        <f>U46</f>
        <v>251.63</v>
      </c>
      <c r="D33" s="372">
        <f t="shared" ref="D33:G33" si="26">V46</f>
        <v>-20</v>
      </c>
      <c r="E33" s="372">
        <f t="shared" si="26"/>
        <v>0</v>
      </c>
      <c r="F33" s="372">
        <f t="shared" si="26"/>
        <v>623.26</v>
      </c>
      <c r="G33" s="372">
        <f t="shared" si="26"/>
        <v>0</v>
      </c>
      <c r="H33" s="103">
        <v>0</v>
      </c>
      <c r="I33" s="103">
        <v>0</v>
      </c>
      <c r="J33" s="103">
        <v>0</v>
      </c>
      <c r="K33" s="103">
        <v>0</v>
      </c>
      <c r="L33" s="103">
        <v>0</v>
      </c>
      <c r="M33" s="103">
        <v>0</v>
      </c>
      <c r="N33" s="103">
        <v>0</v>
      </c>
      <c r="O33" s="348">
        <f t="shared" si="25"/>
        <v>854.89</v>
      </c>
      <c r="P33" s="333"/>
      <c r="Q33" s="285" t="s">
        <v>419</v>
      </c>
      <c r="R33" s="285"/>
      <c r="S33" s="285"/>
      <c r="T33" s="285"/>
      <c r="U33" s="287">
        <v>140652.81</v>
      </c>
      <c r="V33" s="287">
        <v>139753.47</v>
      </c>
      <c r="W33" s="287">
        <v>148605.98000000001</v>
      </c>
      <c r="X33" s="287">
        <v>133036.31</v>
      </c>
      <c r="Y33" s="287">
        <v>150237.99</v>
      </c>
      <c r="Z33" s="322"/>
    </row>
    <row r="34" spans="1:26" x14ac:dyDescent="0.3">
      <c r="A34" s="210" t="s">
        <v>188</v>
      </c>
      <c r="B34" s="210" t="s">
        <v>189</v>
      </c>
      <c r="C34" s="372">
        <v>0</v>
      </c>
      <c r="D34" s="372">
        <v>0</v>
      </c>
      <c r="E34" s="372">
        <v>0</v>
      </c>
      <c r="F34" s="372">
        <v>0</v>
      </c>
      <c r="G34" s="372">
        <v>0</v>
      </c>
      <c r="H34" s="103">
        <v>0</v>
      </c>
      <c r="I34" s="103">
        <v>0</v>
      </c>
      <c r="J34" s="103">
        <v>0</v>
      </c>
      <c r="K34" s="103">
        <v>0</v>
      </c>
      <c r="L34" s="103">
        <v>0</v>
      </c>
      <c r="M34" s="103">
        <v>0</v>
      </c>
      <c r="N34" s="103">
        <v>0</v>
      </c>
      <c r="O34" s="348">
        <f t="shared" si="25"/>
        <v>0</v>
      </c>
      <c r="P34" s="333"/>
      <c r="Q34" s="285"/>
      <c r="R34" s="285" t="s">
        <v>420</v>
      </c>
      <c r="S34" s="285"/>
      <c r="T34" s="285"/>
      <c r="U34" s="314">
        <v>140652.81</v>
      </c>
      <c r="V34" s="482">
        <v>139753.47</v>
      </c>
      <c r="W34" s="482">
        <v>148605.98000000001</v>
      </c>
      <c r="X34" s="482">
        <v>133036.31</v>
      </c>
      <c r="Y34" s="482">
        <v>150237.99</v>
      </c>
      <c r="Z34" s="322"/>
    </row>
    <row r="35" spans="1:26" x14ac:dyDescent="0.3">
      <c r="A35" s="210" t="s">
        <v>190</v>
      </c>
      <c r="B35" s="210" t="s">
        <v>191</v>
      </c>
      <c r="C35" s="372">
        <v>0</v>
      </c>
      <c r="D35" s="372">
        <v>0</v>
      </c>
      <c r="E35" s="372">
        <v>0</v>
      </c>
      <c r="F35" s="372">
        <v>0</v>
      </c>
      <c r="G35" s="372">
        <v>0</v>
      </c>
      <c r="H35" s="103">
        <v>0</v>
      </c>
      <c r="I35" s="103">
        <v>0</v>
      </c>
      <c r="J35" s="103">
        <v>0</v>
      </c>
      <c r="K35" s="103">
        <v>0</v>
      </c>
      <c r="L35" s="103">
        <v>0</v>
      </c>
      <c r="M35" s="103">
        <v>0</v>
      </c>
      <c r="N35" s="103">
        <v>0</v>
      </c>
      <c r="O35" s="348">
        <f t="shared" si="25"/>
        <v>0</v>
      </c>
      <c r="P35" s="333"/>
      <c r="Q35" s="285"/>
      <c r="R35" s="285"/>
      <c r="S35" s="285"/>
      <c r="T35" s="285"/>
      <c r="U35" s="278"/>
      <c r="V35" s="278"/>
      <c r="W35" s="278"/>
      <c r="X35" s="278"/>
      <c r="Y35" s="278"/>
      <c r="Z35" s="322"/>
    </row>
    <row r="36" spans="1:26" x14ac:dyDescent="0.3">
      <c r="A36" s="210" t="s">
        <v>192</v>
      </c>
      <c r="B36" s="210" t="s">
        <v>193</v>
      </c>
      <c r="C36" s="372">
        <v>0</v>
      </c>
      <c r="D36" s="372">
        <v>0</v>
      </c>
      <c r="E36" s="372">
        <v>0</v>
      </c>
      <c r="F36" s="372">
        <v>0</v>
      </c>
      <c r="G36" s="372">
        <v>0</v>
      </c>
      <c r="H36" s="103">
        <v>0</v>
      </c>
      <c r="I36" s="103">
        <v>0</v>
      </c>
      <c r="J36" s="103">
        <v>0</v>
      </c>
      <c r="K36" s="103">
        <v>0</v>
      </c>
      <c r="L36" s="103">
        <v>0</v>
      </c>
      <c r="M36" s="103">
        <v>0</v>
      </c>
      <c r="N36" s="103">
        <v>0</v>
      </c>
      <c r="O36" s="348">
        <f t="shared" si="25"/>
        <v>0</v>
      </c>
      <c r="P36" s="333"/>
      <c r="Q36" s="285"/>
      <c r="R36" s="285"/>
      <c r="S36" s="285" t="s">
        <v>421</v>
      </c>
      <c r="T36" s="285"/>
      <c r="U36" s="278"/>
      <c r="V36" s="278"/>
      <c r="W36" s="278"/>
      <c r="X36" s="278"/>
      <c r="Y36" s="278"/>
      <c r="Z36" s="322"/>
    </row>
    <row r="37" spans="1:26" x14ac:dyDescent="0.3">
      <c r="A37" s="210" t="s">
        <v>194</v>
      </c>
      <c r="B37" s="210" t="s">
        <v>195</v>
      </c>
      <c r="C37" s="372">
        <v>0</v>
      </c>
      <c r="D37" s="372">
        <v>0</v>
      </c>
      <c r="E37" s="372">
        <v>0</v>
      </c>
      <c r="F37" s="372">
        <v>0</v>
      </c>
      <c r="G37" s="372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348">
        <f t="shared" si="25"/>
        <v>0</v>
      </c>
      <c r="P37" s="333"/>
      <c r="Q37" s="285"/>
      <c r="R37" s="285"/>
      <c r="S37" s="285"/>
      <c r="T37" s="285" t="s">
        <v>422</v>
      </c>
      <c r="U37" s="317">
        <v>-386.36</v>
      </c>
      <c r="V37" s="317">
        <v>-353.2</v>
      </c>
      <c r="W37" s="317">
        <v>-480.06</v>
      </c>
      <c r="X37" s="317">
        <v>-320.04000000000002</v>
      </c>
      <c r="Y37" s="317">
        <v>-320.04000000000002</v>
      </c>
      <c r="Z37" s="322"/>
    </row>
    <row r="38" spans="1:26" x14ac:dyDescent="0.3">
      <c r="A38" s="210" t="s">
        <v>196</v>
      </c>
      <c r="B38" s="210" t="s">
        <v>380</v>
      </c>
      <c r="C38" s="372">
        <v>0</v>
      </c>
      <c r="D38" s="372">
        <v>0</v>
      </c>
      <c r="E38" s="372">
        <v>0</v>
      </c>
      <c r="F38" s="372">
        <v>0</v>
      </c>
      <c r="G38" s="372">
        <v>0</v>
      </c>
      <c r="H38" s="103">
        <v>0</v>
      </c>
      <c r="I38" s="113">
        <v>0</v>
      </c>
      <c r="J38" s="113">
        <v>0</v>
      </c>
      <c r="K38" s="113">
        <v>0</v>
      </c>
      <c r="L38" s="113">
        <v>0</v>
      </c>
      <c r="M38" s="113">
        <v>0</v>
      </c>
      <c r="N38" s="113">
        <v>0</v>
      </c>
      <c r="O38" s="348">
        <f t="shared" si="25"/>
        <v>0</v>
      </c>
      <c r="P38" s="333"/>
      <c r="Q38" s="285"/>
      <c r="R38" s="285"/>
      <c r="S38" s="285"/>
      <c r="T38" s="285" t="s">
        <v>423</v>
      </c>
      <c r="U38" s="281">
        <v>1131.31</v>
      </c>
      <c r="V38" s="281">
        <v>1050.51</v>
      </c>
      <c r="W38" s="281">
        <v>974.08</v>
      </c>
      <c r="X38" s="281">
        <v>1451.31</v>
      </c>
      <c r="Y38" s="281">
        <v>891.49</v>
      </c>
      <c r="Z38" s="322"/>
    </row>
    <row r="39" spans="1:26" ht="15" thickBot="1" x14ac:dyDescent="0.35">
      <c r="A39" s="210" t="s">
        <v>197</v>
      </c>
      <c r="B39" s="210" t="s">
        <v>198</v>
      </c>
      <c r="C39" s="372">
        <v>0</v>
      </c>
      <c r="D39" s="372">
        <v>0</v>
      </c>
      <c r="E39" s="372">
        <v>0</v>
      </c>
      <c r="F39" s="372">
        <v>0</v>
      </c>
      <c r="G39" s="372">
        <v>0</v>
      </c>
      <c r="H39" s="103">
        <v>0</v>
      </c>
      <c r="I39" s="113">
        <v>0</v>
      </c>
      <c r="J39" s="113">
        <v>0</v>
      </c>
      <c r="K39" s="113">
        <v>0</v>
      </c>
      <c r="L39" s="113">
        <v>0</v>
      </c>
      <c r="M39" s="113">
        <v>0</v>
      </c>
      <c r="N39" s="113">
        <v>0</v>
      </c>
      <c r="O39" s="348">
        <f t="shared" si="25"/>
        <v>0</v>
      </c>
      <c r="P39" s="333"/>
      <c r="Q39" s="285"/>
      <c r="R39" s="285"/>
      <c r="S39" s="285"/>
      <c r="T39" s="285" t="s">
        <v>424</v>
      </c>
      <c r="U39" s="290">
        <v>27159.71</v>
      </c>
      <c r="V39" s="290">
        <v>28446.45</v>
      </c>
      <c r="W39" s="290">
        <v>44378.29</v>
      </c>
      <c r="X39" s="290">
        <v>34555.54</v>
      </c>
      <c r="Y39" s="290">
        <v>33236.67</v>
      </c>
      <c r="Z39" s="322"/>
    </row>
    <row r="40" spans="1:26" x14ac:dyDescent="0.3">
      <c r="A40" s="210">
        <v>577200</v>
      </c>
      <c r="B40" s="210" t="s">
        <v>199</v>
      </c>
      <c r="C40" s="372">
        <f>U48</f>
        <v>886.4</v>
      </c>
      <c r="D40" s="372">
        <f t="shared" ref="D40:G40" si="27">V48</f>
        <v>-197.62</v>
      </c>
      <c r="E40" s="372">
        <f t="shared" si="27"/>
        <v>1414.08</v>
      </c>
      <c r="F40" s="372">
        <f t="shared" si="27"/>
        <v>1353.45</v>
      </c>
      <c r="G40" s="372">
        <f t="shared" si="27"/>
        <v>2753.4</v>
      </c>
      <c r="H40" s="103">
        <v>0</v>
      </c>
      <c r="I40" s="103">
        <v>0</v>
      </c>
      <c r="J40" s="103">
        <v>0</v>
      </c>
      <c r="K40" s="103">
        <v>0</v>
      </c>
      <c r="L40" s="103">
        <v>0</v>
      </c>
      <c r="M40" s="103">
        <v>0</v>
      </c>
      <c r="N40" s="103">
        <v>0</v>
      </c>
      <c r="O40" s="348">
        <f t="shared" si="25"/>
        <v>6209.7099999999991</v>
      </c>
      <c r="P40" s="333"/>
      <c r="Q40" s="285"/>
      <c r="R40" s="285"/>
      <c r="S40" s="285" t="s">
        <v>425</v>
      </c>
      <c r="T40" s="285"/>
      <c r="U40" s="278">
        <v>27904.66</v>
      </c>
      <c r="V40" s="278">
        <v>29143.759999999998</v>
      </c>
      <c r="W40" s="278">
        <v>44872.31</v>
      </c>
      <c r="X40" s="278">
        <v>35686.81</v>
      </c>
      <c r="Y40" s="278">
        <v>33808.120000000003</v>
      </c>
      <c r="Z40" s="322" t="s">
        <v>0</v>
      </c>
    </row>
    <row r="41" spans="1:26" x14ac:dyDescent="0.3">
      <c r="A41" s="210" t="s">
        <v>200</v>
      </c>
      <c r="B41" s="210" t="s">
        <v>201</v>
      </c>
      <c r="C41" s="372">
        <f>U49</f>
        <v>0</v>
      </c>
      <c r="D41" s="372">
        <f t="shared" ref="D41:G41" si="28">V49</f>
        <v>0</v>
      </c>
      <c r="E41" s="372">
        <f t="shared" si="28"/>
        <v>991.35</v>
      </c>
      <c r="F41" s="372">
        <f t="shared" si="28"/>
        <v>262.18</v>
      </c>
      <c r="G41" s="372">
        <f t="shared" si="28"/>
        <v>380.15</v>
      </c>
      <c r="H41" s="103">
        <v>0</v>
      </c>
      <c r="I41" s="113">
        <v>0</v>
      </c>
      <c r="J41" s="113">
        <v>0</v>
      </c>
      <c r="K41" s="113">
        <v>0</v>
      </c>
      <c r="L41" s="113">
        <v>0</v>
      </c>
      <c r="M41" s="113">
        <v>0</v>
      </c>
      <c r="N41" s="113">
        <v>0</v>
      </c>
      <c r="O41" s="348">
        <f t="shared" si="25"/>
        <v>1633.6799999999998</v>
      </c>
      <c r="P41" s="333"/>
      <c r="Q41" s="285"/>
      <c r="R41" s="285"/>
      <c r="S41" s="285" t="s">
        <v>426</v>
      </c>
      <c r="T41" s="285"/>
      <c r="U41" s="281">
        <v>2628.95</v>
      </c>
      <c r="V41" s="281">
        <v>2944.33</v>
      </c>
      <c r="W41" s="281">
        <v>4400.21</v>
      </c>
      <c r="X41" s="281">
        <v>2881.42</v>
      </c>
      <c r="Y41" s="281">
        <v>3221.72</v>
      </c>
      <c r="Z41" s="322"/>
    </row>
    <row r="42" spans="1:26" x14ac:dyDescent="0.3">
      <c r="A42" s="210" t="s">
        <v>202</v>
      </c>
      <c r="B42" s="210" t="s">
        <v>203</v>
      </c>
      <c r="C42" s="372">
        <f>U47</f>
        <v>271.3</v>
      </c>
      <c r="D42" s="372">
        <f t="shared" ref="D42:G42" si="29">V47</f>
        <v>0</v>
      </c>
      <c r="E42" s="372">
        <f t="shared" si="29"/>
        <v>0</v>
      </c>
      <c r="F42" s="372">
        <f t="shared" si="29"/>
        <v>0</v>
      </c>
      <c r="G42" s="372">
        <f t="shared" si="29"/>
        <v>0</v>
      </c>
      <c r="H42" s="103">
        <v>0</v>
      </c>
      <c r="I42" s="113">
        <v>0</v>
      </c>
      <c r="J42" s="113">
        <v>0</v>
      </c>
      <c r="K42" s="113">
        <v>0</v>
      </c>
      <c r="L42" s="113">
        <v>0</v>
      </c>
      <c r="M42" s="113">
        <v>0</v>
      </c>
      <c r="N42" s="113">
        <v>0</v>
      </c>
      <c r="O42" s="348">
        <f t="shared" si="25"/>
        <v>271.3</v>
      </c>
      <c r="P42" s="333"/>
      <c r="Q42" s="285"/>
      <c r="R42" s="285"/>
      <c r="S42" s="285" t="s">
        <v>427</v>
      </c>
      <c r="T42" s="285"/>
      <c r="U42" s="281">
        <v>1136.45</v>
      </c>
      <c r="V42" s="281">
        <v>1132.92</v>
      </c>
      <c r="W42" s="281">
        <v>1688.01</v>
      </c>
      <c r="X42" s="281">
        <v>1232.82</v>
      </c>
      <c r="Y42" s="281">
        <v>1284.6600000000001</v>
      </c>
      <c r="Z42" s="322"/>
    </row>
    <row r="43" spans="1:26" x14ac:dyDescent="0.3">
      <c r="A43" s="210" t="s">
        <v>204</v>
      </c>
      <c r="B43" s="210" t="s">
        <v>205</v>
      </c>
      <c r="C43" s="372">
        <f>U50</f>
        <v>819.25</v>
      </c>
      <c r="D43" s="372">
        <f t="shared" ref="D43:G43" si="30">V50</f>
        <v>0</v>
      </c>
      <c r="E43" s="372">
        <f t="shared" si="30"/>
        <v>0</v>
      </c>
      <c r="F43" s="372">
        <f t="shared" si="30"/>
        <v>0</v>
      </c>
      <c r="G43" s="372">
        <f t="shared" si="30"/>
        <v>1285.3</v>
      </c>
      <c r="H43" s="103">
        <v>0</v>
      </c>
      <c r="I43" s="103">
        <v>0</v>
      </c>
      <c r="J43" s="103">
        <v>0</v>
      </c>
      <c r="K43" s="103">
        <v>0</v>
      </c>
      <c r="L43" s="103">
        <v>0</v>
      </c>
      <c r="M43" s="103">
        <v>0</v>
      </c>
      <c r="N43" s="103">
        <v>0</v>
      </c>
      <c r="O43" s="348">
        <f t="shared" si="25"/>
        <v>2104.5500000000002</v>
      </c>
      <c r="P43" s="333"/>
      <c r="Q43" s="285"/>
      <c r="R43" s="285"/>
      <c r="S43" s="285" t="s">
        <v>428</v>
      </c>
      <c r="T43" s="285"/>
      <c r="U43" s="281">
        <v>2265.2399999999998</v>
      </c>
      <c r="V43" s="281">
        <v>2333.0100000000002</v>
      </c>
      <c r="W43" s="281">
        <v>3474.45</v>
      </c>
      <c r="X43" s="281">
        <v>2540.5</v>
      </c>
      <c r="Y43" s="281">
        <v>2669</v>
      </c>
      <c r="Z43" s="322"/>
    </row>
    <row r="44" spans="1:26" x14ac:dyDescent="0.3">
      <c r="A44" s="210" t="s">
        <v>206</v>
      </c>
      <c r="B44" s="210" t="s">
        <v>207</v>
      </c>
      <c r="C44" s="372">
        <f>U51</f>
        <v>237.5</v>
      </c>
      <c r="D44" s="372">
        <f t="shared" ref="D44:G44" si="31">V51</f>
        <v>175</v>
      </c>
      <c r="E44" s="372">
        <f t="shared" si="31"/>
        <v>160</v>
      </c>
      <c r="F44" s="372">
        <f t="shared" si="31"/>
        <v>477.5</v>
      </c>
      <c r="G44" s="372">
        <f t="shared" si="31"/>
        <v>0</v>
      </c>
      <c r="H44" s="103">
        <v>0</v>
      </c>
      <c r="I44" s="103">
        <v>0</v>
      </c>
      <c r="J44" s="103">
        <v>0</v>
      </c>
      <c r="K44" s="103">
        <v>0</v>
      </c>
      <c r="L44" s="103">
        <v>0</v>
      </c>
      <c r="M44" s="103">
        <v>0</v>
      </c>
      <c r="N44" s="103">
        <v>0</v>
      </c>
      <c r="O44" s="348">
        <f t="shared" si="25"/>
        <v>1050</v>
      </c>
      <c r="P44" s="333"/>
      <c r="Q44" s="285"/>
      <c r="R44" s="285"/>
      <c r="S44" s="285" t="s">
        <v>429</v>
      </c>
      <c r="T44" s="285"/>
      <c r="U44" s="281">
        <v>34511.760000000002</v>
      </c>
      <c r="V44" s="281">
        <v>33978.61</v>
      </c>
      <c r="W44" s="281">
        <v>27380.5</v>
      </c>
      <c r="X44" s="281">
        <v>28220.16</v>
      </c>
      <c r="Y44" s="281">
        <v>31371.81</v>
      </c>
      <c r="Z44" s="322"/>
    </row>
    <row r="45" spans="1:26" x14ac:dyDescent="0.3">
      <c r="A45" s="210" t="s">
        <v>208</v>
      </c>
      <c r="B45" s="210" t="s">
        <v>209</v>
      </c>
      <c r="C45" s="372">
        <v>0</v>
      </c>
      <c r="D45" s="372">
        <v>0</v>
      </c>
      <c r="E45" s="372">
        <v>0</v>
      </c>
      <c r="F45" s="372">
        <v>0</v>
      </c>
      <c r="G45" s="372">
        <v>0</v>
      </c>
      <c r="H45" s="103">
        <v>0</v>
      </c>
      <c r="I45" s="113">
        <v>0</v>
      </c>
      <c r="J45" s="113">
        <v>0</v>
      </c>
      <c r="K45" s="113">
        <v>0</v>
      </c>
      <c r="L45" s="113">
        <v>0</v>
      </c>
      <c r="M45" s="113">
        <v>0</v>
      </c>
      <c r="N45" s="113">
        <v>0</v>
      </c>
      <c r="O45" s="348">
        <f t="shared" si="25"/>
        <v>0</v>
      </c>
      <c r="P45" s="333"/>
      <c r="Q45" s="285"/>
      <c r="R45" s="285"/>
      <c r="S45" s="285" t="s">
        <v>430</v>
      </c>
      <c r="T45" s="285"/>
      <c r="U45" s="281">
        <v>0</v>
      </c>
      <c r="V45" s="281">
        <v>0</v>
      </c>
      <c r="W45" s="281">
        <v>0</v>
      </c>
      <c r="X45" s="281">
        <v>12.63</v>
      </c>
      <c r="Y45" s="281">
        <v>0</v>
      </c>
      <c r="Z45" s="322"/>
    </row>
    <row r="46" spans="1:26" x14ac:dyDescent="0.3">
      <c r="A46" s="210" t="s">
        <v>210</v>
      </c>
      <c r="B46" s="210" t="s">
        <v>211</v>
      </c>
      <c r="C46" s="372">
        <v>0</v>
      </c>
      <c r="D46" s="372">
        <v>0</v>
      </c>
      <c r="E46" s="372">
        <v>0</v>
      </c>
      <c r="F46" s="372">
        <v>0</v>
      </c>
      <c r="G46" s="372">
        <v>0</v>
      </c>
      <c r="H46" s="103">
        <v>0</v>
      </c>
      <c r="I46" s="113">
        <v>0</v>
      </c>
      <c r="J46" s="113">
        <v>0</v>
      </c>
      <c r="K46" s="113">
        <v>0</v>
      </c>
      <c r="L46" s="113">
        <v>0</v>
      </c>
      <c r="M46" s="113">
        <v>0</v>
      </c>
      <c r="N46" s="113">
        <v>0</v>
      </c>
      <c r="O46" s="348">
        <f t="shared" si="25"/>
        <v>0</v>
      </c>
      <c r="P46" s="333"/>
      <c r="Q46" s="285"/>
      <c r="R46" s="285"/>
      <c r="S46" s="285" t="s">
        <v>431</v>
      </c>
      <c r="T46" s="285"/>
      <c r="U46" s="281">
        <v>251.63</v>
      </c>
      <c r="V46" s="281">
        <v>-20</v>
      </c>
      <c r="W46" s="281">
        <v>0</v>
      </c>
      <c r="X46" s="281">
        <v>623.26</v>
      </c>
      <c r="Y46" s="281">
        <v>0</v>
      </c>
      <c r="Z46" s="322"/>
    </row>
    <row r="47" spans="1:26" x14ac:dyDescent="0.3">
      <c r="A47" s="210" t="s">
        <v>212</v>
      </c>
      <c r="B47" s="210" t="s">
        <v>213</v>
      </c>
      <c r="C47" s="372">
        <v>0</v>
      </c>
      <c r="D47" s="372">
        <v>0</v>
      </c>
      <c r="E47" s="372">
        <v>0</v>
      </c>
      <c r="F47" s="372">
        <v>0</v>
      </c>
      <c r="G47" s="372">
        <v>0</v>
      </c>
      <c r="H47" s="103">
        <v>0</v>
      </c>
      <c r="I47" s="113">
        <v>0</v>
      </c>
      <c r="J47" s="113">
        <v>0</v>
      </c>
      <c r="K47" s="113">
        <v>0</v>
      </c>
      <c r="L47" s="113">
        <v>0</v>
      </c>
      <c r="M47" s="113">
        <v>0</v>
      </c>
      <c r="N47" s="113">
        <v>0</v>
      </c>
      <c r="O47" s="348">
        <f t="shared" si="25"/>
        <v>0</v>
      </c>
      <c r="P47" s="333"/>
      <c r="Q47" s="285"/>
      <c r="R47" s="285"/>
      <c r="S47" s="285" t="s">
        <v>432</v>
      </c>
      <c r="T47" s="285"/>
      <c r="U47" s="281">
        <v>271.3</v>
      </c>
      <c r="V47" s="281">
        <v>0</v>
      </c>
      <c r="W47" s="281">
        <v>0</v>
      </c>
      <c r="X47" s="281">
        <v>0</v>
      </c>
      <c r="Y47" s="281">
        <v>0</v>
      </c>
      <c r="Z47" s="322"/>
    </row>
    <row r="48" spans="1:26" x14ac:dyDescent="0.3">
      <c r="A48" s="210" t="s">
        <v>214</v>
      </c>
      <c r="B48" s="210" t="s">
        <v>215</v>
      </c>
      <c r="C48" s="372">
        <v>0</v>
      </c>
      <c r="D48" s="372">
        <v>0</v>
      </c>
      <c r="E48" s="372">
        <v>0</v>
      </c>
      <c r="F48" s="372">
        <v>0</v>
      </c>
      <c r="G48" s="372">
        <v>0</v>
      </c>
      <c r="H48" s="103">
        <v>0</v>
      </c>
      <c r="I48" s="113">
        <v>0</v>
      </c>
      <c r="J48" s="113">
        <v>0</v>
      </c>
      <c r="K48" s="113">
        <v>0</v>
      </c>
      <c r="L48" s="113">
        <v>0</v>
      </c>
      <c r="M48" s="113">
        <v>0</v>
      </c>
      <c r="N48" s="113">
        <v>0</v>
      </c>
      <c r="O48" s="348">
        <f t="shared" si="25"/>
        <v>0</v>
      </c>
      <c r="P48" s="333"/>
      <c r="Q48" s="285"/>
      <c r="R48" s="285"/>
      <c r="S48" s="285" t="s">
        <v>433</v>
      </c>
      <c r="T48" s="285"/>
      <c r="U48" s="281">
        <v>886.4</v>
      </c>
      <c r="V48" s="281">
        <v>-197.62</v>
      </c>
      <c r="W48" s="281">
        <v>1414.08</v>
      </c>
      <c r="X48" s="281">
        <v>1353.45</v>
      </c>
      <c r="Y48" s="281">
        <v>2753.4</v>
      </c>
      <c r="Z48" s="322"/>
    </row>
    <row r="49" spans="1:26" x14ac:dyDescent="0.3">
      <c r="A49" s="210" t="s">
        <v>216</v>
      </c>
      <c r="B49" s="210" t="s">
        <v>217</v>
      </c>
      <c r="C49" s="372">
        <f>U52</f>
        <v>0</v>
      </c>
      <c r="D49" s="372">
        <v>0</v>
      </c>
      <c r="E49" s="372">
        <v>0</v>
      </c>
      <c r="F49" s="372">
        <v>0</v>
      </c>
      <c r="G49" s="372">
        <v>0</v>
      </c>
      <c r="H49" s="103">
        <v>0</v>
      </c>
      <c r="I49" s="113">
        <v>0</v>
      </c>
      <c r="J49" s="113">
        <v>0</v>
      </c>
      <c r="K49" s="113">
        <v>0</v>
      </c>
      <c r="L49" s="113">
        <v>0</v>
      </c>
      <c r="M49" s="113">
        <v>0</v>
      </c>
      <c r="N49" s="113">
        <v>0</v>
      </c>
      <c r="O49" s="348">
        <f t="shared" si="25"/>
        <v>0</v>
      </c>
      <c r="P49" s="333"/>
      <c r="Q49" s="285"/>
      <c r="R49" s="285"/>
      <c r="S49" s="285" t="s">
        <v>434</v>
      </c>
      <c r="T49" s="285"/>
      <c r="U49" s="281">
        <v>0</v>
      </c>
      <c r="V49" s="281">
        <v>0</v>
      </c>
      <c r="W49" s="281">
        <v>991.35</v>
      </c>
      <c r="X49" s="281">
        <v>262.18</v>
      </c>
      <c r="Y49" s="281">
        <v>380.15</v>
      </c>
      <c r="Z49" s="322"/>
    </row>
    <row r="50" spans="1:26" x14ac:dyDescent="0.3">
      <c r="A50" s="210" t="s">
        <v>218</v>
      </c>
      <c r="B50" s="210" t="s">
        <v>219</v>
      </c>
      <c r="C50" s="372">
        <f>U52</f>
        <v>0</v>
      </c>
      <c r="D50" s="372">
        <f t="shared" ref="D50:G50" si="32">V52</f>
        <v>0</v>
      </c>
      <c r="E50" s="372">
        <f t="shared" si="32"/>
        <v>0</v>
      </c>
      <c r="F50" s="372">
        <f t="shared" si="32"/>
        <v>0</v>
      </c>
      <c r="G50" s="372">
        <f t="shared" si="32"/>
        <v>972.58</v>
      </c>
      <c r="H50" s="103">
        <v>0</v>
      </c>
      <c r="I50" s="113">
        <v>0</v>
      </c>
      <c r="J50" s="113">
        <v>0</v>
      </c>
      <c r="K50" s="113">
        <v>0</v>
      </c>
      <c r="L50" s="113">
        <v>0</v>
      </c>
      <c r="M50" s="113">
        <v>0</v>
      </c>
      <c r="N50" s="113">
        <v>0</v>
      </c>
      <c r="O50" s="348">
        <f t="shared" si="25"/>
        <v>972.58</v>
      </c>
      <c r="P50" s="333"/>
      <c r="Q50" s="285"/>
      <c r="R50" s="285"/>
      <c r="S50" s="285" t="s">
        <v>435</v>
      </c>
      <c r="T50" s="285"/>
      <c r="U50" s="281">
        <v>819.25</v>
      </c>
      <c r="V50" s="281">
        <v>0</v>
      </c>
      <c r="W50" s="281">
        <v>0</v>
      </c>
      <c r="X50" s="281">
        <v>0</v>
      </c>
      <c r="Y50" s="281">
        <v>1285.3</v>
      </c>
      <c r="Z50" s="322"/>
    </row>
    <row r="51" spans="1:26" x14ac:dyDescent="0.3">
      <c r="A51" s="210" t="s">
        <v>220</v>
      </c>
      <c r="B51" s="210" t="s">
        <v>221</v>
      </c>
      <c r="C51" s="372">
        <v>0</v>
      </c>
      <c r="D51" s="372">
        <v>0</v>
      </c>
      <c r="E51" s="372">
        <v>0</v>
      </c>
      <c r="F51" s="372">
        <v>0</v>
      </c>
      <c r="G51" s="372">
        <v>0</v>
      </c>
      <c r="H51" s="103">
        <v>0</v>
      </c>
      <c r="I51" s="113">
        <v>0</v>
      </c>
      <c r="J51" s="113">
        <v>0</v>
      </c>
      <c r="K51" s="113">
        <v>0</v>
      </c>
      <c r="L51" s="113">
        <v>0</v>
      </c>
      <c r="M51" s="113">
        <v>0</v>
      </c>
      <c r="N51" s="113">
        <v>0</v>
      </c>
      <c r="O51" s="348">
        <f t="shared" si="25"/>
        <v>0</v>
      </c>
      <c r="P51" s="333"/>
      <c r="Q51" s="285"/>
      <c r="R51" s="285"/>
      <c r="S51" s="285" t="s">
        <v>436</v>
      </c>
      <c r="T51" s="285"/>
      <c r="U51" s="281">
        <v>237.5</v>
      </c>
      <c r="V51" s="281">
        <v>175</v>
      </c>
      <c r="W51" s="281">
        <v>160</v>
      </c>
      <c r="X51" s="281">
        <v>477.5</v>
      </c>
      <c r="Y51" s="281">
        <v>0</v>
      </c>
      <c r="Z51" s="322"/>
    </row>
    <row r="52" spans="1:26" x14ac:dyDescent="0.3">
      <c r="A52" s="296" t="s">
        <v>222</v>
      </c>
      <c r="B52" s="296" t="s">
        <v>223</v>
      </c>
      <c r="C52" s="372">
        <f>U53</f>
        <v>0</v>
      </c>
      <c r="D52" s="372">
        <f t="shared" ref="D52:H52" si="33">V53</f>
        <v>0</v>
      </c>
      <c r="E52" s="372">
        <f t="shared" si="33"/>
        <v>0</v>
      </c>
      <c r="F52" s="372">
        <f t="shared" si="33"/>
        <v>56.2</v>
      </c>
      <c r="G52" s="372">
        <f t="shared" si="33"/>
        <v>0</v>
      </c>
      <c r="H52" s="103">
        <f t="shared" si="33"/>
        <v>0</v>
      </c>
      <c r="I52" s="103">
        <v>0</v>
      </c>
      <c r="J52" s="103">
        <v>0</v>
      </c>
      <c r="K52" s="103">
        <v>0</v>
      </c>
      <c r="L52" s="103">
        <v>0</v>
      </c>
      <c r="M52" s="103">
        <v>0</v>
      </c>
      <c r="N52" s="103">
        <v>0</v>
      </c>
      <c r="O52" s="348">
        <f t="shared" si="25"/>
        <v>56.2</v>
      </c>
      <c r="P52" s="333"/>
      <c r="Q52" s="285"/>
      <c r="R52" s="285"/>
      <c r="S52" s="285" t="s">
        <v>437</v>
      </c>
      <c r="T52" s="285"/>
      <c r="U52" s="281">
        <v>0</v>
      </c>
      <c r="V52" s="281">
        <v>0</v>
      </c>
      <c r="W52" s="281">
        <v>0</v>
      </c>
      <c r="X52" s="281">
        <v>0</v>
      </c>
      <c r="Y52" s="281">
        <v>972.58</v>
      </c>
      <c r="Z52" s="322"/>
    </row>
    <row r="53" spans="1:26" x14ac:dyDescent="0.3">
      <c r="A53" s="293"/>
      <c r="B53" s="297" t="s">
        <v>224</v>
      </c>
      <c r="C53" s="374">
        <f>SUM(C31:C52)</f>
        <v>36977.840000000004</v>
      </c>
      <c r="D53" s="374">
        <f t="shared" ref="D53:N53" si="34">SUM(D31:D52)</f>
        <v>33935.99</v>
      </c>
      <c r="E53" s="374">
        <f t="shared" si="34"/>
        <v>29945.93</v>
      </c>
      <c r="F53" s="374">
        <f t="shared" si="34"/>
        <v>30992.75</v>
      </c>
      <c r="G53" s="374">
        <f t="shared" si="34"/>
        <v>36763.240000000005</v>
      </c>
      <c r="H53" s="110">
        <f t="shared" si="34"/>
        <v>0</v>
      </c>
      <c r="I53" s="110">
        <f t="shared" si="34"/>
        <v>0</v>
      </c>
      <c r="J53" s="110">
        <f t="shared" si="34"/>
        <v>0</v>
      </c>
      <c r="K53" s="110">
        <f t="shared" si="34"/>
        <v>0</v>
      </c>
      <c r="L53" s="110">
        <f t="shared" si="34"/>
        <v>0</v>
      </c>
      <c r="M53" s="110">
        <f t="shared" si="34"/>
        <v>0</v>
      </c>
      <c r="N53" s="110">
        <f t="shared" si="34"/>
        <v>0</v>
      </c>
      <c r="O53" s="348">
        <f t="shared" si="25"/>
        <v>168615.75</v>
      </c>
      <c r="P53" s="333"/>
      <c r="Q53" s="285"/>
      <c r="R53" s="285"/>
      <c r="S53" s="285" t="s">
        <v>438</v>
      </c>
      <c r="T53" s="285"/>
      <c r="U53" s="281">
        <v>0</v>
      </c>
      <c r="V53" s="281">
        <v>0</v>
      </c>
      <c r="W53" s="281">
        <v>0</v>
      </c>
      <c r="X53" s="281">
        <v>56.2</v>
      </c>
      <c r="Y53" s="281">
        <v>0</v>
      </c>
      <c r="Z53" s="322"/>
    </row>
    <row r="54" spans="1:26" x14ac:dyDescent="0.3">
      <c r="A54" s="298"/>
      <c r="B54" s="213" t="s">
        <v>225</v>
      </c>
      <c r="C54" s="376">
        <f>C53+C30</f>
        <v>70913.140000000014</v>
      </c>
      <c r="D54" s="376">
        <f t="shared" ref="D54:N54" si="35">D53+D30</f>
        <v>69490.010000000009</v>
      </c>
      <c r="E54" s="376">
        <f t="shared" si="35"/>
        <v>84380.91</v>
      </c>
      <c r="F54" s="376">
        <f t="shared" si="35"/>
        <v>73334.299999999988</v>
      </c>
      <c r="G54" s="376">
        <f t="shared" si="35"/>
        <v>77746.740000000005</v>
      </c>
      <c r="H54" s="111">
        <f>H53+H30</f>
        <v>0</v>
      </c>
      <c r="I54" s="111">
        <f t="shared" ref="I54:K54" si="36">I53+I30</f>
        <v>0</v>
      </c>
      <c r="J54" s="111">
        <f t="shared" si="36"/>
        <v>0</v>
      </c>
      <c r="K54" s="111">
        <f t="shared" si="36"/>
        <v>0</v>
      </c>
      <c r="L54" s="111">
        <f t="shared" si="35"/>
        <v>0</v>
      </c>
      <c r="M54" s="111">
        <f t="shared" si="35"/>
        <v>0</v>
      </c>
      <c r="N54" s="111">
        <f t="shared" si="35"/>
        <v>0</v>
      </c>
      <c r="O54" s="348">
        <f t="shared" si="25"/>
        <v>375865.1</v>
      </c>
      <c r="P54" s="333"/>
      <c r="Q54" s="285"/>
      <c r="R54" s="285"/>
      <c r="S54" s="285" t="s">
        <v>439</v>
      </c>
      <c r="T54" s="285"/>
      <c r="U54" s="281">
        <v>4805.5200000000004</v>
      </c>
      <c r="V54" s="281">
        <v>5339.68</v>
      </c>
      <c r="W54" s="281">
        <v>8009.52</v>
      </c>
      <c r="X54" s="281">
        <v>5072.4799999999996</v>
      </c>
      <c r="Y54" s="281">
        <v>5339.68</v>
      </c>
      <c r="Z54" s="322"/>
    </row>
    <row r="55" spans="1:26" x14ac:dyDescent="0.3">
      <c r="A55" s="210" t="s">
        <v>226</v>
      </c>
      <c r="B55" s="210" t="s">
        <v>227</v>
      </c>
      <c r="C55" s="372">
        <v>0</v>
      </c>
      <c r="D55" s="372">
        <v>0</v>
      </c>
      <c r="E55" s="372">
        <v>0</v>
      </c>
      <c r="F55" s="372">
        <v>0</v>
      </c>
      <c r="G55" s="372">
        <v>0</v>
      </c>
      <c r="H55" s="103">
        <v>0</v>
      </c>
      <c r="I55" s="113">
        <v>0</v>
      </c>
      <c r="J55" s="113">
        <v>0</v>
      </c>
      <c r="K55" s="113">
        <v>0</v>
      </c>
      <c r="L55" s="113">
        <v>0</v>
      </c>
      <c r="M55" s="113">
        <v>0</v>
      </c>
      <c r="N55" s="113">
        <v>0</v>
      </c>
      <c r="O55" s="348">
        <f t="shared" si="25"/>
        <v>0</v>
      </c>
      <c r="P55" s="333"/>
      <c r="Q55" s="285"/>
      <c r="R55" s="285"/>
      <c r="S55" s="285" t="s">
        <v>440</v>
      </c>
      <c r="T55" s="285"/>
      <c r="U55" s="281">
        <v>14564.35</v>
      </c>
      <c r="V55" s="281">
        <v>12730.42</v>
      </c>
      <c r="W55" s="281">
        <v>18450.53</v>
      </c>
      <c r="X55" s="281">
        <v>11236.25</v>
      </c>
      <c r="Y55" s="281">
        <v>13062.01</v>
      </c>
      <c r="Z55" s="322"/>
    </row>
    <row r="56" spans="1:26" x14ac:dyDescent="0.3">
      <c r="A56" s="210" t="s">
        <v>228</v>
      </c>
      <c r="B56" s="210" t="s">
        <v>229</v>
      </c>
      <c r="C56" s="372">
        <v>0</v>
      </c>
      <c r="D56" s="372">
        <v>0</v>
      </c>
      <c r="E56" s="372">
        <v>0</v>
      </c>
      <c r="F56" s="372">
        <v>0</v>
      </c>
      <c r="G56" s="372">
        <v>0</v>
      </c>
      <c r="H56" s="103">
        <v>0</v>
      </c>
      <c r="I56" s="113">
        <v>0</v>
      </c>
      <c r="J56" s="113">
        <v>0</v>
      </c>
      <c r="K56" s="113">
        <v>0</v>
      </c>
      <c r="L56" s="113">
        <v>0</v>
      </c>
      <c r="M56" s="113">
        <v>0</v>
      </c>
      <c r="N56" s="113">
        <v>0</v>
      </c>
      <c r="O56" s="348">
        <f t="shared" si="25"/>
        <v>0</v>
      </c>
      <c r="P56" s="333"/>
      <c r="Q56" s="285"/>
      <c r="R56" s="285"/>
      <c r="S56" s="285" t="s">
        <v>441</v>
      </c>
      <c r="T56" s="285"/>
      <c r="U56" s="281">
        <v>2721.36</v>
      </c>
      <c r="V56" s="281">
        <v>2744.55</v>
      </c>
      <c r="W56" s="281">
        <v>2410.77</v>
      </c>
      <c r="X56" s="281">
        <v>2577.66</v>
      </c>
      <c r="Y56" s="281">
        <v>2577.66</v>
      </c>
      <c r="Z56" s="322"/>
    </row>
    <row r="57" spans="1:26" x14ac:dyDescent="0.3">
      <c r="A57" s="210" t="s">
        <v>230</v>
      </c>
      <c r="B57" s="210" t="s">
        <v>231</v>
      </c>
      <c r="C57" s="372">
        <v>0</v>
      </c>
      <c r="D57" s="372">
        <v>0</v>
      </c>
      <c r="E57" s="372">
        <v>0</v>
      </c>
      <c r="F57" s="372">
        <v>0</v>
      </c>
      <c r="G57" s="372">
        <v>0</v>
      </c>
      <c r="H57" s="103">
        <v>0</v>
      </c>
      <c r="I57" s="113">
        <v>0</v>
      </c>
      <c r="J57" s="113">
        <v>0</v>
      </c>
      <c r="K57" s="113">
        <v>0</v>
      </c>
      <c r="L57" s="113">
        <v>0</v>
      </c>
      <c r="M57" s="113">
        <v>0</v>
      </c>
      <c r="N57" s="113">
        <v>0</v>
      </c>
      <c r="O57" s="348">
        <f t="shared" si="25"/>
        <v>0</v>
      </c>
      <c r="P57" s="333"/>
      <c r="Q57" s="285"/>
      <c r="R57" s="285"/>
      <c r="S57" s="285" t="s">
        <v>442</v>
      </c>
      <c r="T57" s="285"/>
      <c r="U57" s="281">
        <v>0</v>
      </c>
      <c r="V57" s="281">
        <v>0</v>
      </c>
      <c r="W57" s="281">
        <v>97.13</v>
      </c>
      <c r="X57" s="281">
        <v>310.89</v>
      </c>
      <c r="Y57" s="281">
        <v>23.95</v>
      </c>
      <c r="Z57" s="322"/>
    </row>
    <row r="58" spans="1:26" x14ac:dyDescent="0.3">
      <c r="A58" s="210" t="s">
        <v>232</v>
      </c>
      <c r="B58" s="210" t="s">
        <v>233</v>
      </c>
      <c r="C58" s="372">
        <f>U54</f>
        <v>4805.5200000000004</v>
      </c>
      <c r="D58" s="372">
        <f t="shared" ref="D58:G58" si="37">V54</f>
        <v>5339.68</v>
      </c>
      <c r="E58" s="372">
        <f t="shared" si="37"/>
        <v>8009.52</v>
      </c>
      <c r="F58" s="372">
        <f t="shared" si="37"/>
        <v>5072.4799999999996</v>
      </c>
      <c r="G58" s="372">
        <f t="shared" si="37"/>
        <v>5339.68</v>
      </c>
      <c r="H58" s="103">
        <v>0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348">
        <f t="shared" si="25"/>
        <v>28566.880000000001</v>
      </c>
      <c r="P58" s="333"/>
      <c r="Q58" s="285"/>
      <c r="R58" s="285"/>
      <c r="S58" s="285" t="s">
        <v>443</v>
      </c>
      <c r="T58" s="285"/>
      <c r="U58" s="281">
        <v>1327.1</v>
      </c>
      <c r="V58" s="281">
        <v>563.76</v>
      </c>
      <c r="W58" s="281">
        <v>2464.4499999999998</v>
      </c>
      <c r="X58" s="281">
        <v>2855.47</v>
      </c>
      <c r="Y58" s="281">
        <v>1832.89</v>
      </c>
      <c r="Z58" s="322"/>
    </row>
    <row r="59" spans="1:26" x14ac:dyDescent="0.3">
      <c r="A59" s="210" t="s">
        <v>234</v>
      </c>
      <c r="B59" s="210" t="s">
        <v>235</v>
      </c>
      <c r="C59" s="372">
        <v>0</v>
      </c>
      <c r="D59" s="372">
        <v>0</v>
      </c>
      <c r="E59" s="372">
        <v>0</v>
      </c>
      <c r="F59" s="372">
        <v>0</v>
      </c>
      <c r="G59" s="372">
        <v>0</v>
      </c>
      <c r="H59" s="103">
        <v>0</v>
      </c>
      <c r="I59" s="113">
        <v>0</v>
      </c>
      <c r="J59" s="113">
        <v>0</v>
      </c>
      <c r="K59" s="113">
        <v>0</v>
      </c>
      <c r="L59" s="113">
        <v>0</v>
      </c>
      <c r="M59" s="113">
        <v>0</v>
      </c>
      <c r="N59" s="113">
        <v>0</v>
      </c>
      <c r="O59" s="348">
        <f t="shared" si="25"/>
        <v>0</v>
      </c>
      <c r="P59" s="333"/>
      <c r="Q59" s="285"/>
      <c r="R59" s="285"/>
      <c r="S59" s="285" t="s">
        <v>444</v>
      </c>
      <c r="T59" s="285"/>
      <c r="U59" s="281">
        <v>0</v>
      </c>
      <c r="V59" s="281">
        <v>0</v>
      </c>
      <c r="W59" s="281">
        <v>150.72999999999999</v>
      </c>
      <c r="X59" s="281">
        <v>249.42</v>
      </c>
      <c r="Y59" s="281">
        <v>249.4</v>
      </c>
      <c r="Z59" s="322"/>
    </row>
    <row r="60" spans="1:26" x14ac:dyDescent="0.3">
      <c r="A60" s="210" t="s">
        <v>236</v>
      </c>
      <c r="B60" s="210" t="s">
        <v>237</v>
      </c>
      <c r="C60" s="372">
        <v>0</v>
      </c>
      <c r="D60" s="372">
        <v>0</v>
      </c>
      <c r="E60" s="372">
        <v>0</v>
      </c>
      <c r="F60" s="372">
        <v>0</v>
      </c>
      <c r="G60" s="372">
        <v>0</v>
      </c>
      <c r="H60" s="103">
        <v>0</v>
      </c>
      <c r="I60" s="113">
        <v>0</v>
      </c>
      <c r="J60" s="113">
        <v>0</v>
      </c>
      <c r="K60" s="113">
        <v>0</v>
      </c>
      <c r="L60" s="113">
        <v>0</v>
      </c>
      <c r="M60" s="113">
        <v>0</v>
      </c>
      <c r="N60" s="113">
        <v>0</v>
      </c>
      <c r="O60" s="348">
        <f t="shared" si="25"/>
        <v>0</v>
      </c>
      <c r="P60" s="333"/>
      <c r="Q60" s="285"/>
      <c r="R60" s="285"/>
      <c r="S60" s="285" t="s">
        <v>445</v>
      </c>
      <c r="T60" s="285"/>
      <c r="U60" s="278"/>
      <c r="V60" s="278"/>
      <c r="W60" s="278"/>
      <c r="X60" s="278"/>
      <c r="Y60" s="278"/>
      <c r="Z60" s="322"/>
    </row>
    <row r="61" spans="1:26" x14ac:dyDescent="0.3">
      <c r="A61" s="210" t="s">
        <v>238</v>
      </c>
      <c r="B61" s="210" t="s">
        <v>239</v>
      </c>
      <c r="C61" s="372">
        <f>U55</f>
        <v>14564.35</v>
      </c>
      <c r="D61" s="372">
        <f t="shared" ref="D61:G61" si="38">V55</f>
        <v>12730.42</v>
      </c>
      <c r="E61" s="372">
        <f t="shared" si="38"/>
        <v>18450.53</v>
      </c>
      <c r="F61" s="372">
        <f t="shared" si="38"/>
        <v>11236.25</v>
      </c>
      <c r="G61" s="372">
        <f t="shared" si="38"/>
        <v>13062.01</v>
      </c>
      <c r="H61" s="103">
        <v>0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348">
        <f t="shared" si="25"/>
        <v>70043.56</v>
      </c>
      <c r="P61" s="333"/>
      <c r="Q61" s="285"/>
      <c r="R61" s="285"/>
      <c r="S61" s="285"/>
      <c r="T61" s="285" t="s">
        <v>446</v>
      </c>
      <c r="U61" s="278">
        <v>0</v>
      </c>
      <c r="V61" s="278">
        <v>557.53</v>
      </c>
      <c r="W61" s="278">
        <v>0</v>
      </c>
      <c r="X61" s="278">
        <v>0</v>
      </c>
      <c r="Y61" s="278">
        <v>540.1</v>
      </c>
      <c r="Z61" s="322"/>
    </row>
    <row r="62" spans="1:26" ht="15" thickBot="1" x14ac:dyDescent="0.35">
      <c r="A62" s="210" t="s">
        <v>240</v>
      </c>
      <c r="B62" s="210" t="s">
        <v>241</v>
      </c>
      <c r="C62" s="372">
        <v>0</v>
      </c>
      <c r="D62" s="372">
        <v>0</v>
      </c>
      <c r="E62" s="372">
        <v>0</v>
      </c>
      <c r="F62" s="372">
        <v>0</v>
      </c>
      <c r="G62" s="372">
        <v>0</v>
      </c>
      <c r="H62" s="103">
        <v>0</v>
      </c>
      <c r="I62" s="103">
        <v>0</v>
      </c>
      <c r="J62" s="103">
        <v>0</v>
      </c>
      <c r="K62" s="103">
        <v>0</v>
      </c>
      <c r="L62" s="103">
        <v>0</v>
      </c>
      <c r="M62" s="103">
        <v>0</v>
      </c>
      <c r="N62" s="103">
        <v>0</v>
      </c>
      <c r="O62" s="348">
        <f t="shared" si="25"/>
        <v>0</v>
      </c>
      <c r="P62" s="333"/>
      <c r="Q62" s="285"/>
      <c r="R62" s="285"/>
      <c r="S62" s="285"/>
      <c r="T62" s="285" t="s">
        <v>447</v>
      </c>
      <c r="U62" s="286">
        <v>314.14</v>
      </c>
      <c r="V62" s="286">
        <v>0</v>
      </c>
      <c r="W62" s="286">
        <v>0</v>
      </c>
      <c r="X62" s="286">
        <v>942.42</v>
      </c>
      <c r="Y62" s="286">
        <v>314.14</v>
      </c>
      <c r="Z62" s="322"/>
    </row>
    <row r="63" spans="1:26" x14ac:dyDescent="0.3">
      <c r="A63" s="210" t="s">
        <v>242</v>
      </c>
      <c r="B63" s="210" t="s">
        <v>243</v>
      </c>
      <c r="C63" s="372">
        <v>0</v>
      </c>
      <c r="D63" s="372">
        <v>0</v>
      </c>
      <c r="E63" s="372">
        <v>0</v>
      </c>
      <c r="F63" s="372">
        <v>0</v>
      </c>
      <c r="G63" s="372">
        <v>0</v>
      </c>
      <c r="H63" s="103">
        <v>0</v>
      </c>
      <c r="I63" s="103">
        <v>0</v>
      </c>
      <c r="J63" s="103">
        <v>0</v>
      </c>
      <c r="K63" s="103">
        <v>0</v>
      </c>
      <c r="L63" s="103">
        <v>0</v>
      </c>
      <c r="M63" s="103">
        <v>0</v>
      </c>
      <c r="N63" s="103">
        <v>0</v>
      </c>
      <c r="O63" s="348">
        <f t="shared" si="25"/>
        <v>0</v>
      </c>
      <c r="P63" s="333"/>
      <c r="Q63" s="285"/>
      <c r="R63" s="285"/>
      <c r="S63" s="285" t="s">
        <v>448</v>
      </c>
      <c r="T63" s="285"/>
      <c r="U63" s="281">
        <v>314.14</v>
      </c>
      <c r="V63" s="281">
        <v>557.53</v>
      </c>
      <c r="W63" s="281">
        <v>0</v>
      </c>
      <c r="X63" s="281">
        <v>942.42</v>
      </c>
      <c r="Y63" s="281">
        <v>854.24</v>
      </c>
      <c r="Z63" s="322"/>
    </row>
    <row r="64" spans="1:26" x14ac:dyDescent="0.3">
      <c r="A64" s="210" t="s">
        <v>244</v>
      </c>
      <c r="B64" s="210" t="s">
        <v>245</v>
      </c>
      <c r="C64" s="372">
        <v>0</v>
      </c>
      <c r="D64" s="372">
        <v>0</v>
      </c>
      <c r="E64" s="372">
        <v>0</v>
      </c>
      <c r="F64" s="372">
        <v>0</v>
      </c>
      <c r="G64" s="372">
        <v>0</v>
      </c>
      <c r="H64" s="103">
        <v>0</v>
      </c>
      <c r="I64" s="103">
        <v>0</v>
      </c>
      <c r="J64" s="103">
        <v>0</v>
      </c>
      <c r="K64" s="103">
        <v>0</v>
      </c>
      <c r="L64" s="103">
        <v>0</v>
      </c>
      <c r="M64" s="103">
        <v>0</v>
      </c>
      <c r="N64" s="103">
        <v>0</v>
      </c>
      <c r="O64" s="348">
        <f t="shared" si="25"/>
        <v>0</v>
      </c>
      <c r="P64" s="333"/>
      <c r="Q64" s="285"/>
      <c r="R64" s="285"/>
      <c r="S64" s="285" t="s">
        <v>449</v>
      </c>
      <c r="T64" s="285"/>
      <c r="U64" s="281">
        <v>0</v>
      </c>
      <c r="V64" s="281">
        <v>0</v>
      </c>
      <c r="W64" s="281">
        <v>0</v>
      </c>
      <c r="X64" s="281">
        <v>0</v>
      </c>
      <c r="Y64" s="281">
        <v>1147.01</v>
      </c>
      <c r="Z64" s="322"/>
    </row>
    <row r="65" spans="1:26" x14ac:dyDescent="0.3">
      <c r="A65" s="210" t="s">
        <v>246</v>
      </c>
      <c r="B65" s="210" t="s">
        <v>247</v>
      </c>
      <c r="C65" s="372">
        <v>0</v>
      </c>
      <c r="D65" s="372">
        <v>0</v>
      </c>
      <c r="E65" s="372">
        <v>0</v>
      </c>
      <c r="F65" s="372">
        <v>0</v>
      </c>
      <c r="G65" s="372">
        <v>0</v>
      </c>
      <c r="H65" s="103">
        <v>0</v>
      </c>
      <c r="I65" s="103">
        <v>0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348">
        <f t="shared" si="25"/>
        <v>0</v>
      </c>
      <c r="P65" s="333"/>
      <c r="Q65" s="285"/>
      <c r="R65" s="285"/>
      <c r="S65" s="285" t="s">
        <v>450</v>
      </c>
      <c r="T65" s="285"/>
      <c r="U65" s="281">
        <v>0</v>
      </c>
      <c r="V65" s="281">
        <v>0</v>
      </c>
      <c r="W65" s="281">
        <v>0</v>
      </c>
      <c r="X65" s="281">
        <v>0</v>
      </c>
      <c r="Y65" s="281">
        <v>69.69</v>
      </c>
      <c r="Z65" s="322"/>
    </row>
    <row r="66" spans="1:26" x14ac:dyDescent="0.3">
      <c r="A66" s="210" t="s">
        <v>248</v>
      </c>
      <c r="B66" s="210" t="s">
        <v>249</v>
      </c>
      <c r="C66" s="372">
        <v>0</v>
      </c>
      <c r="D66" s="372">
        <v>0</v>
      </c>
      <c r="E66" s="372">
        <v>0</v>
      </c>
      <c r="F66" s="372">
        <v>0</v>
      </c>
      <c r="G66" s="372">
        <v>0</v>
      </c>
      <c r="H66" s="103">
        <v>0</v>
      </c>
      <c r="I66" s="103">
        <v>0</v>
      </c>
      <c r="J66" s="103">
        <v>0</v>
      </c>
      <c r="K66" s="103">
        <v>0</v>
      </c>
      <c r="L66" s="103">
        <v>0</v>
      </c>
      <c r="M66" s="103">
        <v>0</v>
      </c>
      <c r="N66" s="103">
        <v>0</v>
      </c>
      <c r="O66" s="348">
        <f t="shared" si="25"/>
        <v>0</v>
      </c>
      <c r="P66" s="333"/>
      <c r="Q66" s="285"/>
      <c r="R66" s="285"/>
      <c r="S66" s="285" t="s">
        <v>451</v>
      </c>
      <c r="T66" s="285"/>
      <c r="U66" s="281">
        <v>0</v>
      </c>
      <c r="V66" s="281">
        <v>0</v>
      </c>
      <c r="W66" s="281">
        <v>0</v>
      </c>
      <c r="X66" s="281">
        <v>0</v>
      </c>
      <c r="Y66" s="281">
        <v>167.17</v>
      </c>
      <c r="Z66" s="322"/>
    </row>
    <row r="67" spans="1:26" x14ac:dyDescent="0.3">
      <c r="A67" s="210" t="s">
        <v>250</v>
      </c>
      <c r="B67" s="210" t="s">
        <v>251</v>
      </c>
      <c r="C67" s="372">
        <v>0</v>
      </c>
      <c r="D67" s="372">
        <v>0</v>
      </c>
      <c r="E67" s="372">
        <v>0</v>
      </c>
      <c r="F67" s="372">
        <v>0</v>
      </c>
      <c r="G67" s="372">
        <v>0</v>
      </c>
      <c r="H67" s="103">
        <v>0</v>
      </c>
      <c r="I67" s="103">
        <v>0</v>
      </c>
      <c r="J67" s="103">
        <v>0</v>
      </c>
      <c r="K67" s="103">
        <v>0</v>
      </c>
      <c r="L67" s="103">
        <v>0</v>
      </c>
      <c r="M67" s="103">
        <v>0</v>
      </c>
      <c r="N67" s="103">
        <v>0</v>
      </c>
      <c r="O67" s="348">
        <f t="shared" si="25"/>
        <v>0</v>
      </c>
      <c r="P67" s="333"/>
      <c r="Q67" s="285"/>
      <c r="R67" s="285"/>
      <c r="S67" s="285" t="s">
        <v>452</v>
      </c>
      <c r="T67" s="285"/>
      <c r="U67" s="281">
        <v>0</v>
      </c>
      <c r="V67" s="281">
        <v>0</v>
      </c>
      <c r="W67" s="281">
        <v>0</v>
      </c>
      <c r="X67" s="281">
        <v>0</v>
      </c>
      <c r="Y67" s="281">
        <v>63.89</v>
      </c>
      <c r="Z67" s="322"/>
    </row>
    <row r="68" spans="1:26" x14ac:dyDescent="0.3">
      <c r="A68" s="210" t="s">
        <v>252</v>
      </c>
      <c r="B68" s="210" t="s">
        <v>253</v>
      </c>
      <c r="C68" s="372">
        <v>0</v>
      </c>
      <c r="D68" s="372">
        <v>0</v>
      </c>
      <c r="E68" s="372">
        <v>0</v>
      </c>
      <c r="F68" s="372">
        <v>0</v>
      </c>
      <c r="G68" s="372">
        <v>0</v>
      </c>
      <c r="H68" s="103">
        <v>0</v>
      </c>
      <c r="I68" s="103">
        <v>0</v>
      </c>
      <c r="J68" s="103">
        <v>0</v>
      </c>
      <c r="K68" s="103">
        <v>0</v>
      </c>
      <c r="L68" s="103">
        <v>0</v>
      </c>
      <c r="M68" s="103">
        <v>0</v>
      </c>
      <c r="N68" s="103">
        <v>0</v>
      </c>
      <c r="O68" s="348">
        <f t="shared" si="25"/>
        <v>0</v>
      </c>
      <c r="P68" s="333"/>
      <c r="Q68" s="285"/>
      <c r="R68" s="285"/>
      <c r="S68" s="285" t="s">
        <v>453</v>
      </c>
      <c r="T68" s="285"/>
      <c r="U68" s="281"/>
      <c r="V68" s="281"/>
      <c r="W68" s="281"/>
      <c r="X68" s="281"/>
      <c r="Y68" s="281">
        <f>SUM(Y65:Y67)</f>
        <v>300.75</v>
      </c>
      <c r="Z68" s="322"/>
    </row>
    <row r="69" spans="1:26" ht="15" thickBot="1" x14ac:dyDescent="0.35">
      <c r="A69" s="210" t="s">
        <v>254</v>
      </c>
      <c r="B69" s="210" t="s">
        <v>255</v>
      </c>
      <c r="C69" s="372">
        <f>U57+U45</f>
        <v>0</v>
      </c>
      <c r="D69" s="372">
        <f t="shared" ref="D69:G69" si="39">V57+V45</f>
        <v>0</v>
      </c>
      <c r="E69" s="372">
        <f t="shared" si="39"/>
        <v>97.13</v>
      </c>
      <c r="F69" s="372">
        <f t="shared" si="39"/>
        <v>323.52</v>
      </c>
      <c r="G69" s="372">
        <f t="shared" si="39"/>
        <v>23.95</v>
      </c>
      <c r="H69" s="103">
        <v>0</v>
      </c>
      <c r="I69" s="103">
        <v>0</v>
      </c>
      <c r="J69" s="103">
        <v>0</v>
      </c>
      <c r="K69" s="103">
        <v>0</v>
      </c>
      <c r="L69" s="103">
        <v>0</v>
      </c>
      <c r="M69" s="103">
        <v>0</v>
      </c>
      <c r="N69" s="103">
        <v>0</v>
      </c>
      <c r="O69" s="348">
        <f t="shared" si="25"/>
        <v>444.59999999999997</v>
      </c>
      <c r="P69" s="333"/>
      <c r="Q69" s="285"/>
      <c r="R69" s="285"/>
      <c r="S69" s="285"/>
      <c r="T69" s="285" t="s">
        <v>454</v>
      </c>
      <c r="U69" s="290">
        <v>1401.2</v>
      </c>
      <c r="V69" s="290">
        <v>0</v>
      </c>
      <c r="W69" s="290">
        <v>0</v>
      </c>
      <c r="X69" s="290">
        <v>0</v>
      </c>
      <c r="Y69" s="290">
        <v>0</v>
      </c>
      <c r="Z69" s="322"/>
    </row>
    <row r="70" spans="1:26" x14ac:dyDescent="0.3">
      <c r="A70" s="210" t="s">
        <v>256</v>
      </c>
      <c r="B70" s="210" t="s">
        <v>257</v>
      </c>
      <c r="C70" s="372">
        <v>0</v>
      </c>
      <c r="D70" s="372">
        <v>0</v>
      </c>
      <c r="E70" s="372">
        <v>0</v>
      </c>
      <c r="F70" s="372">
        <v>0</v>
      </c>
      <c r="G70" s="372">
        <v>0</v>
      </c>
      <c r="H70" s="103">
        <v>0</v>
      </c>
      <c r="I70" s="103">
        <v>0</v>
      </c>
      <c r="J70" s="103">
        <v>0</v>
      </c>
      <c r="K70" s="103">
        <v>0</v>
      </c>
      <c r="L70" s="103">
        <v>0</v>
      </c>
      <c r="M70" s="103">
        <v>0</v>
      </c>
      <c r="N70" s="103">
        <v>0</v>
      </c>
      <c r="O70" s="348">
        <f t="shared" si="25"/>
        <v>0</v>
      </c>
      <c r="P70" s="333"/>
      <c r="Q70" s="285"/>
      <c r="R70" s="285"/>
      <c r="S70" s="285" t="s">
        <v>455</v>
      </c>
      <c r="T70" s="285"/>
      <c r="U70" s="281">
        <v>1401.2</v>
      </c>
      <c r="V70" s="281">
        <v>0</v>
      </c>
      <c r="W70" s="281">
        <v>0</v>
      </c>
      <c r="X70" s="281">
        <v>0</v>
      </c>
      <c r="Y70" s="281">
        <v>0</v>
      </c>
      <c r="Z70" s="322"/>
    </row>
    <row r="71" spans="1:26" x14ac:dyDescent="0.3">
      <c r="A71" s="210" t="s">
        <v>258</v>
      </c>
      <c r="B71" s="210" t="s">
        <v>259</v>
      </c>
      <c r="C71" s="372">
        <f>U58</f>
        <v>1327.1</v>
      </c>
      <c r="D71" s="372">
        <f t="shared" ref="D71:G71" si="40">V58</f>
        <v>563.76</v>
      </c>
      <c r="E71" s="372">
        <f t="shared" si="40"/>
        <v>2464.4499999999998</v>
      </c>
      <c r="F71" s="372">
        <f t="shared" si="40"/>
        <v>2855.47</v>
      </c>
      <c r="G71" s="372">
        <f t="shared" si="40"/>
        <v>1832.89</v>
      </c>
      <c r="H71" s="103">
        <v>0</v>
      </c>
      <c r="I71" s="103">
        <v>0</v>
      </c>
      <c r="J71" s="103">
        <v>0</v>
      </c>
      <c r="K71" s="103">
        <v>0</v>
      </c>
      <c r="L71" s="103">
        <v>0</v>
      </c>
      <c r="M71" s="103">
        <v>0</v>
      </c>
      <c r="N71" s="103">
        <v>0</v>
      </c>
      <c r="O71" s="348">
        <f t="shared" si="25"/>
        <v>9043.6699999999983</v>
      </c>
      <c r="P71" s="333"/>
      <c r="Q71" s="285"/>
      <c r="R71" s="285"/>
      <c r="S71" s="285" t="s">
        <v>456</v>
      </c>
      <c r="T71" s="285"/>
      <c r="U71" s="278"/>
      <c r="V71" s="278"/>
      <c r="W71" s="278"/>
      <c r="X71" s="278"/>
      <c r="Y71" s="278"/>
      <c r="Z71" s="322"/>
    </row>
    <row r="72" spans="1:26" x14ac:dyDescent="0.3">
      <c r="A72" s="210" t="s">
        <v>260</v>
      </c>
      <c r="B72" s="210" t="s">
        <v>261</v>
      </c>
      <c r="C72" s="372">
        <f>U59</f>
        <v>0</v>
      </c>
      <c r="D72" s="372">
        <f t="shared" ref="D72:G72" si="41">V59</f>
        <v>0</v>
      </c>
      <c r="E72" s="372">
        <f t="shared" si="41"/>
        <v>150.72999999999999</v>
      </c>
      <c r="F72" s="372">
        <f t="shared" si="41"/>
        <v>249.42</v>
      </c>
      <c r="G72" s="372">
        <f t="shared" si="41"/>
        <v>249.4</v>
      </c>
      <c r="H72" s="103">
        <v>0</v>
      </c>
      <c r="I72" s="103">
        <v>0</v>
      </c>
      <c r="J72" s="103">
        <v>0</v>
      </c>
      <c r="K72" s="103">
        <v>0</v>
      </c>
      <c r="L72" s="103">
        <v>0</v>
      </c>
      <c r="M72" s="103">
        <v>0</v>
      </c>
      <c r="N72" s="103">
        <v>0</v>
      </c>
      <c r="O72" s="348">
        <f t="shared" si="25"/>
        <v>649.54999999999995</v>
      </c>
      <c r="P72" s="333"/>
      <c r="Q72" s="285"/>
      <c r="R72" s="285"/>
      <c r="S72" s="285"/>
      <c r="T72" s="285" t="s">
        <v>457</v>
      </c>
      <c r="U72" s="278">
        <v>0</v>
      </c>
      <c r="V72" s="278">
        <v>6</v>
      </c>
      <c r="W72" s="278">
        <v>0</v>
      </c>
      <c r="X72" s="278">
        <v>0</v>
      </c>
      <c r="Y72" s="278">
        <v>0</v>
      </c>
      <c r="Z72" s="322"/>
    </row>
    <row r="73" spans="1:26" ht="15" thickBot="1" x14ac:dyDescent="0.35">
      <c r="A73" s="210" t="s">
        <v>262</v>
      </c>
      <c r="B73" s="210" t="s">
        <v>263</v>
      </c>
      <c r="C73" s="372">
        <f>U63</f>
        <v>314.14</v>
      </c>
      <c r="D73" s="372">
        <f t="shared" ref="D73:G73" si="42">V63</f>
        <v>557.53</v>
      </c>
      <c r="E73" s="372">
        <f t="shared" si="42"/>
        <v>0</v>
      </c>
      <c r="F73" s="372">
        <f t="shared" si="42"/>
        <v>942.42</v>
      </c>
      <c r="G73" s="372">
        <f t="shared" si="42"/>
        <v>854.24</v>
      </c>
      <c r="H73" s="103">
        <v>0</v>
      </c>
      <c r="I73" s="103">
        <v>0</v>
      </c>
      <c r="J73" s="103">
        <v>0</v>
      </c>
      <c r="K73" s="103">
        <v>0</v>
      </c>
      <c r="L73" s="103">
        <v>0</v>
      </c>
      <c r="M73" s="103">
        <v>0</v>
      </c>
      <c r="N73" s="103">
        <v>0</v>
      </c>
      <c r="O73" s="348">
        <f t="shared" si="25"/>
        <v>2668.33</v>
      </c>
      <c r="P73" s="333"/>
      <c r="Q73" s="285"/>
      <c r="R73" s="285"/>
      <c r="S73" s="285"/>
      <c r="T73" s="285" t="s">
        <v>458</v>
      </c>
      <c r="U73" s="286">
        <v>285.23</v>
      </c>
      <c r="V73" s="286">
        <v>252.03</v>
      </c>
      <c r="W73" s="286">
        <v>405.06</v>
      </c>
      <c r="X73" s="286">
        <v>493.52</v>
      </c>
      <c r="Y73" s="286">
        <v>482.75</v>
      </c>
      <c r="Z73" s="322"/>
    </row>
    <row r="74" spans="1:26" x14ac:dyDescent="0.3">
      <c r="A74" s="210" t="s">
        <v>264</v>
      </c>
      <c r="B74" s="210" t="s">
        <v>265</v>
      </c>
      <c r="C74" s="372">
        <f>U56</f>
        <v>2721.36</v>
      </c>
      <c r="D74" s="372">
        <f t="shared" ref="D74:G74" si="43">V56</f>
        <v>2744.55</v>
      </c>
      <c r="E74" s="372">
        <f t="shared" si="43"/>
        <v>2410.77</v>
      </c>
      <c r="F74" s="372">
        <f t="shared" si="43"/>
        <v>2577.66</v>
      </c>
      <c r="G74" s="372">
        <f t="shared" si="43"/>
        <v>2577.66</v>
      </c>
      <c r="H74" s="103">
        <v>0</v>
      </c>
      <c r="I74" s="103">
        <v>0</v>
      </c>
      <c r="J74" s="103">
        <v>0</v>
      </c>
      <c r="K74" s="103">
        <v>0</v>
      </c>
      <c r="L74" s="103">
        <v>0</v>
      </c>
      <c r="M74" s="103">
        <v>0</v>
      </c>
      <c r="N74" s="103">
        <v>0</v>
      </c>
      <c r="O74" s="348">
        <f t="shared" si="25"/>
        <v>13032</v>
      </c>
      <c r="P74" s="333"/>
      <c r="Q74" s="285"/>
      <c r="R74" s="285"/>
      <c r="S74" s="285" t="s">
        <v>459</v>
      </c>
      <c r="T74" s="285"/>
      <c r="U74" s="281">
        <v>285.23</v>
      </c>
      <c r="V74" s="281">
        <v>258.02999999999997</v>
      </c>
      <c r="W74" s="281">
        <v>405.06</v>
      </c>
      <c r="X74" s="281">
        <v>493.52</v>
      </c>
      <c r="Y74" s="281">
        <v>482.75</v>
      </c>
      <c r="Z74" s="322"/>
    </row>
    <row r="75" spans="1:26" x14ac:dyDescent="0.3">
      <c r="A75" s="210" t="s">
        <v>266</v>
      </c>
      <c r="B75" s="210" t="s">
        <v>267</v>
      </c>
      <c r="C75" s="372">
        <f>U64</f>
        <v>0</v>
      </c>
      <c r="D75" s="372">
        <f t="shared" ref="D75:G76" si="44">V64</f>
        <v>0</v>
      </c>
      <c r="E75" s="372">
        <f t="shared" si="44"/>
        <v>0</v>
      </c>
      <c r="F75" s="372">
        <f t="shared" si="44"/>
        <v>0</v>
      </c>
      <c r="G75" s="372">
        <f t="shared" si="44"/>
        <v>1147.01</v>
      </c>
      <c r="H75" s="103">
        <v>0</v>
      </c>
      <c r="I75" s="103">
        <v>0</v>
      </c>
      <c r="J75" s="103">
        <v>0</v>
      </c>
      <c r="K75" s="103">
        <v>0</v>
      </c>
      <c r="L75" s="103">
        <v>0</v>
      </c>
      <c r="M75" s="103">
        <v>0</v>
      </c>
      <c r="N75" s="103">
        <v>0</v>
      </c>
      <c r="O75" s="348">
        <f t="shared" si="25"/>
        <v>1147.01</v>
      </c>
      <c r="P75" s="333"/>
      <c r="Q75" s="285"/>
      <c r="R75" s="285"/>
      <c r="S75" s="285" t="s">
        <v>460</v>
      </c>
      <c r="T75" s="285"/>
      <c r="U75" s="281">
        <v>0</v>
      </c>
      <c r="V75" s="281">
        <v>0</v>
      </c>
      <c r="W75" s="281">
        <v>0</v>
      </c>
      <c r="X75" s="281">
        <v>134.88</v>
      </c>
      <c r="Y75" s="281">
        <v>0</v>
      </c>
      <c r="Z75" s="322"/>
    </row>
    <row r="76" spans="1:26" x14ac:dyDescent="0.3">
      <c r="A76" s="210" t="s">
        <v>268</v>
      </c>
      <c r="B76" s="210" t="s">
        <v>269</v>
      </c>
      <c r="C76" s="372">
        <f>U65</f>
        <v>0</v>
      </c>
      <c r="D76" s="372">
        <f t="shared" si="44"/>
        <v>0</v>
      </c>
      <c r="E76" s="372">
        <f t="shared" si="44"/>
        <v>0</v>
      </c>
      <c r="F76" s="372">
        <f t="shared" si="44"/>
        <v>0</v>
      </c>
      <c r="G76" s="372">
        <f t="shared" si="44"/>
        <v>69.69</v>
      </c>
      <c r="H76" s="103">
        <v>0</v>
      </c>
      <c r="I76" s="103">
        <v>0</v>
      </c>
      <c r="J76" s="103">
        <v>0</v>
      </c>
      <c r="K76" s="103">
        <v>0</v>
      </c>
      <c r="L76" s="103">
        <v>0</v>
      </c>
      <c r="M76" s="103">
        <v>0</v>
      </c>
      <c r="N76" s="103">
        <v>0</v>
      </c>
      <c r="O76" s="348">
        <f t="shared" si="25"/>
        <v>69.69</v>
      </c>
      <c r="P76" s="333"/>
      <c r="Q76" s="285"/>
      <c r="R76" s="285"/>
      <c r="S76" s="285" t="s">
        <v>461</v>
      </c>
      <c r="T76" s="285"/>
      <c r="U76" s="281">
        <v>15</v>
      </c>
      <c r="V76" s="281">
        <v>0</v>
      </c>
      <c r="W76" s="281">
        <v>0</v>
      </c>
      <c r="X76" s="281">
        <v>0</v>
      </c>
      <c r="Y76" s="281">
        <v>0</v>
      </c>
      <c r="Z76" s="322"/>
    </row>
    <row r="77" spans="1:26" x14ac:dyDescent="0.3">
      <c r="A77" s="210" t="s">
        <v>270</v>
      </c>
      <c r="B77" s="210" t="s">
        <v>271</v>
      </c>
      <c r="C77" s="372">
        <f t="shared" ref="C77:C79" si="45">U66</f>
        <v>0</v>
      </c>
      <c r="D77" s="372">
        <f t="shared" ref="D77:D79" si="46">V66</f>
        <v>0</v>
      </c>
      <c r="E77" s="372">
        <f t="shared" ref="E77:E79" si="47">W66</f>
        <v>0</v>
      </c>
      <c r="F77" s="372">
        <f t="shared" ref="F77:F79" si="48">X66</f>
        <v>0</v>
      </c>
      <c r="G77" s="372">
        <f t="shared" ref="G77:G78" si="49">Y66</f>
        <v>167.17</v>
      </c>
      <c r="H77" s="103">
        <v>0</v>
      </c>
      <c r="I77" s="103">
        <v>0</v>
      </c>
      <c r="J77" s="103">
        <v>0</v>
      </c>
      <c r="K77" s="103">
        <v>0</v>
      </c>
      <c r="L77" s="103">
        <v>0</v>
      </c>
      <c r="M77" s="103">
        <v>0</v>
      </c>
      <c r="N77" s="103">
        <v>0</v>
      </c>
      <c r="O77" s="348">
        <f t="shared" si="25"/>
        <v>167.17</v>
      </c>
      <c r="P77" s="333"/>
      <c r="Q77" s="285"/>
      <c r="R77" s="285"/>
      <c r="S77" s="285" t="s">
        <v>462</v>
      </c>
      <c r="T77" s="285"/>
      <c r="U77" s="281">
        <v>30908.98</v>
      </c>
      <c r="V77" s="281">
        <v>30908.98</v>
      </c>
      <c r="W77" s="281">
        <v>30908.98</v>
      </c>
      <c r="X77" s="281">
        <v>30908.98</v>
      </c>
      <c r="Y77" s="281">
        <v>30908.98</v>
      </c>
      <c r="Z77" s="322"/>
    </row>
    <row r="78" spans="1:26" x14ac:dyDescent="0.3">
      <c r="A78" s="210" t="s">
        <v>272</v>
      </c>
      <c r="B78" s="210" t="s">
        <v>273</v>
      </c>
      <c r="C78" s="372">
        <f t="shared" si="45"/>
        <v>0</v>
      </c>
      <c r="D78" s="372">
        <f t="shared" si="46"/>
        <v>0</v>
      </c>
      <c r="E78" s="372">
        <f t="shared" si="47"/>
        <v>0</v>
      </c>
      <c r="F78" s="372">
        <f t="shared" si="48"/>
        <v>0</v>
      </c>
      <c r="G78" s="372">
        <f t="shared" si="49"/>
        <v>63.89</v>
      </c>
      <c r="H78" s="103">
        <v>0</v>
      </c>
      <c r="I78" s="103">
        <v>0</v>
      </c>
      <c r="J78" s="103">
        <v>0</v>
      </c>
      <c r="K78" s="103">
        <v>0</v>
      </c>
      <c r="L78" s="103">
        <v>0</v>
      </c>
      <c r="M78" s="103">
        <v>0</v>
      </c>
      <c r="N78" s="103">
        <v>0</v>
      </c>
      <c r="O78" s="348">
        <f t="shared" si="25"/>
        <v>63.89</v>
      </c>
      <c r="P78" s="333"/>
      <c r="Q78" s="285"/>
      <c r="R78" s="285"/>
      <c r="S78" s="285" t="s">
        <v>463</v>
      </c>
      <c r="T78" s="285"/>
      <c r="U78" s="278">
        <v>0</v>
      </c>
      <c r="V78" s="278">
        <v>654.80999999999995</v>
      </c>
      <c r="W78" s="278">
        <v>0</v>
      </c>
      <c r="X78" s="278">
        <v>0</v>
      </c>
      <c r="Y78" s="278">
        <v>0</v>
      </c>
      <c r="Z78" s="322"/>
    </row>
    <row r="79" spans="1:26" x14ac:dyDescent="0.3">
      <c r="A79" s="210" t="s">
        <v>274</v>
      </c>
      <c r="B79" s="210" t="s">
        <v>275</v>
      </c>
      <c r="C79" s="372">
        <f t="shared" si="45"/>
        <v>0</v>
      </c>
      <c r="D79" s="372">
        <f t="shared" si="46"/>
        <v>0</v>
      </c>
      <c r="E79" s="372">
        <f t="shared" si="47"/>
        <v>0</v>
      </c>
      <c r="F79" s="372">
        <f t="shared" si="48"/>
        <v>0</v>
      </c>
      <c r="G79" s="372" t="s">
        <v>0</v>
      </c>
      <c r="H79" s="103">
        <v>0</v>
      </c>
      <c r="I79" s="103">
        <v>0</v>
      </c>
      <c r="J79" s="103">
        <v>0</v>
      </c>
      <c r="K79" s="103">
        <v>0</v>
      </c>
      <c r="L79" s="103">
        <v>0</v>
      </c>
      <c r="M79" s="103">
        <v>0</v>
      </c>
      <c r="N79" s="103">
        <v>0</v>
      </c>
      <c r="O79" s="348">
        <f t="shared" si="25"/>
        <v>0</v>
      </c>
      <c r="P79" s="333"/>
      <c r="Q79" s="285"/>
      <c r="R79" s="285"/>
      <c r="S79" s="285" t="s">
        <v>464</v>
      </c>
      <c r="T79" s="285"/>
      <c r="U79" s="281">
        <v>1819.3</v>
      </c>
      <c r="V79" s="281">
        <v>1819.3</v>
      </c>
      <c r="W79" s="281">
        <v>3638.6</v>
      </c>
      <c r="X79" s="281">
        <v>853.15</v>
      </c>
      <c r="Y79" s="281">
        <v>1819.3</v>
      </c>
      <c r="Z79" s="322"/>
    </row>
    <row r="80" spans="1:26" x14ac:dyDescent="0.3">
      <c r="A80" s="210" t="s">
        <v>276</v>
      </c>
      <c r="B80" s="210" t="s">
        <v>277</v>
      </c>
      <c r="C80" s="372">
        <v>0</v>
      </c>
      <c r="D80" s="372">
        <v>0</v>
      </c>
      <c r="E80" s="372">
        <v>0</v>
      </c>
      <c r="F80" s="372">
        <v>0</v>
      </c>
      <c r="G80" s="372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03">
        <v>0</v>
      </c>
      <c r="N80" s="103">
        <v>0</v>
      </c>
      <c r="O80" s="348">
        <f t="shared" si="25"/>
        <v>0</v>
      </c>
      <c r="P80" s="333"/>
      <c r="Q80" s="285"/>
      <c r="R80" s="285"/>
      <c r="S80" s="285" t="s">
        <v>465</v>
      </c>
      <c r="T80" s="285"/>
      <c r="U80" s="281">
        <v>795.6</v>
      </c>
      <c r="V80" s="281">
        <v>0</v>
      </c>
      <c r="W80" s="281">
        <v>0</v>
      </c>
      <c r="X80" s="281">
        <v>0</v>
      </c>
      <c r="Y80" s="281">
        <v>0</v>
      </c>
      <c r="Z80" s="322"/>
    </row>
    <row r="81" spans="1:26" ht="15" thickBot="1" x14ac:dyDescent="0.35">
      <c r="A81" s="210" t="s">
        <v>278</v>
      </c>
      <c r="B81" s="210" t="s">
        <v>279</v>
      </c>
      <c r="C81" s="372">
        <v>0</v>
      </c>
      <c r="D81" s="372">
        <v>0</v>
      </c>
      <c r="E81" s="372">
        <v>0</v>
      </c>
      <c r="F81" s="372">
        <v>0</v>
      </c>
      <c r="G81" s="372">
        <v>0</v>
      </c>
      <c r="H81" s="103">
        <v>0</v>
      </c>
      <c r="I81" s="103">
        <v>0</v>
      </c>
      <c r="J81" s="103">
        <v>0</v>
      </c>
      <c r="K81" s="103">
        <v>0</v>
      </c>
      <c r="L81" s="103">
        <v>0</v>
      </c>
      <c r="M81" s="103">
        <v>0</v>
      </c>
      <c r="N81" s="103">
        <v>0</v>
      </c>
      <c r="O81" s="348">
        <f t="shared" si="25"/>
        <v>0</v>
      </c>
      <c r="P81" s="333"/>
      <c r="Q81" s="285"/>
      <c r="R81" s="285" t="s">
        <v>466</v>
      </c>
      <c r="S81" s="285" t="s">
        <v>467</v>
      </c>
      <c r="T81" s="285"/>
      <c r="U81" s="280">
        <v>4281.2299999999996</v>
      </c>
      <c r="V81" s="280">
        <v>6516.24</v>
      </c>
      <c r="W81" s="280">
        <v>6466.12</v>
      </c>
      <c r="X81" s="280">
        <v>12882.68</v>
      </c>
      <c r="Y81" s="280">
        <v>7139.88</v>
      </c>
      <c r="Z81" s="322"/>
    </row>
    <row r="82" spans="1:26" ht="15" thickBot="1" x14ac:dyDescent="0.35">
      <c r="A82" s="210" t="s">
        <v>280</v>
      </c>
      <c r="B82" s="210" t="s">
        <v>281</v>
      </c>
      <c r="C82" s="372">
        <v>0</v>
      </c>
      <c r="D82" s="372">
        <v>0</v>
      </c>
      <c r="E82" s="372">
        <v>0</v>
      </c>
      <c r="F82" s="372">
        <v>0</v>
      </c>
      <c r="G82" s="372">
        <v>0</v>
      </c>
      <c r="H82" s="103">
        <v>0</v>
      </c>
      <c r="I82" s="103">
        <v>0</v>
      </c>
      <c r="J82" s="103">
        <v>0</v>
      </c>
      <c r="K82" s="103">
        <v>0</v>
      </c>
      <c r="L82" s="103">
        <v>0</v>
      </c>
      <c r="M82" s="103">
        <v>0</v>
      </c>
      <c r="N82" s="103">
        <v>0</v>
      </c>
      <c r="O82" s="348">
        <f t="shared" si="25"/>
        <v>0</v>
      </c>
      <c r="P82" s="333"/>
      <c r="Q82" s="285"/>
      <c r="R82" s="285"/>
      <c r="S82" s="285"/>
      <c r="T82" s="285"/>
      <c r="U82" s="287">
        <v>134152.15</v>
      </c>
      <c r="V82" s="287">
        <v>131583.31</v>
      </c>
      <c r="W82" s="287">
        <v>157382.79999999999</v>
      </c>
      <c r="X82" s="287">
        <v>141864.73000000001</v>
      </c>
      <c r="Y82" s="287">
        <v>143485.24</v>
      </c>
      <c r="Z82" s="322"/>
    </row>
    <row r="83" spans="1:26" x14ac:dyDescent="0.3">
      <c r="A83" s="210" t="s">
        <v>282</v>
      </c>
      <c r="B83" s="210" t="s">
        <v>283</v>
      </c>
      <c r="C83" s="372">
        <v>0</v>
      </c>
      <c r="D83" s="372">
        <v>0</v>
      </c>
      <c r="E83" s="372">
        <v>0</v>
      </c>
      <c r="F83" s="372">
        <v>0</v>
      </c>
      <c r="G83" s="372">
        <v>0</v>
      </c>
      <c r="H83" s="103">
        <v>0</v>
      </c>
      <c r="I83" s="103">
        <v>0</v>
      </c>
      <c r="J83" s="103">
        <v>0</v>
      </c>
      <c r="K83" s="103">
        <v>0</v>
      </c>
      <c r="L83" s="103">
        <v>0</v>
      </c>
      <c r="M83" s="103">
        <v>0</v>
      </c>
      <c r="N83" s="103">
        <v>0</v>
      </c>
      <c r="O83" s="348">
        <f t="shared" si="25"/>
        <v>0</v>
      </c>
      <c r="P83" s="333"/>
      <c r="Q83" s="285"/>
      <c r="R83" s="285"/>
      <c r="S83" s="285"/>
      <c r="T83" s="285"/>
      <c r="U83" s="278">
        <v>6500.66</v>
      </c>
      <c r="V83" s="278">
        <v>8170.16</v>
      </c>
      <c r="W83" s="278">
        <v>-8776.82</v>
      </c>
      <c r="X83" s="278">
        <v>-8828.42</v>
      </c>
      <c r="Y83" s="278">
        <v>6752.75</v>
      </c>
      <c r="Z83" s="322"/>
    </row>
    <row r="84" spans="1:26" x14ac:dyDescent="0.3">
      <c r="A84" s="210" t="s">
        <v>284</v>
      </c>
      <c r="B84" s="210" t="s">
        <v>285</v>
      </c>
      <c r="C84" s="372">
        <v>0</v>
      </c>
      <c r="D84" s="372">
        <v>0</v>
      </c>
      <c r="E84" s="372">
        <v>0</v>
      </c>
      <c r="F84" s="372">
        <v>0</v>
      </c>
      <c r="G84" s="372">
        <v>0</v>
      </c>
      <c r="H84" s="103">
        <v>0</v>
      </c>
      <c r="I84" s="103">
        <v>0</v>
      </c>
      <c r="J84" s="103">
        <v>0</v>
      </c>
      <c r="K84" s="103">
        <v>0</v>
      </c>
      <c r="L84" s="103">
        <v>0</v>
      </c>
      <c r="M84" s="103">
        <v>0</v>
      </c>
      <c r="N84" s="103">
        <v>0</v>
      </c>
      <c r="O84" s="348">
        <f t="shared" si="25"/>
        <v>0</v>
      </c>
      <c r="P84" s="333"/>
      <c r="Q84" s="285" t="s">
        <v>468</v>
      </c>
      <c r="R84" s="285"/>
      <c r="S84" s="285"/>
      <c r="T84" s="285"/>
      <c r="U84" s="278"/>
      <c r="V84" s="278"/>
      <c r="W84" s="278"/>
      <c r="X84" s="278"/>
      <c r="Y84" s="278"/>
      <c r="Z84" s="322"/>
    </row>
    <row r="85" spans="1:26" x14ac:dyDescent="0.3">
      <c r="A85" s="210" t="s">
        <v>286</v>
      </c>
      <c r="B85" s="210" t="s">
        <v>287</v>
      </c>
      <c r="C85" s="372">
        <f t="shared" ref="C85:F85" si="50">U70</f>
        <v>1401.2</v>
      </c>
      <c r="D85" s="372">
        <f t="shared" si="50"/>
        <v>0</v>
      </c>
      <c r="E85" s="372">
        <f t="shared" si="50"/>
        <v>0</v>
      </c>
      <c r="F85" s="372">
        <f t="shared" si="50"/>
        <v>0</v>
      </c>
      <c r="G85" s="372">
        <f>Y70</f>
        <v>0</v>
      </c>
      <c r="H85" s="103">
        <v>0</v>
      </c>
      <c r="I85" s="103">
        <v>0</v>
      </c>
      <c r="J85" s="103">
        <v>0</v>
      </c>
      <c r="K85" s="103">
        <v>0</v>
      </c>
      <c r="L85" s="103">
        <v>0</v>
      </c>
      <c r="M85" s="103">
        <v>0</v>
      </c>
      <c r="N85" s="103">
        <v>0</v>
      </c>
      <c r="O85" s="348">
        <f t="shared" si="25"/>
        <v>1401.2</v>
      </c>
      <c r="P85" s="333"/>
      <c r="Q85" s="285"/>
      <c r="R85" s="285" t="s">
        <v>469</v>
      </c>
      <c r="S85" s="285"/>
      <c r="T85" s="285"/>
      <c r="U85" s="278"/>
      <c r="V85" s="278"/>
      <c r="W85" s="278"/>
      <c r="X85" s="278"/>
      <c r="Y85" s="278"/>
      <c r="Z85" s="322"/>
    </row>
    <row r="86" spans="1:26" ht="15" thickBot="1" x14ac:dyDescent="0.35">
      <c r="A86" s="210" t="s">
        <v>288</v>
      </c>
      <c r="B86" s="210" t="s">
        <v>289</v>
      </c>
      <c r="C86" s="372">
        <v>0</v>
      </c>
      <c r="D86" s="372">
        <v>0</v>
      </c>
      <c r="E86" s="372">
        <v>0</v>
      </c>
      <c r="F86" s="372">
        <v>0</v>
      </c>
      <c r="G86" s="372">
        <v>0</v>
      </c>
      <c r="H86" s="103">
        <v>0</v>
      </c>
      <c r="I86" s="103">
        <v>0</v>
      </c>
      <c r="J86" s="103">
        <v>0</v>
      </c>
      <c r="K86" s="103">
        <v>0</v>
      </c>
      <c r="L86" s="103">
        <v>0</v>
      </c>
      <c r="M86" s="103">
        <v>0</v>
      </c>
      <c r="N86" s="103">
        <v>0</v>
      </c>
      <c r="O86" s="348">
        <f t="shared" si="25"/>
        <v>0</v>
      </c>
      <c r="P86" s="333"/>
      <c r="Q86" s="285" t="s">
        <v>470</v>
      </c>
      <c r="R86" s="285"/>
      <c r="S86" s="285"/>
      <c r="T86" s="285"/>
      <c r="U86" s="280">
        <v>0</v>
      </c>
      <c r="V86" s="280">
        <v>0</v>
      </c>
      <c r="W86" s="280">
        <v>0</v>
      </c>
      <c r="X86" s="280">
        <v>0</v>
      </c>
      <c r="Y86" s="291">
        <v>575</v>
      </c>
      <c r="Z86" s="322"/>
    </row>
    <row r="87" spans="1:26" ht="15" thickBot="1" x14ac:dyDescent="0.35">
      <c r="A87" s="210" t="s">
        <v>290</v>
      </c>
      <c r="B87" s="210" t="s">
        <v>291</v>
      </c>
      <c r="C87" s="372">
        <f>U74</f>
        <v>285.23</v>
      </c>
      <c r="D87" s="372">
        <f t="shared" ref="D87:G87" si="51">V74</f>
        <v>258.02999999999997</v>
      </c>
      <c r="E87" s="372">
        <f t="shared" si="51"/>
        <v>405.06</v>
      </c>
      <c r="F87" s="372">
        <f t="shared" si="51"/>
        <v>493.52</v>
      </c>
      <c r="G87" s="372">
        <f t="shared" si="51"/>
        <v>482.75</v>
      </c>
      <c r="H87" s="103">
        <v>0</v>
      </c>
      <c r="I87" s="103">
        <v>0</v>
      </c>
      <c r="J87" s="103">
        <v>0</v>
      </c>
      <c r="K87" s="103">
        <v>0</v>
      </c>
      <c r="L87" s="103">
        <v>0</v>
      </c>
      <c r="M87" s="103">
        <v>0</v>
      </c>
      <c r="N87" s="103">
        <v>0</v>
      </c>
      <c r="O87" s="348">
        <f t="shared" si="25"/>
        <v>1924.59</v>
      </c>
      <c r="P87" s="333"/>
      <c r="Q87" s="285"/>
      <c r="R87" s="285"/>
      <c r="S87" s="285"/>
      <c r="T87" s="285"/>
      <c r="U87" s="288">
        <v>0</v>
      </c>
      <c r="V87" s="288">
        <v>0</v>
      </c>
      <c r="W87" s="288">
        <v>0</v>
      </c>
      <c r="X87" s="288">
        <v>0</v>
      </c>
      <c r="Y87" s="288">
        <v>575</v>
      </c>
      <c r="Z87" s="322"/>
    </row>
    <row r="88" spans="1:26" ht="15" thickBot="1" x14ac:dyDescent="0.35">
      <c r="A88" s="210" t="s">
        <v>292</v>
      </c>
      <c r="B88" s="210" t="s">
        <v>293</v>
      </c>
      <c r="C88" s="372">
        <v>0</v>
      </c>
      <c r="D88" s="372">
        <v>0</v>
      </c>
      <c r="E88" s="372">
        <v>0</v>
      </c>
      <c r="F88" s="372">
        <v>0</v>
      </c>
      <c r="G88" s="372">
        <v>0</v>
      </c>
      <c r="H88" s="103">
        <v>0</v>
      </c>
      <c r="I88" s="103">
        <v>0</v>
      </c>
      <c r="J88" s="103">
        <v>0</v>
      </c>
      <c r="K88" s="103">
        <v>0</v>
      </c>
      <c r="L88" s="103">
        <v>0</v>
      </c>
      <c r="M88" s="103">
        <v>0</v>
      </c>
      <c r="N88" s="103">
        <v>0</v>
      </c>
      <c r="O88" s="348">
        <f t="shared" si="25"/>
        <v>0</v>
      </c>
      <c r="P88" s="333"/>
      <c r="Q88" s="285"/>
      <c r="R88" s="285"/>
      <c r="S88" s="285"/>
      <c r="T88" s="285"/>
      <c r="U88" s="288">
        <v>0</v>
      </c>
      <c r="V88" s="288">
        <v>0</v>
      </c>
      <c r="W88" s="288">
        <v>0</v>
      </c>
      <c r="X88" s="288">
        <v>0</v>
      </c>
      <c r="Y88" s="288">
        <v>575</v>
      </c>
      <c r="Z88" s="322"/>
    </row>
    <row r="89" spans="1:26" ht="15" thickBot="1" x14ac:dyDescent="0.35">
      <c r="A89" s="210" t="s">
        <v>294</v>
      </c>
      <c r="B89" s="210" t="s">
        <v>295</v>
      </c>
      <c r="C89" s="372">
        <v>0</v>
      </c>
      <c r="D89" s="372">
        <v>0</v>
      </c>
      <c r="E89" s="372">
        <v>0</v>
      </c>
      <c r="F89" s="372">
        <v>0</v>
      </c>
      <c r="G89" s="372">
        <v>0</v>
      </c>
      <c r="H89" s="103">
        <v>0</v>
      </c>
      <c r="I89" s="103">
        <v>0</v>
      </c>
      <c r="J89" s="103">
        <v>0</v>
      </c>
      <c r="K89" s="103">
        <v>0</v>
      </c>
      <c r="L89" s="103">
        <v>0</v>
      </c>
      <c r="M89" s="103">
        <v>0</v>
      </c>
      <c r="N89" s="103">
        <v>0</v>
      </c>
      <c r="O89" s="348">
        <f t="shared" si="25"/>
        <v>0</v>
      </c>
      <c r="P89" s="333"/>
      <c r="Q89" s="323"/>
      <c r="R89" s="323"/>
      <c r="S89" s="285"/>
      <c r="T89" s="285"/>
      <c r="U89" s="338">
        <v>6500.66</v>
      </c>
      <c r="V89" s="483">
        <v>8170.16</v>
      </c>
      <c r="W89" s="483">
        <v>-8776.82</v>
      </c>
      <c r="X89" s="483">
        <v>-8828.42</v>
      </c>
      <c r="Y89" s="289">
        <v>7327.75</v>
      </c>
      <c r="Z89" s="285"/>
    </row>
    <row r="90" spans="1:26" ht="15" thickTop="1" x14ac:dyDescent="0.3">
      <c r="A90" s="210" t="s">
        <v>296</v>
      </c>
      <c r="B90" s="210" t="s">
        <v>297</v>
      </c>
      <c r="C90" s="372">
        <f>U75</f>
        <v>0</v>
      </c>
      <c r="D90" s="372">
        <f t="shared" ref="D90:G90" si="52">V75</f>
        <v>0</v>
      </c>
      <c r="E90" s="372">
        <f t="shared" si="52"/>
        <v>0</v>
      </c>
      <c r="F90" s="372">
        <f t="shared" si="52"/>
        <v>134.88</v>
      </c>
      <c r="G90" s="372">
        <f t="shared" si="52"/>
        <v>0</v>
      </c>
      <c r="H90" s="103">
        <v>0</v>
      </c>
      <c r="I90" s="103">
        <v>0</v>
      </c>
      <c r="J90" s="103">
        <v>0</v>
      </c>
      <c r="K90" s="103">
        <v>0</v>
      </c>
      <c r="L90" s="103">
        <v>0</v>
      </c>
      <c r="M90" s="103">
        <v>0</v>
      </c>
      <c r="N90" s="103">
        <v>0</v>
      </c>
      <c r="O90" s="348">
        <f t="shared" si="25"/>
        <v>134.88</v>
      </c>
      <c r="P90" s="333"/>
      <c r="Q90" s="282"/>
      <c r="R90" s="282"/>
      <c r="S90" s="282"/>
      <c r="T90" s="282"/>
      <c r="U90" s="282"/>
      <c r="V90" s="310" t="s">
        <v>0</v>
      </c>
      <c r="X90" s="310">
        <f>X89-F109</f>
        <v>-1.6370904631912708E-11</v>
      </c>
      <c r="Y90" s="310">
        <f>Y89-G109</f>
        <v>574.9999999999709</v>
      </c>
      <c r="Z90" s="310" t="s">
        <v>0</v>
      </c>
    </row>
    <row r="91" spans="1:26" x14ac:dyDescent="0.3">
      <c r="A91" s="210" t="s">
        <v>298</v>
      </c>
      <c r="B91" s="210" t="s">
        <v>299</v>
      </c>
      <c r="C91" s="372">
        <v>0</v>
      </c>
      <c r="D91" s="372">
        <v>0</v>
      </c>
      <c r="E91" s="372">
        <v>0</v>
      </c>
      <c r="F91" s="372">
        <v>0</v>
      </c>
      <c r="G91" s="372">
        <v>0</v>
      </c>
      <c r="H91" s="103">
        <v>0</v>
      </c>
      <c r="I91" s="103">
        <v>0</v>
      </c>
      <c r="J91" s="103">
        <v>0</v>
      </c>
      <c r="K91" s="103">
        <v>0</v>
      </c>
      <c r="L91" s="103">
        <v>0</v>
      </c>
      <c r="M91" s="103">
        <v>0</v>
      </c>
      <c r="N91" s="103">
        <v>0</v>
      </c>
      <c r="O91" s="348">
        <f t="shared" si="25"/>
        <v>0</v>
      </c>
      <c r="P91" s="333"/>
      <c r="Q91" s="282"/>
      <c r="R91" s="282"/>
      <c r="S91" s="282"/>
      <c r="T91" s="282"/>
      <c r="U91" s="282"/>
    </row>
    <row r="92" spans="1:26" x14ac:dyDescent="0.3">
      <c r="A92" s="210" t="s">
        <v>300</v>
      </c>
      <c r="B92" s="210" t="s">
        <v>301</v>
      </c>
      <c r="C92" s="372">
        <v>0</v>
      </c>
      <c r="D92" s="372">
        <v>0</v>
      </c>
      <c r="E92" s="372">
        <v>0</v>
      </c>
      <c r="F92" s="372">
        <v>0</v>
      </c>
      <c r="G92" s="372">
        <v>0</v>
      </c>
      <c r="H92" s="103">
        <v>0</v>
      </c>
      <c r="I92" s="103">
        <v>0</v>
      </c>
      <c r="J92" s="103">
        <v>0</v>
      </c>
      <c r="K92" s="103">
        <v>0</v>
      </c>
      <c r="L92" s="103">
        <v>0</v>
      </c>
      <c r="M92" s="103">
        <v>0</v>
      </c>
      <c r="N92" s="103">
        <v>0</v>
      </c>
      <c r="O92" s="348">
        <f t="shared" si="25"/>
        <v>0</v>
      </c>
      <c r="P92" s="333"/>
      <c r="Q92" s="282"/>
      <c r="R92" s="282"/>
      <c r="S92" s="282"/>
      <c r="T92" s="282"/>
      <c r="U92" s="282"/>
    </row>
    <row r="93" spans="1:26" x14ac:dyDescent="0.3">
      <c r="A93" s="210" t="s">
        <v>302</v>
      </c>
      <c r="B93" s="210" t="s">
        <v>303</v>
      </c>
      <c r="C93" s="372">
        <f>U76</f>
        <v>15</v>
      </c>
      <c r="D93" s="372">
        <f t="shared" ref="D93:G93" si="53">V76</f>
        <v>0</v>
      </c>
      <c r="E93" s="372">
        <f t="shared" si="53"/>
        <v>0</v>
      </c>
      <c r="F93" s="372">
        <f t="shared" si="53"/>
        <v>0</v>
      </c>
      <c r="G93" s="372">
        <f t="shared" si="53"/>
        <v>0</v>
      </c>
      <c r="H93" s="103">
        <v>0</v>
      </c>
      <c r="I93" s="103">
        <v>0</v>
      </c>
      <c r="J93" s="103">
        <v>0</v>
      </c>
      <c r="K93" s="103">
        <v>0</v>
      </c>
      <c r="L93" s="103">
        <v>0</v>
      </c>
      <c r="M93" s="103">
        <v>0</v>
      </c>
      <c r="N93" s="103">
        <v>0</v>
      </c>
      <c r="O93" s="348">
        <f t="shared" si="25"/>
        <v>15</v>
      </c>
      <c r="P93" s="333"/>
      <c r="Q93" s="282"/>
      <c r="R93" s="282"/>
      <c r="S93" s="282"/>
      <c r="T93" s="282"/>
      <c r="U93" s="282"/>
    </row>
    <row r="94" spans="1:26" x14ac:dyDescent="0.3">
      <c r="A94" s="210" t="s">
        <v>304</v>
      </c>
      <c r="B94" s="210" t="s">
        <v>305</v>
      </c>
      <c r="C94" s="372">
        <v>0</v>
      </c>
      <c r="D94" s="372">
        <v>0</v>
      </c>
      <c r="E94" s="372">
        <v>0</v>
      </c>
      <c r="F94" s="372">
        <v>0</v>
      </c>
      <c r="G94" s="372">
        <v>0</v>
      </c>
      <c r="H94" s="103">
        <v>0</v>
      </c>
      <c r="I94" s="103">
        <v>0</v>
      </c>
      <c r="J94" s="103">
        <v>0</v>
      </c>
      <c r="K94" s="103">
        <v>0</v>
      </c>
      <c r="L94" s="103">
        <v>0</v>
      </c>
      <c r="M94" s="103">
        <v>0</v>
      </c>
      <c r="N94" s="103">
        <v>0</v>
      </c>
      <c r="O94" s="348">
        <f t="shared" si="25"/>
        <v>0</v>
      </c>
      <c r="P94" s="333"/>
      <c r="Q94" s="282"/>
      <c r="R94" s="282"/>
      <c r="S94" s="282"/>
      <c r="T94" s="282"/>
      <c r="U94" s="282"/>
    </row>
    <row r="95" spans="1:26" x14ac:dyDescent="0.3">
      <c r="A95" s="210" t="s">
        <v>306</v>
      </c>
      <c r="B95" s="210" t="s">
        <v>307</v>
      </c>
      <c r="C95" s="372">
        <v>0</v>
      </c>
      <c r="D95" s="372">
        <v>0</v>
      </c>
      <c r="E95" s="372">
        <v>0</v>
      </c>
      <c r="F95" s="372">
        <v>0</v>
      </c>
      <c r="G95" s="372">
        <v>0</v>
      </c>
      <c r="H95" s="103">
        <v>0</v>
      </c>
      <c r="I95" s="103">
        <v>0</v>
      </c>
      <c r="J95" s="103">
        <v>0</v>
      </c>
      <c r="K95" s="103">
        <v>0</v>
      </c>
      <c r="L95" s="103">
        <v>0</v>
      </c>
      <c r="M95" s="103">
        <v>0</v>
      </c>
      <c r="N95" s="103">
        <v>0</v>
      </c>
      <c r="O95" s="348">
        <f t="shared" si="25"/>
        <v>0</v>
      </c>
      <c r="P95" s="333"/>
      <c r="Q95" s="282"/>
      <c r="R95" s="282"/>
      <c r="S95" s="282"/>
      <c r="T95" s="282"/>
      <c r="U95" s="282"/>
    </row>
    <row r="96" spans="1:26" x14ac:dyDescent="0.3">
      <c r="A96" s="210" t="s">
        <v>308</v>
      </c>
      <c r="B96" s="210" t="s">
        <v>309</v>
      </c>
      <c r="C96" s="372">
        <v>0</v>
      </c>
      <c r="D96" s="372">
        <v>0</v>
      </c>
      <c r="E96" s="372">
        <v>0</v>
      </c>
      <c r="F96" s="372">
        <v>0</v>
      </c>
      <c r="G96" s="372">
        <v>0</v>
      </c>
      <c r="H96" s="103">
        <v>0</v>
      </c>
      <c r="I96" s="103">
        <v>0</v>
      </c>
      <c r="J96" s="103">
        <v>0</v>
      </c>
      <c r="K96" s="103">
        <v>0</v>
      </c>
      <c r="L96" s="103">
        <v>0</v>
      </c>
      <c r="M96" s="103">
        <v>0</v>
      </c>
      <c r="N96" s="103">
        <v>0</v>
      </c>
      <c r="O96" s="348">
        <f t="shared" ref="O96:O106" si="54">SUM(C96:N96)</f>
        <v>0</v>
      </c>
      <c r="P96" s="333"/>
      <c r="Q96" s="282"/>
      <c r="R96" s="282"/>
      <c r="S96" s="282"/>
      <c r="T96" s="282"/>
      <c r="U96" s="282"/>
    </row>
    <row r="97" spans="1:25" x14ac:dyDescent="0.3">
      <c r="A97" s="210" t="s">
        <v>310</v>
      </c>
      <c r="B97" s="210" t="s">
        <v>311</v>
      </c>
      <c r="C97" s="372">
        <v>0</v>
      </c>
      <c r="D97" s="372">
        <v>0</v>
      </c>
      <c r="E97" s="372">
        <v>0</v>
      </c>
      <c r="F97" s="372">
        <v>0</v>
      </c>
      <c r="G97" s="372">
        <v>0</v>
      </c>
      <c r="H97" s="103">
        <v>0</v>
      </c>
      <c r="I97" s="103">
        <v>0</v>
      </c>
      <c r="J97" s="103">
        <v>0</v>
      </c>
      <c r="K97" s="103">
        <v>0</v>
      </c>
      <c r="L97" s="103">
        <v>0</v>
      </c>
      <c r="M97" s="103">
        <v>0</v>
      </c>
      <c r="N97" s="103">
        <v>0</v>
      </c>
      <c r="O97" s="348">
        <f t="shared" si="54"/>
        <v>0</v>
      </c>
      <c r="P97" s="333"/>
      <c r="Q97" s="282"/>
      <c r="R97" s="282"/>
      <c r="S97" s="282"/>
      <c r="T97" s="282"/>
      <c r="U97" s="282"/>
    </row>
    <row r="98" spans="1:25" x14ac:dyDescent="0.3">
      <c r="A98" s="210" t="s">
        <v>312</v>
      </c>
      <c r="B98" s="210" t="s">
        <v>313</v>
      </c>
      <c r="C98" s="372">
        <v>0</v>
      </c>
      <c r="D98" s="372">
        <v>0</v>
      </c>
      <c r="E98" s="372">
        <v>0</v>
      </c>
      <c r="F98" s="372">
        <v>0</v>
      </c>
      <c r="G98" s="372">
        <v>0</v>
      </c>
      <c r="H98" s="103">
        <v>0</v>
      </c>
      <c r="I98" s="103">
        <v>0</v>
      </c>
      <c r="J98" s="103">
        <v>0</v>
      </c>
      <c r="K98" s="103">
        <v>0</v>
      </c>
      <c r="L98" s="103">
        <v>0</v>
      </c>
      <c r="M98" s="103">
        <v>0</v>
      </c>
      <c r="N98" s="103">
        <v>0</v>
      </c>
      <c r="O98" s="348">
        <f t="shared" si="54"/>
        <v>0</v>
      </c>
      <c r="P98" s="333"/>
      <c r="Q98" s="282"/>
      <c r="R98" s="282"/>
      <c r="S98" s="282"/>
      <c r="T98" s="282"/>
      <c r="U98" s="282"/>
    </row>
    <row r="99" spans="1:25" x14ac:dyDescent="0.3">
      <c r="A99" s="210" t="s">
        <v>314</v>
      </c>
      <c r="B99" s="210" t="s">
        <v>315</v>
      </c>
      <c r="C99" s="372">
        <f>U77</f>
        <v>30908.98</v>
      </c>
      <c r="D99" s="372">
        <f t="shared" ref="D99:G99" si="55">V77</f>
        <v>30908.98</v>
      </c>
      <c r="E99" s="372">
        <f t="shared" si="55"/>
        <v>30908.98</v>
      </c>
      <c r="F99" s="372">
        <f t="shared" si="55"/>
        <v>30908.98</v>
      </c>
      <c r="G99" s="372">
        <f t="shared" si="55"/>
        <v>30908.98</v>
      </c>
      <c r="H99" s="103">
        <v>0</v>
      </c>
      <c r="I99" s="103">
        <v>0</v>
      </c>
      <c r="J99" s="103">
        <v>0</v>
      </c>
      <c r="K99" s="103">
        <v>0</v>
      </c>
      <c r="L99" s="103">
        <v>0</v>
      </c>
      <c r="M99" s="103">
        <v>0</v>
      </c>
      <c r="N99" s="103">
        <v>0</v>
      </c>
      <c r="O99" s="348">
        <f t="shared" si="54"/>
        <v>154544.9</v>
      </c>
      <c r="P99" s="333"/>
      <c r="Q99" s="282"/>
      <c r="R99" s="282"/>
      <c r="S99" s="282"/>
      <c r="T99" s="282"/>
      <c r="U99" s="282"/>
    </row>
    <row r="100" spans="1:25" x14ac:dyDescent="0.3">
      <c r="A100" s="210" t="s">
        <v>316</v>
      </c>
      <c r="B100" s="210" t="s">
        <v>317</v>
      </c>
      <c r="C100" s="372">
        <v>0</v>
      </c>
      <c r="D100" s="372">
        <f>V78</f>
        <v>654.80999999999995</v>
      </c>
      <c r="E100" s="372">
        <v>0</v>
      </c>
      <c r="F100" s="372">
        <v>0</v>
      </c>
      <c r="G100" s="372">
        <v>0</v>
      </c>
      <c r="H100" s="103">
        <v>0</v>
      </c>
      <c r="I100" s="103">
        <v>0</v>
      </c>
      <c r="J100" s="103">
        <v>0</v>
      </c>
      <c r="K100" s="103">
        <v>0</v>
      </c>
      <c r="L100" s="103">
        <v>0</v>
      </c>
      <c r="M100" s="103">
        <v>0</v>
      </c>
      <c r="N100" s="103">
        <v>0</v>
      </c>
      <c r="O100" s="348">
        <f t="shared" si="54"/>
        <v>654.80999999999995</v>
      </c>
      <c r="P100" s="333"/>
      <c r="Q100" s="282"/>
      <c r="R100" s="282"/>
      <c r="S100" s="282"/>
      <c r="T100" s="282"/>
      <c r="U100" s="282"/>
    </row>
    <row r="101" spans="1:25" x14ac:dyDescent="0.3">
      <c r="A101" s="210" t="s">
        <v>318</v>
      </c>
      <c r="B101" s="210" t="s">
        <v>319</v>
      </c>
      <c r="C101" s="372">
        <f>U79</f>
        <v>1819.3</v>
      </c>
      <c r="D101" s="372">
        <f t="shared" ref="D101:G101" si="56">V79</f>
        <v>1819.3</v>
      </c>
      <c r="E101" s="372">
        <f t="shared" si="56"/>
        <v>3638.6</v>
      </c>
      <c r="F101" s="372">
        <f t="shared" si="56"/>
        <v>853.15</v>
      </c>
      <c r="G101" s="372">
        <f t="shared" si="56"/>
        <v>1819.3</v>
      </c>
      <c r="H101" s="103">
        <v>0</v>
      </c>
      <c r="I101" s="103">
        <v>0</v>
      </c>
      <c r="J101" s="103">
        <v>0</v>
      </c>
      <c r="K101" s="103">
        <v>0</v>
      </c>
      <c r="L101" s="103">
        <v>0</v>
      </c>
      <c r="M101" s="103">
        <v>0</v>
      </c>
      <c r="N101" s="103">
        <v>0</v>
      </c>
      <c r="O101" s="348">
        <f t="shared" si="54"/>
        <v>9949.65</v>
      </c>
      <c r="P101" s="333"/>
      <c r="Q101" s="282"/>
      <c r="R101" s="282"/>
      <c r="S101" s="282"/>
      <c r="T101" s="282"/>
      <c r="U101" s="282"/>
    </row>
    <row r="102" spans="1:25" x14ac:dyDescent="0.3">
      <c r="A102" s="210" t="s">
        <v>320</v>
      </c>
      <c r="B102" s="210" t="s">
        <v>321</v>
      </c>
      <c r="C102" s="372">
        <v>0</v>
      </c>
      <c r="D102" s="372">
        <v>0</v>
      </c>
      <c r="E102" s="372">
        <v>0</v>
      </c>
      <c r="F102" s="372">
        <v>0</v>
      </c>
      <c r="G102" s="372">
        <v>0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348">
        <f t="shared" si="54"/>
        <v>0</v>
      </c>
      <c r="P102" s="333"/>
      <c r="Q102" s="282"/>
      <c r="R102" s="282"/>
      <c r="S102" s="282"/>
      <c r="T102" s="282"/>
      <c r="U102" s="282"/>
    </row>
    <row r="103" spans="1:25" x14ac:dyDescent="0.3">
      <c r="A103" s="210" t="s">
        <v>322</v>
      </c>
      <c r="B103" s="210" t="s">
        <v>323</v>
      </c>
      <c r="C103" s="372">
        <v>0</v>
      </c>
      <c r="D103" s="372">
        <v>0</v>
      </c>
      <c r="E103" s="372">
        <v>0</v>
      </c>
      <c r="F103" s="372">
        <v>0</v>
      </c>
      <c r="G103" s="372">
        <v>0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348">
        <f t="shared" si="54"/>
        <v>0</v>
      </c>
      <c r="P103" s="333"/>
      <c r="Q103" s="282"/>
      <c r="R103" s="282"/>
      <c r="S103" s="282"/>
      <c r="T103" s="282"/>
      <c r="U103" s="282"/>
    </row>
    <row r="104" spans="1:25" x14ac:dyDescent="0.3">
      <c r="A104" s="210" t="s">
        <v>324</v>
      </c>
      <c r="B104" s="210" t="s">
        <v>325</v>
      </c>
      <c r="C104" s="372">
        <v>0</v>
      </c>
      <c r="D104" s="372">
        <v>0</v>
      </c>
      <c r="E104" s="372">
        <v>0</v>
      </c>
      <c r="F104" s="372">
        <v>0</v>
      </c>
      <c r="G104" s="372">
        <v>0</v>
      </c>
      <c r="H104" s="103">
        <v>0</v>
      </c>
      <c r="I104" s="103">
        <v>0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348">
        <f t="shared" si="54"/>
        <v>0</v>
      </c>
      <c r="P104" s="333"/>
      <c r="Q104" s="282"/>
      <c r="R104" s="282"/>
      <c r="S104" s="282"/>
      <c r="T104" s="282"/>
      <c r="U104" s="282"/>
    </row>
    <row r="105" spans="1:25" x14ac:dyDescent="0.3">
      <c r="A105" s="213" t="s">
        <v>326</v>
      </c>
      <c r="B105" s="296" t="s">
        <v>327</v>
      </c>
      <c r="C105" s="372">
        <f>U80</f>
        <v>795.6</v>
      </c>
      <c r="D105" s="372">
        <f t="shared" ref="D105:G105" si="57">V80</f>
        <v>0</v>
      </c>
      <c r="E105" s="372">
        <f t="shared" si="57"/>
        <v>0</v>
      </c>
      <c r="F105" s="372">
        <f t="shared" si="57"/>
        <v>0</v>
      </c>
      <c r="G105" s="372">
        <f t="shared" si="57"/>
        <v>0</v>
      </c>
      <c r="H105" s="103">
        <v>0</v>
      </c>
      <c r="I105" s="103">
        <v>0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348">
        <f t="shared" si="54"/>
        <v>795.6</v>
      </c>
      <c r="P105" s="333"/>
      <c r="Q105" s="282"/>
      <c r="R105" s="282"/>
      <c r="S105" s="282"/>
      <c r="T105" s="282"/>
      <c r="U105" s="282"/>
    </row>
    <row r="106" spans="1:25" x14ac:dyDescent="0.3">
      <c r="A106" s="213"/>
      <c r="B106" s="300" t="s">
        <v>382</v>
      </c>
      <c r="C106" s="372">
        <f>U81</f>
        <v>4281.2299999999996</v>
      </c>
      <c r="D106" s="372">
        <f t="shared" ref="D106:G106" si="58">V81</f>
        <v>6516.24</v>
      </c>
      <c r="E106" s="372">
        <f t="shared" si="58"/>
        <v>6466.12</v>
      </c>
      <c r="F106" s="372">
        <f t="shared" si="58"/>
        <v>12882.68</v>
      </c>
      <c r="G106" s="372">
        <f t="shared" si="58"/>
        <v>7139.88</v>
      </c>
      <c r="H106" s="103">
        <v>0</v>
      </c>
      <c r="I106" s="103"/>
      <c r="J106" s="103"/>
      <c r="K106" s="103"/>
      <c r="L106" s="103"/>
      <c r="M106" s="103"/>
      <c r="N106" s="103"/>
      <c r="O106" s="348">
        <f t="shared" si="54"/>
        <v>37286.15</v>
      </c>
      <c r="P106" s="333"/>
      <c r="Q106" s="282"/>
      <c r="R106" s="282"/>
      <c r="S106" s="282"/>
      <c r="T106" s="282"/>
      <c r="U106" s="282"/>
    </row>
    <row r="107" spans="1:25" x14ac:dyDescent="0.3">
      <c r="A107" s="295"/>
      <c r="B107" s="313" t="s">
        <v>328</v>
      </c>
      <c r="C107" s="484">
        <f>SUM(C55:C106)</f>
        <v>63239.010000000009</v>
      </c>
      <c r="D107" s="484">
        <f t="shared" ref="D107:N107" si="59">SUM(D55:D106)</f>
        <v>62093.299999999996</v>
      </c>
      <c r="E107" s="484">
        <f t="shared" si="59"/>
        <v>73001.89</v>
      </c>
      <c r="F107" s="484">
        <f t="shared" si="59"/>
        <v>68530.429999999993</v>
      </c>
      <c r="G107" s="484">
        <f t="shared" si="59"/>
        <v>65738.5</v>
      </c>
      <c r="H107" s="484">
        <f t="shared" si="59"/>
        <v>0</v>
      </c>
      <c r="I107" s="484">
        <f t="shared" si="59"/>
        <v>0</v>
      </c>
      <c r="J107" s="484">
        <f t="shared" si="59"/>
        <v>0</v>
      </c>
      <c r="K107" s="484">
        <f t="shared" si="59"/>
        <v>0</v>
      </c>
      <c r="L107" s="484">
        <f t="shared" si="59"/>
        <v>0</v>
      </c>
      <c r="M107" s="484">
        <f t="shared" si="59"/>
        <v>0</v>
      </c>
      <c r="N107" s="484">
        <f t="shared" si="59"/>
        <v>0</v>
      </c>
      <c r="O107" s="350">
        <f>SUM(O55:O106)</f>
        <v>332603.13</v>
      </c>
      <c r="P107" s="333"/>
      <c r="Q107" s="282"/>
      <c r="R107" s="282"/>
      <c r="S107" s="282">
        <f>G107+G54-Y82</f>
        <v>0</v>
      </c>
      <c r="T107" s="282"/>
      <c r="U107" s="282"/>
    </row>
    <row r="108" spans="1:25" x14ac:dyDescent="0.3">
      <c r="A108" s="295"/>
      <c r="B108" s="295"/>
      <c r="C108" s="304"/>
      <c r="D108" s="304"/>
      <c r="E108" s="304"/>
      <c r="F108" s="304"/>
      <c r="G108" s="304"/>
      <c r="H108" s="111"/>
      <c r="I108" s="122"/>
      <c r="J108" s="122"/>
      <c r="K108" s="111"/>
      <c r="L108" s="111"/>
      <c r="M108" s="111"/>
      <c r="N108" s="111"/>
      <c r="O108" s="145"/>
      <c r="P108" s="333"/>
      <c r="Q108" s="282"/>
      <c r="R108" s="282"/>
      <c r="S108" s="282"/>
      <c r="T108" s="282"/>
      <c r="U108" s="282"/>
    </row>
    <row r="109" spans="1:25" s="165" customFormat="1" ht="15" thickBot="1" x14ac:dyDescent="0.35">
      <c r="A109" s="306" t="s">
        <v>0</v>
      </c>
      <c r="B109" s="306" t="s">
        <v>329</v>
      </c>
      <c r="C109" s="337">
        <f>C25-(C54+C107)</f>
        <v>6500.6599999999744</v>
      </c>
      <c r="D109" s="337">
        <f t="shared" ref="D109:O109" si="60">D25-(D54+D107)</f>
        <v>8170.1600000000035</v>
      </c>
      <c r="E109" s="337">
        <f t="shared" si="60"/>
        <v>-8776.8199999999779</v>
      </c>
      <c r="F109" s="337">
        <f t="shared" si="60"/>
        <v>-8828.4199999999837</v>
      </c>
      <c r="G109" s="337">
        <f t="shared" si="60"/>
        <v>6752.7500000000291</v>
      </c>
      <c r="H109" s="337">
        <f t="shared" si="60"/>
        <v>0</v>
      </c>
      <c r="I109" s="337">
        <f t="shared" si="60"/>
        <v>0</v>
      </c>
      <c r="J109" s="337">
        <f t="shared" si="60"/>
        <v>0</v>
      </c>
      <c r="K109" s="337">
        <f t="shared" si="60"/>
        <v>0</v>
      </c>
      <c r="L109" s="337">
        <f t="shared" si="60"/>
        <v>0</v>
      </c>
      <c r="M109" s="337">
        <f t="shared" si="60"/>
        <v>0</v>
      </c>
      <c r="N109" s="337">
        <f t="shared" si="60"/>
        <v>0</v>
      </c>
      <c r="O109" s="337">
        <f t="shared" si="60"/>
        <v>3966.5100000001257</v>
      </c>
      <c r="P109" s="335"/>
      <c r="Q109" s="282"/>
      <c r="R109" s="282"/>
      <c r="S109" s="282"/>
      <c r="T109" s="282"/>
      <c r="U109" s="282"/>
    </row>
    <row r="110" spans="1:25" ht="15.6" thickTop="1" thickBot="1" x14ac:dyDescent="0.35">
      <c r="A110" s="211"/>
      <c r="B110" s="211"/>
      <c r="C110" s="307"/>
      <c r="D110" s="307"/>
      <c r="E110" s="307"/>
      <c r="F110" s="307"/>
      <c r="G110" s="307"/>
      <c r="H110" s="116"/>
      <c r="K110" s="116"/>
      <c r="L110" s="116"/>
      <c r="M110" s="116"/>
      <c r="N110" s="116"/>
      <c r="Q110" s="324"/>
      <c r="R110" s="324"/>
      <c r="S110" s="324"/>
      <c r="T110" s="324"/>
      <c r="U110" s="324"/>
    </row>
    <row r="111" spans="1:25" s="166" customFormat="1" ht="15" thickBot="1" x14ac:dyDescent="0.35">
      <c r="A111" s="167"/>
      <c r="B111" s="167" t="s">
        <v>330</v>
      </c>
      <c r="C111" s="308">
        <v>0</v>
      </c>
      <c r="D111" s="308">
        <v>0</v>
      </c>
      <c r="E111" s="308">
        <v>0</v>
      </c>
      <c r="F111" s="308">
        <v>0</v>
      </c>
      <c r="G111" s="308">
        <v>0</v>
      </c>
      <c r="H111" s="168">
        <v>0</v>
      </c>
      <c r="I111" s="168">
        <v>0</v>
      </c>
      <c r="J111" s="168">
        <v>0</v>
      </c>
      <c r="K111" s="168">
        <v>0</v>
      </c>
      <c r="L111" s="168">
        <v>0</v>
      </c>
      <c r="M111" s="168">
        <v>0</v>
      </c>
      <c r="N111" s="168">
        <v>0</v>
      </c>
      <c r="O111" s="192">
        <f>(I111+J111)</f>
        <v>0</v>
      </c>
      <c r="P111" s="336"/>
      <c r="Q111" s="282"/>
      <c r="R111" s="282"/>
      <c r="S111" s="282"/>
      <c r="T111" s="282"/>
      <c r="U111" s="282"/>
      <c r="V111" s="325"/>
      <c r="W111" s="325"/>
      <c r="X111" s="325"/>
      <c r="Y111" s="325"/>
    </row>
    <row r="112" spans="1:25" x14ac:dyDescent="0.3">
      <c r="A112" s="211"/>
      <c r="B112" s="300"/>
      <c r="C112" s="300"/>
      <c r="D112" s="300"/>
      <c r="E112" s="300"/>
      <c r="F112" s="300"/>
      <c r="G112" s="300"/>
      <c r="O112" s="112" t="s">
        <v>0</v>
      </c>
      <c r="Q112" s="282"/>
      <c r="R112" s="282"/>
      <c r="S112" s="282"/>
      <c r="T112" s="282"/>
      <c r="U112" s="282"/>
    </row>
    <row r="113" spans="1:21" x14ac:dyDescent="0.3">
      <c r="C113" s="320" t="s">
        <v>0</v>
      </c>
      <c r="I113" s="123" t="s">
        <v>0</v>
      </c>
      <c r="J113" s="123" t="s">
        <v>0</v>
      </c>
      <c r="Q113" s="282"/>
      <c r="R113" s="282"/>
      <c r="S113" s="282"/>
      <c r="T113" s="282"/>
      <c r="U113" s="282"/>
    </row>
    <row r="114" spans="1:21" x14ac:dyDescent="0.3">
      <c r="A114" s="195" t="s">
        <v>332</v>
      </c>
      <c r="C114" s="320"/>
      <c r="Q114" s="282"/>
      <c r="R114" s="282"/>
      <c r="S114" s="282"/>
      <c r="T114" s="282"/>
      <c r="U114" s="282"/>
    </row>
    <row r="115" spans="1:21" x14ac:dyDescent="0.3">
      <c r="A115" s="196" t="s">
        <v>50</v>
      </c>
      <c r="C115" s="320" t="s">
        <v>0</v>
      </c>
      <c r="Q115" s="282"/>
      <c r="R115" s="282"/>
      <c r="S115" s="282"/>
      <c r="T115" s="282"/>
      <c r="U115" s="282"/>
    </row>
    <row r="116" spans="1:21" x14ac:dyDescent="0.3">
      <c r="A116" s="196" t="s">
        <v>333</v>
      </c>
      <c r="B116" s="197" t="s">
        <v>333</v>
      </c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  <c r="M116" s="198"/>
      <c r="N116" s="198"/>
      <c r="O116" s="198"/>
      <c r="P116" s="198"/>
      <c r="Q116" s="282"/>
      <c r="R116" s="282"/>
      <c r="S116" s="282"/>
      <c r="T116" s="282"/>
      <c r="U116" s="282"/>
    </row>
    <row r="117" spans="1:21" x14ac:dyDescent="0.3">
      <c r="A117" s="196" t="s">
        <v>335</v>
      </c>
      <c r="B117" s="197" t="s">
        <v>335</v>
      </c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282"/>
      <c r="R117" s="282"/>
      <c r="S117" s="282"/>
      <c r="T117" s="282"/>
      <c r="U117" s="282"/>
    </row>
    <row r="118" spans="1:21" x14ac:dyDescent="0.3">
      <c r="A118" s="196" t="s">
        <v>337</v>
      </c>
      <c r="B118" s="197" t="s">
        <v>337</v>
      </c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282"/>
      <c r="R118" s="282"/>
      <c r="S118" s="282"/>
      <c r="T118" s="282"/>
      <c r="U118" s="282"/>
    </row>
    <row r="119" spans="1:21" x14ac:dyDescent="0.3">
      <c r="I119" s="200"/>
      <c r="J119" s="200"/>
      <c r="O119" s="200"/>
      <c r="P119" s="200"/>
      <c r="Q119" s="282"/>
      <c r="R119" s="282"/>
      <c r="S119" s="282"/>
      <c r="T119" s="282"/>
      <c r="U119" s="282"/>
    </row>
    <row r="120" spans="1:21" x14ac:dyDescent="0.3">
      <c r="Q120" s="282"/>
      <c r="R120" s="282"/>
      <c r="S120" s="282"/>
      <c r="T120" s="282"/>
      <c r="U120" s="282"/>
    </row>
    <row r="121" spans="1:21" x14ac:dyDescent="0.3">
      <c r="Q121" s="282"/>
      <c r="R121" s="282"/>
      <c r="S121" s="282"/>
      <c r="T121" s="282"/>
      <c r="U121" s="282"/>
    </row>
    <row r="122" spans="1:21" ht="15" thickBot="1" x14ac:dyDescent="0.35">
      <c r="Q122" s="324"/>
      <c r="R122" s="324"/>
      <c r="S122" s="324"/>
      <c r="T122" s="324"/>
      <c r="U122" s="324"/>
    </row>
    <row r="123" spans="1:21" x14ac:dyDescent="0.3">
      <c r="Q123" s="282"/>
      <c r="R123" s="282"/>
      <c r="S123" s="282"/>
      <c r="T123" s="282"/>
      <c r="U123" s="282"/>
    </row>
    <row r="124" spans="1:21" ht="15" thickBot="1" x14ac:dyDescent="0.35">
      <c r="Q124" s="326"/>
      <c r="R124" s="326"/>
      <c r="S124" s="326"/>
      <c r="T124" s="326"/>
      <c r="U124" s="326"/>
    </row>
    <row r="125" spans="1:21" ht="15" thickBot="1" x14ac:dyDescent="0.35">
      <c r="Q125" s="327"/>
      <c r="R125" s="327"/>
      <c r="S125" s="327"/>
      <c r="T125" s="327"/>
      <c r="U125" s="327"/>
    </row>
    <row r="126" spans="1:21" x14ac:dyDescent="0.3">
      <c r="Q126" s="282"/>
      <c r="R126" s="282"/>
      <c r="S126" s="282"/>
      <c r="T126" s="282"/>
      <c r="U126" s="282"/>
    </row>
    <row r="127" spans="1:21" x14ac:dyDescent="0.3">
      <c r="Q127" s="282"/>
      <c r="R127" s="282"/>
      <c r="S127" s="282"/>
      <c r="T127" s="282"/>
      <c r="U127" s="282"/>
    </row>
    <row r="128" spans="1:21" x14ac:dyDescent="0.3">
      <c r="Q128" s="282"/>
      <c r="R128" s="282"/>
      <c r="S128" s="282"/>
      <c r="T128" s="282"/>
      <c r="U128" s="282"/>
    </row>
    <row r="129" spans="17:21" x14ac:dyDescent="0.3">
      <c r="Q129" s="282"/>
      <c r="R129" s="282"/>
      <c r="S129" s="282"/>
      <c r="T129" s="282"/>
      <c r="U129" s="282"/>
    </row>
    <row r="130" spans="17:21" x14ac:dyDescent="0.3">
      <c r="Q130" s="282"/>
      <c r="R130" s="282"/>
      <c r="S130" s="282"/>
      <c r="T130" s="282"/>
      <c r="U130" s="282"/>
    </row>
    <row r="131" spans="17:21" ht="15" thickBot="1" x14ac:dyDescent="0.35">
      <c r="Q131" s="326"/>
      <c r="R131" s="326"/>
      <c r="S131" s="326"/>
      <c r="T131" s="326"/>
      <c r="U131" s="326"/>
    </row>
    <row r="132" spans="17:21" ht="15" thickBot="1" x14ac:dyDescent="0.35">
      <c r="Q132" s="328"/>
      <c r="R132" s="328"/>
      <c r="S132" s="328"/>
      <c r="T132" s="328"/>
      <c r="U132" s="328"/>
    </row>
    <row r="133" spans="17:21" ht="15" thickBot="1" x14ac:dyDescent="0.35">
      <c r="Q133" s="328"/>
      <c r="R133" s="328"/>
      <c r="S133" s="328"/>
      <c r="T133" s="328"/>
      <c r="U133" s="328"/>
    </row>
    <row r="134" spans="17:21" ht="15" thickBot="1" x14ac:dyDescent="0.35">
      <c r="Q134" s="328"/>
      <c r="R134" s="328"/>
      <c r="S134" s="328"/>
      <c r="T134" s="328"/>
      <c r="U134" s="328"/>
    </row>
    <row r="135" spans="17:21" ht="15" thickBot="1" x14ac:dyDescent="0.35">
      <c r="Q135" s="329"/>
      <c r="R135" s="329"/>
      <c r="S135" s="329"/>
      <c r="T135" s="329"/>
      <c r="U135" s="329"/>
    </row>
    <row r="136" spans="17:21" ht="15" thickTop="1" x14ac:dyDescent="0.3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E2BB-BC13-4DE2-BA7D-798451D3D20B}">
  <sheetPr>
    <tabColor rgb="FF00B050"/>
  </sheetPr>
  <dimension ref="A1:AG118"/>
  <sheetViews>
    <sheetView zoomScale="78" zoomScaleNormal="78" workbookViewId="0">
      <selection activeCell="J1" sqref="J1"/>
    </sheetView>
  </sheetViews>
  <sheetFormatPr defaultRowHeight="14.4" x14ac:dyDescent="0.3"/>
  <cols>
    <col min="1" max="1" width="12" style="99" customWidth="1"/>
    <col min="2" max="2" width="39.88671875" style="99" customWidth="1"/>
    <col min="3" max="8" width="10.77734375" style="101" customWidth="1"/>
    <col min="9" max="10" width="10.77734375" style="123" customWidth="1"/>
    <col min="11" max="14" width="10.77734375" style="101" customWidth="1"/>
    <col min="15" max="15" width="10.77734375" style="112" customWidth="1"/>
    <col min="16" max="16" width="10.77734375" style="99" customWidth="1"/>
    <col min="17" max="17" width="12.88671875" style="99" customWidth="1"/>
    <col min="18" max="255" width="8.88671875" style="99"/>
    <col min="256" max="256" width="16.6640625" style="99" customWidth="1"/>
    <col min="257" max="257" width="39.88671875" style="99" customWidth="1"/>
    <col min="258" max="270" width="15.6640625" style="99" customWidth="1"/>
    <col min="271" max="511" width="8.88671875" style="99"/>
    <col min="512" max="512" width="16.6640625" style="99" customWidth="1"/>
    <col min="513" max="513" width="39.88671875" style="99" customWidth="1"/>
    <col min="514" max="526" width="15.6640625" style="99" customWidth="1"/>
    <col min="527" max="767" width="8.88671875" style="99"/>
    <col min="768" max="768" width="16.6640625" style="99" customWidth="1"/>
    <col min="769" max="769" width="39.88671875" style="99" customWidth="1"/>
    <col min="770" max="782" width="15.6640625" style="99" customWidth="1"/>
    <col min="783" max="1023" width="8.88671875" style="99"/>
    <col min="1024" max="1024" width="16.6640625" style="99" customWidth="1"/>
    <col min="1025" max="1025" width="39.88671875" style="99" customWidth="1"/>
    <col min="1026" max="1038" width="15.6640625" style="99" customWidth="1"/>
    <col min="1039" max="1279" width="8.88671875" style="99"/>
    <col min="1280" max="1280" width="16.6640625" style="99" customWidth="1"/>
    <col min="1281" max="1281" width="39.88671875" style="99" customWidth="1"/>
    <col min="1282" max="1294" width="15.6640625" style="99" customWidth="1"/>
    <col min="1295" max="1535" width="8.88671875" style="99"/>
    <col min="1536" max="1536" width="16.6640625" style="99" customWidth="1"/>
    <col min="1537" max="1537" width="39.88671875" style="99" customWidth="1"/>
    <col min="1538" max="1550" width="15.6640625" style="99" customWidth="1"/>
    <col min="1551" max="1791" width="8.88671875" style="99"/>
    <col min="1792" max="1792" width="16.6640625" style="99" customWidth="1"/>
    <col min="1793" max="1793" width="39.88671875" style="99" customWidth="1"/>
    <col min="1794" max="1806" width="15.6640625" style="99" customWidth="1"/>
    <col min="1807" max="2047" width="8.88671875" style="99"/>
    <col min="2048" max="2048" width="16.6640625" style="99" customWidth="1"/>
    <col min="2049" max="2049" width="39.88671875" style="99" customWidth="1"/>
    <col min="2050" max="2062" width="15.6640625" style="99" customWidth="1"/>
    <col min="2063" max="2303" width="8.88671875" style="99"/>
    <col min="2304" max="2304" width="16.6640625" style="99" customWidth="1"/>
    <col min="2305" max="2305" width="39.88671875" style="99" customWidth="1"/>
    <col min="2306" max="2318" width="15.6640625" style="99" customWidth="1"/>
    <col min="2319" max="2559" width="8.88671875" style="99"/>
    <col min="2560" max="2560" width="16.6640625" style="99" customWidth="1"/>
    <col min="2561" max="2561" width="39.88671875" style="99" customWidth="1"/>
    <col min="2562" max="2574" width="15.6640625" style="99" customWidth="1"/>
    <col min="2575" max="2815" width="8.88671875" style="99"/>
    <col min="2816" max="2816" width="16.6640625" style="99" customWidth="1"/>
    <col min="2817" max="2817" width="39.88671875" style="99" customWidth="1"/>
    <col min="2818" max="2830" width="15.6640625" style="99" customWidth="1"/>
    <col min="2831" max="3071" width="8.88671875" style="99"/>
    <col min="3072" max="3072" width="16.6640625" style="99" customWidth="1"/>
    <col min="3073" max="3073" width="39.88671875" style="99" customWidth="1"/>
    <col min="3074" max="3086" width="15.6640625" style="99" customWidth="1"/>
    <col min="3087" max="3327" width="8.88671875" style="99"/>
    <col min="3328" max="3328" width="16.6640625" style="99" customWidth="1"/>
    <col min="3329" max="3329" width="39.88671875" style="99" customWidth="1"/>
    <col min="3330" max="3342" width="15.6640625" style="99" customWidth="1"/>
    <col min="3343" max="3583" width="8.88671875" style="99"/>
    <col min="3584" max="3584" width="16.6640625" style="99" customWidth="1"/>
    <col min="3585" max="3585" width="39.88671875" style="99" customWidth="1"/>
    <col min="3586" max="3598" width="15.6640625" style="99" customWidth="1"/>
    <col min="3599" max="3839" width="8.88671875" style="99"/>
    <col min="3840" max="3840" width="16.6640625" style="99" customWidth="1"/>
    <col min="3841" max="3841" width="39.88671875" style="99" customWidth="1"/>
    <col min="3842" max="3854" width="15.6640625" style="99" customWidth="1"/>
    <col min="3855" max="4095" width="8.88671875" style="99"/>
    <col min="4096" max="4096" width="16.6640625" style="99" customWidth="1"/>
    <col min="4097" max="4097" width="39.88671875" style="99" customWidth="1"/>
    <col min="4098" max="4110" width="15.6640625" style="99" customWidth="1"/>
    <col min="4111" max="4351" width="8.88671875" style="99"/>
    <col min="4352" max="4352" width="16.6640625" style="99" customWidth="1"/>
    <col min="4353" max="4353" width="39.88671875" style="99" customWidth="1"/>
    <col min="4354" max="4366" width="15.6640625" style="99" customWidth="1"/>
    <col min="4367" max="4607" width="8.88671875" style="99"/>
    <col min="4608" max="4608" width="16.6640625" style="99" customWidth="1"/>
    <col min="4609" max="4609" width="39.88671875" style="99" customWidth="1"/>
    <col min="4610" max="4622" width="15.6640625" style="99" customWidth="1"/>
    <col min="4623" max="4863" width="8.88671875" style="99"/>
    <col min="4864" max="4864" width="16.6640625" style="99" customWidth="1"/>
    <col min="4865" max="4865" width="39.88671875" style="99" customWidth="1"/>
    <col min="4866" max="4878" width="15.6640625" style="99" customWidth="1"/>
    <col min="4879" max="5119" width="8.88671875" style="99"/>
    <col min="5120" max="5120" width="16.6640625" style="99" customWidth="1"/>
    <col min="5121" max="5121" width="39.88671875" style="99" customWidth="1"/>
    <col min="5122" max="5134" width="15.6640625" style="99" customWidth="1"/>
    <col min="5135" max="5375" width="8.88671875" style="99"/>
    <col min="5376" max="5376" width="16.6640625" style="99" customWidth="1"/>
    <col min="5377" max="5377" width="39.88671875" style="99" customWidth="1"/>
    <col min="5378" max="5390" width="15.6640625" style="99" customWidth="1"/>
    <col min="5391" max="5631" width="8.88671875" style="99"/>
    <col min="5632" max="5632" width="16.6640625" style="99" customWidth="1"/>
    <col min="5633" max="5633" width="39.88671875" style="99" customWidth="1"/>
    <col min="5634" max="5646" width="15.6640625" style="99" customWidth="1"/>
    <col min="5647" max="5887" width="8.88671875" style="99"/>
    <col min="5888" max="5888" width="16.6640625" style="99" customWidth="1"/>
    <col min="5889" max="5889" width="39.88671875" style="99" customWidth="1"/>
    <col min="5890" max="5902" width="15.6640625" style="99" customWidth="1"/>
    <col min="5903" max="6143" width="8.88671875" style="99"/>
    <col min="6144" max="6144" width="16.6640625" style="99" customWidth="1"/>
    <col min="6145" max="6145" width="39.88671875" style="99" customWidth="1"/>
    <col min="6146" max="6158" width="15.6640625" style="99" customWidth="1"/>
    <col min="6159" max="6399" width="8.88671875" style="99"/>
    <col min="6400" max="6400" width="16.6640625" style="99" customWidth="1"/>
    <col min="6401" max="6401" width="39.88671875" style="99" customWidth="1"/>
    <col min="6402" max="6414" width="15.6640625" style="99" customWidth="1"/>
    <col min="6415" max="6655" width="8.88671875" style="99"/>
    <col min="6656" max="6656" width="16.6640625" style="99" customWidth="1"/>
    <col min="6657" max="6657" width="39.88671875" style="99" customWidth="1"/>
    <col min="6658" max="6670" width="15.6640625" style="99" customWidth="1"/>
    <col min="6671" max="6911" width="8.88671875" style="99"/>
    <col min="6912" max="6912" width="16.6640625" style="99" customWidth="1"/>
    <col min="6913" max="6913" width="39.88671875" style="99" customWidth="1"/>
    <col min="6914" max="6926" width="15.6640625" style="99" customWidth="1"/>
    <col min="6927" max="7167" width="8.88671875" style="99"/>
    <col min="7168" max="7168" width="16.6640625" style="99" customWidth="1"/>
    <col min="7169" max="7169" width="39.88671875" style="99" customWidth="1"/>
    <col min="7170" max="7182" width="15.6640625" style="99" customWidth="1"/>
    <col min="7183" max="7423" width="8.88671875" style="99"/>
    <col min="7424" max="7424" width="16.6640625" style="99" customWidth="1"/>
    <col min="7425" max="7425" width="39.88671875" style="99" customWidth="1"/>
    <col min="7426" max="7438" width="15.6640625" style="99" customWidth="1"/>
    <col min="7439" max="7679" width="8.88671875" style="99"/>
    <col min="7680" max="7680" width="16.6640625" style="99" customWidth="1"/>
    <col min="7681" max="7681" width="39.88671875" style="99" customWidth="1"/>
    <col min="7682" max="7694" width="15.6640625" style="99" customWidth="1"/>
    <col min="7695" max="7935" width="8.88671875" style="99"/>
    <col min="7936" max="7936" width="16.6640625" style="99" customWidth="1"/>
    <col min="7937" max="7937" width="39.88671875" style="99" customWidth="1"/>
    <col min="7938" max="7950" width="15.6640625" style="99" customWidth="1"/>
    <col min="7951" max="8191" width="8.88671875" style="99"/>
    <col min="8192" max="8192" width="16.6640625" style="99" customWidth="1"/>
    <col min="8193" max="8193" width="39.88671875" style="99" customWidth="1"/>
    <col min="8194" max="8206" width="15.6640625" style="99" customWidth="1"/>
    <col min="8207" max="8447" width="8.88671875" style="99"/>
    <col min="8448" max="8448" width="16.6640625" style="99" customWidth="1"/>
    <col min="8449" max="8449" width="39.88671875" style="99" customWidth="1"/>
    <col min="8450" max="8462" width="15.6640625" style="99" customWidth="1"/>
    <col min="8463" max="8703" width="8.88671875" style="99"/>
    <col min="8704" max="8704" width="16.6640625" style="99" customWidth="1"/>
    <col min="8705" max="8705" width="39.88671875" style="99" customWidth="1"/>
    <col min="8706" max="8718" width="15.6640625" style="99" customWidth="1"/>
    <col min="8719" max="8959" width="8.88671875" style="99"/>
    <col min="8960" max="8960" width="16.6640625" style="99" customWidth="1"/>
    <col min="8961" max="8961" width="39.88671875" style="99" customWidth="1"/>
    <col min="8962" max="8974" width="15.6640625" style="99" customWidth="1"/>
    <col min="8975" max="9215" width="8.88671875" style="99"/>
    <col min="9216" max="9216" width="16.6640625" style="99" customWidth="1"/>
    <col min="9217" max="9217" width="39.88671875" style="99" customWidth="1"/>
    <col min="9218" max="9230" width="15.6640625" style="99" customWidth="1"/>
    <col min="9231" max="9471" width="8.88671875" style="99"/>
    <col min="9472" max="9472" width="16.6640625" style="99" customWidth="1"/>
    <col min="9473" max="9473" width="39.88671875" style="99" customWidth="1"/>
    <col min="9474" max="9486" width="15.6640625" style="99" customWidth="1"/>
    <col min="9487" max="9727" width="8.88671875" style="99"/>
    <col min="9728" max="9728" width="16.6640625" style="99" customWidth="1"/>
    <col min="9729" max="9729" width="39.88671875" style="99" customWidth="1"/>
    <col min="9730" max="9742" width="15.6640625" style="99" customWidth="1"/>
    <col min="9743" max="9983" width="8.88671875" style="99"/>
    <col min="9984" max="9984" width="16.6640625" style="99" customWidth="1"/>
    <col min="9985" max="9985" width="39.88671875" style="99" customWidth="1"/>
    <col min="9986" max="9998" width="15.6640625" style="99" customWidth="1"/>
    <col min="9999" max="10239" width="8.88671875" style="99"/>
    <col min="10240" max="10240" width="16.6640625" style="99" customWidth="1"/>
    <col min="10241" max="10241" width="39.88671875" style="99" customWidth="1"/>
    <col min="10242" max="10254" width="15.6640625" style="99" customWidth="1"/>
    <col min="10255" max="10495" width="8.88671875" style="99"/>
    <col min="10496" max="10496" width="16.6640625" style="99" customWidth="1"/>
    <col min="10497" max="10497" width="39.88671875" style="99" customWidth="1"/>
    <col min="10498" max="10510" width="15.6640625" style="99" customWidth="1"/>
    <col min="10511" max="10751" width="8.88671875" style="99"/>
    <col min="10752" max="10752" width="16.6640625" style="99" customWidth="1"/>
    <col min="10753" max="10753" width="39.88671875" style="99" customWidth="1"/>
    <col min="10754" max="10766" width="15.6640625" style="99" customWidth="1"/>
    <col min="10767" max="11007" width="8.88671875" style="99"/>
    <col min="11008" max="11008" width="16.6640625" style="99" customWidth="1"/>
    <col min="11009" max="11009" width="39.88671875" style="99" customWidth="1"/>
    <col min="11010" max="11022" width="15.6640625" style="99" customWidth="1"/>
    <col min="11023" max="11263" width="8.88671875" style="99"/>
    <col min="11264" max="11264" width="16.6640625" style="99" customWidth="1"/>
    <col min="11265" max="11265" width="39.88671875" style="99" customWidth="1"/>
    <col min="11266" max="11278" width="15.6640625" style="99" customWidth="1"/>
    <col min="11279" max="11519" width="8.88671875" style="99"/>
    <col min="11520" max="11520" width="16.6640625" style="99" customWidth="1"/>
    <col min="11521" max="11521" width="39.88671875" style="99" customWidth="1"/>
    <col min="11522" max="11534" width="15.6640625" style="99" customWidth="1"/>
    <col min="11535" max="11775" width="8.88671875" style="99"/>
    <col min="11776" max="11776" width="16.6640625" style="99" customWidth="1"/>
    <col min="11777" max="11777" width="39.88671875" style="99" customWidth="1"/>
    <col min="11778" max="11790" width="15.6640625" style="99" customWidth="1"/>
    <col min="11791" max="12031" width="8.88671875" style="99"/>
    <col min="12032" max="12032" width="16.6640625" style="99" customWidth="1"/>
    <col min="12033" max="12033" width="39.88671875" style="99" customWidth="1"/>
    <col min="12034" max="12046" width="15.6640625" style="99" customWidth="1"/>
    <col min="12047" max="12287" width="8.88671875" style="99"/>
    <col min="12288" max="12288" width="16.6640625" style="99" customWidth="1"/>
    <col min="12289" max="12289" width="39.88671875" style="99" customWidth="1"/>
    <col min="12290" max="12302" width="15.6640625" style="99" customWidth="1"/>
    <col min="12303" max="12543" width="8.88671875" style="99"/>
    <col min="12544" max="12544" width="16.6640625" style="99" customWidth="1"/>
    <col min="12545" max="12545" width="39.88671875" style="99" customWidth="1"/>
    <col min="12546" max="12558" width="15.6640625" style="99" customWidth="1"/>
    <col min="12559" max="12799" width="8.88671875" style="99"/>
    <col min="12800" max="12800" width="16.6640625" style="99" customWidth="1"/>
    <col min="12801" max="12801" width="39.88671875" style="99" customWidth="1"/>
    <col min="12802" max="12814" width="15.6640625" style="99" customWidth="1"/>
    <col min="12815" max="13055" width="8.88671875" style="99"/>
    <col min="13056" max="13056" width="16.6640625" style="99" customWidth="1"/>
    <col min="13057" max="13057" width="39.88671875" style="99" customWidth="1"/>
    <col min="13058" max="13070" width="15.6640625" style="99" customWidth="1"/>
    <col min="13071" max="13311" width="8.88671875" style="99"/>
    <col min="13312" max="13312" width="16.6640625" style="99" customWidth="1"/>
    <col min="13313" max="13313" width="39.88671875" style="99" customWidth="1"/>
    <col min="13314" max="13326" width="15.6640625" style="99" customWidth="1"/>
    <col min="13327" max="13567" width="8.88671875" style="99"/>
    <col min="13568" max="13568" width="16.6640625" style="99" customWidth="1"/>
    <col min="13569" max="13569" width="39.88671875" style="99" customWidth="1"/>
    <col min="13570" max="13582" width="15.6640625" style="99" customWidth="1"/>
    <col min="13583" max="13823" width="8.88671875" style="99"/>
    <col min="13824" max="13824" width="16.6640625" style="99" customWidth="1"/>
    <col min="13825" max="13825" width="39.88671875" style="99" customWidth="1"/>
    <col min="13826" max="13838" width="15.6640625" style="99" customWidth="1"/>
    <col min="13839" max="14079" width="8.88671875" style="99"/>
    <col min="14080" max="14080" width="16.6640625" style="99" customWidth="1"/>
    <col min="14081" max="14081" width="39.88671875" style="99" customWidth="1"/>
    <col min="14082" max="14094" width="15.6640625" style="99" customWidth="1"/>
    <col min="14095" max="14335" width="8.88671875" style="99"/>
    <col min="14336" max="14336" width="16.6640625" style="99" customWidth="1"/>
    <col min="14337" max="14337" width="39.88671875" style="99" customWidth="1"/>
    <col min="14338" max="14350" width="15.6640625" style="99" customWidth="1"/>
    <col min="14351" max="14591" width="8.88671875" style="99"/>
    <col min="14592" max="14592" width="16.6640625" style="99" customWidth="1"/>
    <col min="14593" max="14593" width="39.88671875" style="99" customWidth="1"/>
    <col min="14594" max="14606" width="15.6640625" style="99" customWidth="1"/>
    <col min="14607" max="14847" width="8.88671875" style="99"/>
    <col min="14848" max="14848" width="16.6640625" style="99" customWidth="1"/>
    <col min="14849" max="14849" width="39.88671875" style="99" customWidth="1"/>
    <col min="14850" max="14862" width="15.6640625" style="99" customWidth="1"/>
    <col min="14863" max="15103" width="8.88671875" style="99"/>
    <col min="15104" max="15104" width="16.6640625" style="99" customWidth="1"/>
    <col min="15105" max="15105" width="39.88671875" style="99" customWidth="1"/>
    <col min="15106" max="15118" width="15.6640625" style="99" customWidth="1"/>
    <col min="15119" max="15359" width="8.88671875" style="99"/>
    <col min="15360" max="15360" width="16.6640625" style="99" customWidth="1"/>
    <col min="15361" max="15361" width="39.88671875" style="99" customWidth="1"/>
    <col min="15362" max="15374" width="15.6640625" style="99" customWidth="1"/>
    <col min="15375" max="15615" width="8.88671875" style="99"/>
    <col min="15616" max="15616" width="16.6640625" style="99" customWidth="1"/>
    <col min="15617" max="15617" width="39.88671875" style="99" customWidth="1"/>
    <col min="15618" max="15630" width="15.6640625" style="99" customWidth="1"/>
    <col min="15631" max="15871" width="8.88671875" style="99"/>
    <col min="15872" max="15872" width="16.6640625" style="99" customWidth="1"/>
    <col min="15873" max="15873" width="39.88671875" style="99" customWidth="1"/>
    <col min="15874" max="15886" width="15.6640625" style="99" customWidth="1"/>
    <col min="15887" max="16127" width="8.88671875" style="99"/>
    <col min="16128" max="16128" width="16.6640625" style="99" customWidth="1"/>
    <col min="16129" max="16129" width="39.88671875" style="99" customWidth="1"/>
    <col min="16130" max="16142" width="15.6640625" style="99" customWidth="1"/>
    <col min="16143" max="16384" width="8.88671875" style="99"/>
  </cols>
  <sheetData>
    <row r="1" spans="1:33" x14ac:dyDescent="0.3">
      <c r="C1" s="100" t="s">
        <v>123</v>
      </c>
      <c r="D1" s="100" t="s">
        <v>124</v>
      </c>
      <c r="E1" s="100" t="s">
        <v>125</v>
      </c>
      <c r="F1" s="100" t="s">
        <v>126</v>
      </c>
      <c r="G1" s="100" t="s">
        <v>127</v>
      </c>
      <c r="H1" s="100" t="s">
        <v>128</v>
      </c>
      <c r="I1" s="120" t="s">
        <v>129</v>
      </c>
      <c r="J1" s="120" t="s">
        <v>130</v>
      </c>
      <c r="K1" s="100" t="s">
        <v>131</v>
      </c>
      <c r="L1" s="100" t="s">
        <v>132</v>
      </c>
      <c r="M1" s="100" t="s">
        <v>133</v>
      </c>
      <c r="N1" s="100" t="s">
        <v>134</v>
      </c>
      <c r="O1" s="141" t="s">
        <v>10</v>
      </c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</row>
    <row r="2" spans="1:33" x14ac:dyDescent="0.3">
      <c r="A2" s="102" t="s">
        <v>135</v>
      </c>
      <c r="B2" s="102" t="s">
        <v>136</v>
      </c>
      <c r="C2" s="103">
        <v>0</v>
      </c>
      <c r="D2" s="103">
        <v>0</v>
      </c>
      <c r="E2" s="103">
        <v>0</v>
      </c>
      <c r="F2" s="103">
        <v>0</v>
      </c>
      <c r="G2" s="103">
        <v>0</v>
      </c>
      <c r="H2" s="372">
        <v>0</v>
      </c>
      <c r="I2" s="501">
        <v>0</v>
      </c>
      <c r="J2" s="501">
        <v>0</v>
      </c>
      <c r="K2" s="372">
        <v>0</v>
      </c>
      <c r="L2" s="372">
        <v>0</v>
      </c>
      <c r="M2" s="372">
        <v>0</v>
      </c>
      <c r="N2" s="372">
        <v>0</v>
      </c>
      <c r="O2" s="142">
        <f>SUM(C2:N2)</f>
        <v>0</v>
      </c>
    </row>
    <row r="3" spans="1:33" x14ac:dyDescent="0.3">
      <c r="A3" s="102" t="s">
        <v>137</v>
      </c>
      <c r="B3" s="102" t="s">
        <v>138</v>
      </c>
      <c r="C3" s="103">
        <v>0</v>
      </c>
      <c r="D3" s="103">
        <v>0</v>
      </c>
      <c r="E3" s="103">
        <v>0</v>
      </c>
      <c r="F3" s="103">
        <v>0</v>
      </c>
      <c r="G3" s="103">
        <v>0</v>
      </c>
      <c r="H3" s="372">
        <v>0</v>
      </c>
      <c r="I3" s="501">
        <v>0</v>
      </c>
      <c r="J3" s="501">
        <v>0</v>
      </c>
      <c r="K3" s="372">
        <v>0</v>
      </c>
      <c r="L3" s="372">
        <v>0</v>
      </c>
      <c r="M3" s="372">
        <v>0</v>
      </c>
      <c r="N3" s="372">
        <v>0</v>
      </c>
      <c r="O3" s="142">
        <f t="shared" ref="O3:O7" si="0">SUM(C3:N3)</f>
        <v>0</v>
      </c>
    </row>
    <row r="4" spans="1:33" x14ac:dyDescent="0.3">
      <c r="A4" s="102" t="s">
        <v>139</v>
      </c>
      <c r="B4" s="102" t="s">
        <v>140</v>
      </c>
      <c r="C4" s="103">
        <v>0</v>
      </c>
      <c r="D4" s="103">
        <v>0</v>
      </c>
      <c r="E4" s="103">
        <v>0</v>
      </c>
      <c r="F4" s="103">
        <v>0</v>
      </c>
      <c r="G4" s="103">
        <v>0</v>
      </c>
      <c r="H4" s="372">
        <v>0</v>
      </c>
      <c r="I4" s="501">
        <v>0</v>
      </c>
      <c r="J4" s="501">
        <v>0</v>
      </c>
      <c r="K4" s="372">
        <v>0</v>
      </c>
      <c r="L4" s="372">
        <v>0</v>
      </c>
      <c r="M4" s="372">
        <v>0</v>
      </c>
      <c r="N4" s="372">
        <v>0</v>
      </c>
      <c r="O4" s="142">
        <f t="shared" si="0"/>
        <v>0</v>
      </c>
    </row>
    <row r="5" spans="1:33" x14ac:dyDescent="0.3">
      <c r="A5" s="102">
        <v>408006</v>
      </c>
      <c r="B5" s="102" t="s">
        <v>141</v>
      </c>
      <c r="C5" s="103">
        <v>0</v>
      </c>
      <c r="D5" s="103">
        <v>0</v>
      </c>
      <c r="E5" s="103">
        <v>0</v>
      </c>
      <c r="F5" s="103">
        <v>0</v>
      </c>
      <c r="G5" s="103">
        <v>0</v>
      </c>
      <c r="H5" s="372">
        <v>0</v>
      </c>
      <c r="I5" s="501">
        <f ca="1">'SYC Camp Revenue '!AJ15</f>
        <v>539073</v>
      </c>
      <c r="J5" s="501">
        <f ca="1">'SYC Camp Revenue '!BI15</f>
        <v>727664</v>
      </c>
      <c r="K5" s="372">
        <v>0</v>
      </c>
      <c r="L5" s="372">
        <v>0</v>
      </c>
      <c r="M5" s="372">
        <v>0</v>
      </c>
      <c r="N5" s="372">
        <v>0</v>
      </c>
      <c r="O5" s="142">
        <f t="shared" ca="1" si="0"/>
        <v>1266737</v>
      </c>
    </row>
    <row r="6" spans="1:33" x14ac:dyDescent="0.3">
      <c r="A6" s="102" t="s">
        <v>142</v>
      </c>
      <c r="B6" s="102" t="s">
        <v>143</v>
      </c>
      <c r="C6" s="103">
        <v>0</v>
      </c>
      <c r="D6" s="103">
        <v>0</v>
      </c>
      <c r="E6" s="103">
        <v>0</v>
      </c>
      <c r="F6" s="103">
        <v>0</v>
      </c>
      <c r="G6" s="103">
        <v>0</v>
      </c>
      <c r="H6" s="372">
        <v>0</v>
      </c>
      <c r="I6" s="501">
        <v>0</v>
      </c>
      <c r="J6" s="501">
        <v>0</v>
      </c>
      <c r="K6" s="372">
        <v>0</v>
      </c>
      <c r="L6" s="372">
        <v>0</v>
      </c>
      <c r="M6" s="372">
        <v>0</v>
      </c>
      <c r="N6" s="372">
        <v>0</v>
      </c>
      <c r="O6" s="142">
        <f t="shared" si="0"/>
        <v>0</v>
      </c>
    </row>
    <row r="7" spans="1:33" x14ac:dyDescent="0.3">
      <c r="A7" s="108"/>
      <c r="B7" s="109" t="s">
        <v>144</v>
      </c>
      <c r="C7" s="339">
        <f>SUM(C2:C6)</f>
        <v>0</v>
      </c>
      <c r="D7" s="339">
        <f t="shared" ref="D7:N7" si="1">SUM(D2:D6)</f>
        <v>0</v>
      </c>
      <c r="E7" s="339">
        <f t="shared" si="1"/>
        <v>0</v>
      </c>
      <c r="F7" s="339">
        <f t="shared" si="1"/>
        <v>0</v>
      </c>
      <c r="G7" s="339">
        <f t="shared" si="1"/>
        <v>0</v>
      </c>
      <c r="H7" s="488">
        <f t="shared" si="1"/>
        <v>0</v>
      </c>
      <c r="I7" s="509">
        <f ca="1">SUM(I2:I6)</f>
        <v>539073</v>
      </c>
      <c r="J7" s="509">
        <f ca="1">SUM(J2:J6)</f>
        <v>727664</v>
      </c>
      <c r="K7" s="488">
        <f t="shared" si="1"/>
        <v>0</v>
      </c>
      <c r="L7" s="488">
        <f t="shared" si="1"/>
        <v>0</v>
      </c>
      <c r="M7" s="488">
        <f t="shared" si="1"/>
        <v>0</v>
      </c>
      <c r="N7" s="488">
        <f t="shared" si="1"/>
        <v>0</v>
      </c>
      <c r="O7" s="118">
        <f t="shared" ca="1" si="0"/>
        <v>1266737</v>
      </c>
    </row>
    <row r="8" spans="1:33" x14ac:dyDescent="0.3">
      <c r="A8" s="102" t="s">
        <v>145</v>
      </c>
      <c r="B8" s="102" t="s">
        <v>146</v>
      </c>
      <c r="C8" s="103">
        <v>0</v>
      </c>
      <c r="D8" s="103">
        <v>0</v>
      </c>
      <c r="E8" s="103">
        <v>0</v>
      </c>
      <c r="F8" s="103">
        <v>0</v>
      </c>
      <c r="G8" s="103">
        <v>0</v>
      </c>
      <c r="H8" s="372">
        <v>0</v>
      </c>
      <c r="I8" s="501">
        <v>0</v>
      </c>
      <c r="J8" s="501">
        <v>0</v>
      </c>
      <c r="K8" s="372">
        <v>0</v>
      </c>
      <c r="L8" s="372">
        <v>0</v>
      </c>
      <c r="M8" s="372">
        <v>0</v>
      </c>
      <c r="N8" s="372">
        <v>0</v>
      </c>
      <c r="O8" s="142">
        <f>SUM(C8:N8)</f>
        <v>0</v>
      </c>
    </row>
    <row r="9" spans="1:33" x14ac:dyDescent="0.3">
      <c r="A9" s="102">
        <v>450000</v>
      </c>
      <c r="B9" s="102" t="s">
        <v>147</v>
      </c>
      <c r="C9" s="103">
        <v>0</v>
      </c>
      <c r="D9" s="103">
        <v>0</v>
      </c>
      <c r="E9" s="103">
        <v>0</v>
      </c>
      <c r="F9" s="103">
        <v>0</v>
      </c>
      <c r="G9" s="103">
        <v>0</v>
      </c>
      <c r="H9" s="372">
        <v>0</v>
      </c>
      <c r="I9" s="501">
        <f ca="1">+('SYC Camp Revenue '!AJ68+'SYC Camp Revenue '!AJ74+'SYC Camp Revenue '!AJ54+'SYC Camp Revenue '!AJ61)</f>
        <v>172520</v>
      </c>
      <c r="J9" s="502">
        <f ca="1">+('SYC Camp Revenue '!BI68+'SYC Camp Revenue '!BI74+'SYC Camp Revenue '!BI54+'SYC Camp Revenue '!BI61)</f>
        <v>100507.5</v>
      </c>
      <c r="K9" s="372">
        <v>0</v>
      </c>
      <c r="L9" s="372">
        <v>0</v>
      </c>
      <c r="M9" s="372">
        <v>0</v>
      </c>
      <c r="N9" s="372">
        <v>0</v>
      </c>
      <c r="O9" s="142">
        <f t="shared" ref="O9:O22" ca="1" si="2">SUM(C9:N9)</f>
        <v>273027.5</v>
      </c>
    </row>
    <row r="10" spans="1:33" x14ac:dyDescent="0.3">
      <c r="A10" s="102" t="s">
        <v>148</v>
      </c>
      <c r="B10" s="102" t="s">
        <v>149</v>
      </c>
      <c r="C10" s="103">
        <v>0</v>
      </c>
      <c r="D10" s="103">
        <v>0</v>
      </c>
      <c r="E10" s="103">
        <v>0</v>
      </c>
      <c r="F10" s="103">
        <v>0</v>
      </c>
      <c r="G10" s="103">
        <v>0</v>
      </c>
      <c r="H10" s="372">
        <v>0</v>
      </c>
      <c r="I10" s="501">
        <v>0</v>
      </c>
      <c r="J10" s="501">
        <v>0</v>
      </c>
      <c r="K10" s="372">
        <v>0</v>
      </c>
      <c r="L10" s="372">
        <v>0</v>
      </c>
      <c r="M10" s="372">
        <v>0</v>
      </c>
      <c r="N10" s="372">
        <v>0</v>
      </c>
      <c r="O10" s="142">
        <f t="shared" si="2"/>
        <v>0</v>
      </c>
    </row>
    <row r="11" spans="1:33" x14ac:dyDescent="0.3">
      <c r="A11" s="102" t="s">
        <v>150</v>
      </c>
      <c r="B11" s="102" t="s">
        <v>151</v>
      </c>
      <c r="C11" s="103">
        <v>0</v>
      </c>
      <c r="D11" s="103">
        <v>0</v>
      </c>
      <c r="E11" s="103">
        <v>0</v>
      </c>
      <c r="F11" s="103">
        <v>0</v>
      </c>
      <c r="G11" s="103">
        <v>0</v>
      </c>
      <c r="H11" s="372">
        <v>0</v>
      </c>
      <c r="I11" s="501">
        <f>'SYC Camp Revenue '!AJ27</f>
        <v>9180</v>
      </c>
      <c r="J11" s="501">
        <f>'SYC Camp Revenue '!BI27</f>
        <v>16560</v>
      </c>
      <c r="K11" s="372">
        <v>0</v>
      </c>
      <c r="L11" s="372">
        <v>0</v>
      </c>
      <c r="M11" s="372">
        <v>0</v>
      </c>
      <c r="N11" s="372">
        <v>0</v>
      </c>
      <c r="O11" s="142">
        <f t="shared" si="2"/>
        <v>25740</v>
      </c>
    </row>
    <row r="12" spans="1:33" x14ac:dyDescent="0.3">
      <c r="A12" s="102" t="s">
        <v>152</v>
      </c>
      <c r="B12" s="102" t="s">
        <v>153</v>
      </c>
      <c r="C12" s="103">
        <v>0</v>
      </c>
      <c r="D12" s="103">
        <v>0</v>
      </c>
      <c r="E12" s="103">
        <v>0</v>
      </c>
      <c r="F12" s="103">
        <v>0</v>
      </c>
      <c r="G12" s="103">
        <v>0</v>
      </c>
      <c r="H12" s="372">
        <v>0</v>
      </c>
      <c r="I12" s="501">
        <f>'SYC Camp Revenue '!AJ21</f>
        <v>11475</v>
      </c>
      <c r="J12" s="501">
        <f>'SYC Camp Revenue '!BI21</f>
        <v>20700</v>
      </c>
      <c r="K12" s="372">
        <v>0</v>
      </c>
      <c r="L12" s="372">
        <v>0</v>
      </c>
      <c r="M12" s="372">
        <v>0</v>
      </c>
      <c r="N12" s="372">
        <v>0</v>
      </c>
      <c r="O12" s="142">
        <f t="shared" si="2"/>
        <v>32175</v>
      </c>
    </row>
    <row r="13" spans="1:33" x14ac:dyDescent="0.3">
      <c r="A13" s="102" t="s">
        <v>154</v>
      </c>
      <c r="B13" s="102" t="s">
        <v>155</v>
      </c>
      <c r="C13" s="103">
        <v>0</v>
      </c>
      <c r="D13" s="103">
        <v>0</v>
      </c>
      <c r="E13" s="103">
        <v>0</v>
      </c>
      <c r="F13" s="103">
        <v>0</v>
      </c>
      <c r="G13" s="103">
        <v>0</v>
      </c>
      <c r="H13" s="372">
        <v>0</v>
      </c>
      <c r="I13" s="501">
        <v>0</v>
      </c>
      <c r="J13" s="501">
        <v>0</v>
      </c>
      <c r="K13" s="372">
        <v>0</v>
      </c>
      <c r="L13" s="372">
        <v>0</v>
      </c>
      <c r="M13" s="372">
        <v>0</v>
      </c>
      <c r="N13" s="372">
        <v>0</v>
      </c>
      <c r="O13" s="142">
        <f t="shared" si="2"/>
        <v>0</v>
      </c>
    </row>
    <row r="14" spans="1:33" x14ac:dyDescent="0.3">
      <c r="A14" s="102" t="s">
        <v>156</v>
      </c>
      <c r="B14" s="102" t="s">
        <v>157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372">
        <v>0</v>
      </c>
      <c r="I14" s="501">
        <f>'SYC Camp Revenue '!AJ47</f>
        <v>15900</v>
      </c>
      <c r="J14" s="501">
        <f>'SYC Camp Revenue '!BI47</f>
        <v>0</v>
      </c>
      <c r="K14" s="372">
        <v>0</v>
      </c>
      <c r="L14" s="372">
        <v>0</v>
      </c>
      <c r="M14" s="372">
        <v>0</v>
      </c>
      <c r="N14" s="372">
        <v>0</v>
      </c>
      <c r="O14" s="142">
        <f t="shared" si="2"/>
        <v>15900</v>
      </c>
    </row>
    <row r="15" spans="1:33" s="126" customFormat="1" x14ac:dyDescent="0.3">
      <c r="A15" s="124" t="s">
        <v>158</v>
      </c>
      <c r="B15" s="124" t="s">
        <v>159</v>
      </c>
      <c r="C15" s="125">
        <v>0</v>
      </c>
      <c r="D15" s="125">
        <v>0</v>
      </c>
      <c r="E15" s="125">
        <v>0</v>
      </c>
      <c r="F15" s="125">
        <v>0</v>
      </c>
      <c r="G15" s="125">
        <v>0</v>
      </c>
      <c r="H15" s="384">
        <v>0</v>
      </c>
      <c r="I15" s="503">
        <f ca="1">-'SYCamp# &amp; Expenses'!AJ47</f>
        <v>-10775</v>
      </c>
      <c r="J15" s="503">
        <f ca="1">-'SYCamp# &amp; Expenses'!BI47</f>
        <v>-6900</v>
      </c>
      <c r="K15" s="384">
        <v>0</v>
      </c>
      <c r="L15" s="384">
        <v>0</v>
      </c>
      <c r="M15" s="384">
        <v>0</v>
      </c>
      <c r="N15" s="384">
        <v>0</v>
      </c>
      <c r="O15" s="142">
        <f t="shared" ca="1" si="2"/>
        <v>-17675</v>
      </c>
    </row>
    <row r="16" spans="1:33" x14ac:dyDescent="0.3">
      <c r="A16" s="102" t="s">
        <v>160</v>
      </c>
      <c r="B16" s="102" t="s">
        <v>161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 s="372">
        <v>0</v>
      </c>
      <c r="I16" s="501">
        <v>0</v>
      </c>
      <c r="J16" s="501">
        <v>0</v>
      </c>
      <c r="K16" s="372">
        <v>0</v>
      </c>
      <c r="L16" s="372">
        <v>0</v>
      </c>
      <c r="M16" s="372">
        <v>0</v>
      </c>
      <c r="N16" s="372">
        <v>0</v>
      </c>
      <c r="O16" s="142">
        <f t="shared" si="2"/>
        <v>0</v>
      </c>
    </row>
    <row r="17" spans="1:16" x14ac:dyDescent="0.3">
      <c r="A17" s="102" t="s">
        <v>162</v>
      </c>
      <c r="B17" s="102" t="s">
        <v>163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372">
        <v>0</v>
      </c>
      <c r="I17" s="501">
        <v>0</v>
      </c>
      <c r="J17" s="501">
        <v>0</v>
      </c>
      <c r="K17" s="372">
        <v>0</v>
      </c>
      <c r="L17" s="372">
        <v>0</v>
      </c>
      <c r="M17" s="372">
        <v>0</v>
      </c>
      <c r="N17" s="372">
        <v>0</v>
      </c>
      <c r="O17" s="142">
        <f t="shared" si="2"/>
        <v>0</v>
      </c>
    </row>
    <row r="18" spans="1:16" x14ac:dyDescent="0.3">
      <c r="A18" s="102">
        <v>456000</v>
      </c>
      <c r="B18" s="102" t="s">
        <v>164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372">
        <v>0</v>
      </c>
      <c r="I18" s="501">
        <f>'SYC Camp Revenue '!AJ32</f>
        <v>176040</v>
      </c>
      <c r="J18" s="501">
        <f>'SYC Camp Revenue '!BI32</f>
        <v>120960</v>
      </c>
      <c r="K18" s="372">
        <v>0</v>
      </c>
      <c r="L18" s="372">
        <v>0</v>
      </c>
      <c r="M18" s="372">
        <v>0</v>
      </c>
      <c r="N18" s="372">
        <v>0</v>
      </c>
      <c r="O18" s="142">
        <f t="shared" si="2"/>
        <v>297000</v>
      </c>
    </row>
    <row r="19" spans="1:16" s="126" customFormat="1" x14ac:dyDescent="0.3">
      <c r="A19" s="124" t="s">
        <v>165</v>
      </c>
      <c r="B19" s="124" t="s">
        <v>166</v>
      </c>
      <c r="C19" s="125">
        <v>0</v>
      </c>
      <c r="D19" s="125">
        <v>0</v>
      </c>
      <c r="E19" s="125">
        <v>0</v>
      </c>
      <c r="F19" s="125">
        <v>0</v>
      </c>
      <c r="G19" s="125">
        <v>0</v>
      </c>
      <c r="H19" s="384">
        <v>0</v>
      </c>
      <c r="I19" s="503">
        <f>-'SYCamp# &amp; Expenses'!AJ53</f>
        <v>-149634</v>
      </c>
      <c r="J19" s="503">
        <f>-'SYCamp# &amp; Expenses'!BI53</f>
        <v>-98532</v>
      </c>
      <c r="K19" s="384"/>
      <c r="L19" s="384"/>
      <c r="M19" s="384"/>
      <c r="N19" s="384"/>
      <c r="O19" s="142">
        <f t="shared" si="2"/>
        <v>-248166</v>
      </c>
    </row>
    <row r="20" spans="1:16" x14ac:dyDescent="0.3">
      <c r="A20" s="102" t="s">
        <v>167</v>
      </c>
      <c r="B20" s="102" t="s">
        <v>168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 s="372">
        <v>0</v>
      </c>
      <c r="I20" s="501">
        <f ca="1">'SYC Camp Revenue '!AJ39</f>
        <v>70070</v>
      </c>
      <c r="J20" s="501">
        <f ca="1">'SYC Camp Revenue '!BI39</f>
        <v>154180</v>
      </c>
      <c r="K20" s="372">
        <v>0</v>
      </c>
      <c r="L20" s="372">
        <v>0</v>
      </c>
      <c r="M20" s="372">
        <v>0</v>
      </c>
      <c r="N20" s="372">
        <v>0</v>
      </c>
      <c r="O20" s="142">
        <f t="shared" ca="1" si="2"/>
        <v>224250</v>
      </c>
    </row>
    <row r="21" spans="1:16" x14ac:dyDescent="0.3">
      <c r="A21" s="107" t="s">
        <v>169</v>
      </c>
      <c r="B21" s="107" t="s">
        <v>170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 s="372">
        <v>0</v>
      </c>
      <c r="I21" s="501">
        <f>'SYC Camp Revenue '!AJ38</f>
        <v>3400</v>
      </c>
      <c r="J21" s="501">
        <f>'SYC Camp Revenue '!BI38</f>
        <v>13800</v>
      </c>
      <c r="K21" s="372">
        <v>0</v>
      </c>
      <c r="L21" s="372">
        <v>0</v>
      </c>
      <c r="M21" s="372">
        <v>0</v>
      </c>
      <c r="N21" s="372">
        <v>0</v>
      </c>
      <c r="O21" s="142">
        <f t="shared" si="2"/>
        <v>17200</v>
      </c>
    </row>
    <row r="22" spans="1:16" s="126" customFormat="1" x14ac:dyDescent="0.3">
      <c r="A22" s="127" t="s">
        <v>171</v>
      </c>
      <c r="B22" s="127" t="s">
        <v>592</v>
      </c>
      <c r="C22" s="125">
        <v>0</v>
      </c>
      <c r="D22" s="125">
        <v>0</v>
      </c>
      <c r="E22" s="125">
        <v>0</v>
      </c>
      <c r="F22" s="125">
        <v>0</v>
      </c>
      <c r="G22" s="125">
        <v>0</v>
      </c>
      <c r="H22" s="384">
        <v>0</v>
      </c>
      <c r="I22" s="503">
        <f ca="1">'SYCamp# &amp; Expenses'!AJ59</f>
        <v>59290</v>
      </c>
      <c r="J22" s="503">
        <f ca="1">'SYCamp# &amp; Expenses'!BI59</f>
        <v>130460</v>
      </c>
      <c r="K22" s="384">
        <v>0</v>
      </c>
      <c r="L22" s="384">
        <v>0</v>
      </c>
      <c r="M22" s="384">
        <v>0</v>
      </c>
      <c r="N22" s="384">
        <v>0</v>
      </c>
      <c r="O22" s="142">
        <f t="shared" ca="1" si="2"/>
        <v>189750</v>
      </c>
    </row>
    <row r="23" spans="1:16" x14ac:dyDescent="0.3">
      <c r="A23" s="108"/>
      <c r="B23" s="109" t="s">
        <v>173</v>
      </c>
      <c r="C23" s="121">
        <f>SUM(C8:C22)</f>
        <v>0</v>
      </c>
      <c r="D23" s="121">
        <f t="shared" ref="D23:N23" si="3">SUM(D8:D22)</f>
        <v>0</v>
      </c>
      <c r="E23" s="121">
        <f t="shared" si="3"/>
        <v>0</v>
      </c>
      <c r="F23" s="121">
        <f t="shared" si="3"/>
        <v>0</v>
      </c>
      <c r="G23" s="121">
        <f t="shared" si="3"/>
        <v>0</v>
      </c>
      <c r="H23" s="508">
        <f t="shared" si="3"/>
        <v>0</v>
      </c>
      <c r="I23" s="508">
        <f t="shared" ca="1" si="3"/>
        <v>357466</v>
      </c>
      <c r="J23" s="508">
        <f t="shared" ca="1" si="3"/>
        <v>451735.5</v>
      </c>
      <c r="K23" s="508">
        <f t="shared" si="3"/>
        <v>0</v>
      </c>
      <c r="L23" s="508">
        <f t="shared" si="3"/>
        <v>0</v>
      </c>
      <c r="M23" s="508">
        <f t="shared" si="3"/>
        <v>0</v>
      </c>
      <c r="N23" s="508">
        <f t="shared" si="3"/>
        <v>0</v>
      </c>
      <c r="O23" s="118">
        <f ca="1">SUM(O8:O22)</f>
        <v>809201.5</v>
      </c>
    </row>
    <row r="24" spans="1:16" x14ac:dyDescent="0.3">
      <c r="A24" s="104"/>
      <c r="B24" s="105" t="s">
        <v>174</v>
      </c>
      <c r="C24" s="122">
        <f t="shared" ref="C24:O24" si="4">C23+C7</f>
        <v>0</v>
      </c>
      <c r="D24" s="122">
        <f t="shared" si="4"/>
        <v>0</v>
      </c>
      <c r="E24" s="122">
        <f t="shared" si="4"/>
        <v>0</v>
      </c>
      <c r="F24" s="122">
        <f t="shared" si="4"/>
        <v>0</v>
      </c>
      <c r="G24" s="122">
        <f t="shared" si="4"/>
        <v>0</v>
      </c>
      <c r="H24" s="386">
        <f t="shared" si="4"/>
        <v>0</v>
      </c>
      <c r="I24" s="386">
        <f t="shared" ca="1" si="4"/>
        <v>896539</v>
      </c>
      <c r="J24" s="386">
        <f t="shared" ca="1" si="4"/>
        <v>1179399.5</v>
      </c>
      <c r="K24" s="386">
        <f t="shared" si="4"/>
        <v>0</v>
      </c>
      <c r="L24" s="386">
        <f t="shared" si="4"/>
        <v>0</v>
      </c>
      <c r="M24" s="386">
        <f t="shared" si="4"/>
        <v>0</v>
      </c>
      <c r="N24" s="386">
        <f t="shared" si="4"/>
        <v>0</v>
      </c>
      <c r="O24" s="145">
        <f t="shared" ca="1" si="4"/>
        <v>2075938.5</v>
      </c>
      <c r="P24" s="117"/>
    </row>
    <row r="25" spans="1:16" x14ac:dyDescent="0.3">
      <c r="A25" s="102">
        <v>522000</v>
      </c>
      <c r="B25" s="102" t="s">
        <v>175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 s="504">
        <f>(15*6*21*15)+(30*3*17)</f>
        <v>29880</v>
      </c>
      <c r="I25" s="501">
        <f ca="1">'SYCamp# &amp; Expenses'!AJ97+'SYCamp# &amp; Expenses'!AJ105+'SYCamp# &amp; Expenses'!AJ123</f>
        <v>112795.37380952381</v>
      </c>
      <c r="J25" s="501">
        <f ca="1">'SYCamp# &amp; Expenses'!BI97+'SYCamp# &amp; Expenses'!BI105+'SYCamp# &amp; Expenses'!BI123</f>
        <v>139232.87425595237</v>
      </c>
      <c r="K25" s="372">
        <v>0</v>
      </c>
      <c r="L25" s="372">
        <v>0</v>
      </c>
      <c r="M25" s="372">
        <v>0</v>
      </c>
      <c r="N25" s="372">
        <v>0</v>
      </c>
      <c r="O25" s="142">
        <f t="shared" ref="O25:O28" ca="1" si="5">SUM(C25:N25)</f>
        <v>281908.24806547619</v>
      </c>
      <c r="P25" s="159">
        <f ca="1">O25/O24</f>
        <v>0.13579797670570501</v>
      </c>
    </row>
    <row r="26" spans="1:16" x14ac:dyDescent="0.3">
      <c r="A26" s="102" t="s">
        <v>176</v>
      </c>
      <c r="B26" s="102" t="s">
        <v>177</v>
      </c>
      <c r="C26" s="125">
        <v>0</v>
      </c>
      <c r="D26" s="125">
        <v>0</v>
      </c>
      <c r="E26" s="125">
        <v>0</v>
      </c>
      <c r="F26" s="125">
        <v>0</v>
      </c>
      <c r="G26" s="125">
        <v>0</v>
      </c>
      <c r="H26" s="384">
        <v>0</v>
      </c>
      <c r="I26" s="384">
        <v>0</v>
      </c>
      <c r="J26" s="384">
        <v>0</v>
      </c>
      <c r="K26" s="384">
        <v>0</v>
      </c>
      <c r="L26" s="384">
        <v>0</v>
      </c>
      <c r="M26" s="384">
        <v>0</v>
      </c>
      <c r="N26" s="384">
        <v>0</v>
      </c>
      <c r="O26" s="142">
        <f t="shared" si="5"/>
        <v>0</v>
      </c>
    </row>
    <row r="27" spans="1:16" x14ac:dyDescent="0.3">
      <c r="A27" s="102" t="s">
        <v>178</v>
      </c>
      <c r="B27" s="102" t="s">
        <v>179</v>
      </c>
      <c r="C27" s="113">
        <v>0</v>
      </c>
      <c r="D27" s="113">
        <v>0</v>
      </c>
      <c r="E27" s="113">
        <v>0</v>
      </c>
      <c r="F27" s="113">
        <v>0</v>
      </c>
      <c r="G27" s="113">
        <v>0</v>
      </c>
      <c r="H27" s="505">
        <f>H25*0.09</f>
        <v>2689.2</v>
      </c>
      <c r="I27" s="505">
        <f ca="1">I25*0.09</f>
        <v>10151.583642857142</v>
      </c>
      <c r="J27" s="505">
        <f ca="1">J25*0.09</f>
        <v>12530.958683035713</v>
      </c>
      <c r="K27" s="387">
        <v>0</v>
      </c>
      <c r="L27" s="387">
        <v>0</v>
      </c>
      <c r="M27" s="387">
        <v>0</v>
      </c>
      <c r="N27" s="387">
        <v>0</v>
      </c>
      <c r="O27" s="142">
        <f t="shared" ca="1" si="5"/>
        <v>25371.742325892854</v>
      </c>
    </row>
    <row r="28" spans="1:16" x14ac:dyDescent="0.3">
      <c r="A28" s="107" t="s">
        <v>180</v>
      </c>
      <c r="B28" s="107" t="s">
        <v>181</v>
      </c>
      <c r="C28" s="113">
        <v>0</v>
      </c>
      <c r="D28" s="113">
        <v>0</v>
      </c>
      <c r="E28" s="113">
        <v>0</v>
      </c>
      <c r="F28" s="113">
        <v>0</v>
      </c>
      <c r="G28" s="113">
        <v>0</v>
      </c>
      <c r="H28" s="387">
        <v>0</v>
      </c>
      <c r="I28" s="505">
        <v>0</v>
      </c>
      <c r="J28" s="505">
        <v>0</v>
      </c>
      <c r="K28" s="387">
        <v>0</v>
      </c>
      <c r="L28" s="387">
        <v>0</v>
      </c>
      <c r="M28" s="387">
        <v>0</v>
      </c>
      <c r="N28" s="387">
        <v>0</v>
      </c>
      <c r="O28" s="142">
        <f t="shared" si="5"/>
        <v>0</v>
      </c>
    </row>
    <row r="29" spans="1:16" x14ac:dyDescent="0.3">
      <c r="A29" s="108"/>
      <c r="B29" s="109" t="s">
        <v>182</v>
      </c>
      <c r="C29" s="110">
        <f>SUM(C25:C28)</f>
        <v>0</v>
      </c>
      <c r="D29" s="110">
        <f t="shared" ref="D29:N29" si="6">SUM(D25:D28)</f>
        <v>0</v>
      </c>
      <c r="E29" s="110">
        <f t="shared" si="6"/>
        <v>0</v>
      </c>
      <c r="F29" s="110">
        <f t="shared" si="6"/>
        <v>0</v>
      </c>
      <c r="G29" s="110">
        <f t="shared" si="6"/>
        <v>0</v>
      </c>
      <c r="H29" s="388">
        <f t="shared" si="6"/>
        <v>32569.200000000001</v>
      </c>
      <c r="I29" s="385">
        <f t="shared" ca="1" si="6"/>
        <v>122946.95745238094</v>
      </c>
      <c r="J29" s="385">
        <f t="shared" ca="1" si="6"/>
        <v>151763.83293898808</v>
      </c>
      <c r="K29" s="388">
        <f t="shared" si="6"/>
        <v>0</v>
      </c>
      <c r="L29" s="388">
        <f t="shared" si="6"/>
        <v>0</v>
      </c>
      <c r="M29" s="388">
        <f t="shared" si="6"/>
        <v>0</v>
      </c>
      <c r="N29" s="388">
        <f t="shared" si="6"/>
        <v>0</v>
      </c>
      <c r="O29" s="118">
        <f ca="1">SUM(O25:O28)</f>
        <v>307279.99039136904</v>
      </c>
    </row>
    <row r="30" spans="1:16" x14ac:dyDescent="0.3">
      <c r="A30" s="102">
        <v>561000</v>
      </c>
      <c r="B30" s="102" t="s">
        <v>183</v>
      </c>
      <c r="C30" s="103">
        <v>0</v>
      </c>
      <c r="D30" s="103"/>
      <c r="E30" s="103">
        <v>0</v>
      </c>
      <c r="F30" s="103">
        <v>0</v>
      </c>
      <c r="G30" s="103">
        <v>0</v>
      </c>
      <c r="H30" s="372">
        <v>0</v>
      </c>
      <c r="I30" s="501">
        <f ca="1">'SYC Camp Revenue '!AJ79</f>
        <v>161721.90000000002</v>
      </c>
      <c r="J30" s="501">
        <f ca="1">'SYC Camp Revenue '!BI79</f>
        <v>218299.2</v>
      </c>
      <c r="K30" s="372">
        <v>0</v>
      </c>
      <c r="L30" s="372">
        <v>0</v>
      </c>
      <c r="M30" s="372">
        <v>0</v>
      </c>
      <c r="N30" s="372">
        <v>0</v>
      </c>
      <c r="O30" s="142">
        <f ca="1">SUM(E30:N30)</f>
        <v>380021.10000000003</v>
      </c>
      <c r="P30" s="159">
        <f ca="1">O30/O7</f>
        <v>0.30000000000000004</v>
      </c>
    </row>
    <row r="31" spans="1:16" x14ac:dyDescent="0.3">
      <c r="A31" s="102" t="s">
        <v>184</v>
      </c>
      <c r="B31" s="102" t="s">
        <v>185</v>
      </c>
      <c r="C31" s="112">
        <v>0</v>
      </c>
      <c r="D31" s="112">
        <v>0</v>
      </c>
      <c r="E31" s="112">
        <v>0</v>
      </c>
      <c r="F31" s="112">
        <v>0</v>
      </c>
      <c r="G31" s="112">
        <v>0</v>
      </c>
      <c r="H31" s="389">
        <v>0</v>
      </c>
      <c r="I31" s="383">
        <v>0</v>
      </c>
      <c r="J31" s="383">
        <v>0</v>
      </c>
      <c r="K31" s="389">
        <v>0</v>
      </c>
      <c r="L31" s="389">
        <v>0</v>
      </c>
      <c r="M31" s="389">
        <v>0</v>
      </c>
      <c r="N31" s="389">
        <v>0</v>
      </c>
      <c r="O31" s="142">
        <f t="shared" ref="O31:O51" si="7">SUM(E31:N31)</f>
        <v>0</v>
      </c>
    </row>
    <row r="32" spans="1:16" x14ac:dyDescent="0.3">
      <c r="A32" s="102" t="s">
        <v>186</v>
      </c>
      <c r="B32" s="102" t="s">
        <v>187</v>
      </c>
      <c r="C32" s="103">
        <v>0</v>
      </c>
      <c r="D32" s="103">
        <v>0</v>
      </c>
      <c r="E32" s="103">
        <v>0</v>
      </c>
      <c r="F32" s="103">
        <v>0</v>
      </c>
      <c r="G32" s="103">
        <v>0</v>
      </c>
      <c r="H32" s="372">
        <v>0</v>
      </c>
      <c r="I32" s="501">
        <v>0</v>
      </c>
      <c r="J32" s="501">
        <v>0</v>
      </c>
      <c r="K32" s="372">
        <v>0</v>
      </c>
      <c r="L32" s="372">
        <v>0</v>
      </c>
      <c r="M32" s="372">
        <v>0</v>
      </c>
      <c r="N32" s="372">
        <v>0</v>
      </c>
      <c r="O32" s="142">
        <f t="shared" si="7"/>
        <v>0</v>
      </c>
    </row>
    <row r="33" spans="1:16" x14ac:dyDescent="0.3">
      <c r="A33" s="102" t="s">
        <v>188</v>
      </c>
      <c r="B33" s="102" t="s">
        <v>189</v>
      </c>
      <c r="C33" s="103">
        <v>0</v>
      </c>
      <c r="D33" s="103">
        <v>0</v>
      </c>
      <c r="E33" s="103">
        <v>0</v>
      </c>
      <c r="F33" s="103">
        <v>0</v>
      </c>
      <c r="G33" s="103">
        <v>0</v>
      </c>
      <c r="H33" s="372">
        <v>0</v>
      </c>
      <c r="I33" s="501">
        <v>0</v>
      </c>
      <c r="J33" s="501">
        <v>0</v>
      </c>
      <c r="K33" s="372">
        <v>0</v>
      </c>
      <c r="L33" s="372">
        <v>0</v>
      </c>
      <c r="M33" s="372">
        <v>0</v>
      </c>
      <c r="N33" s="372">
        <v>0</v>
      </c>
      <c r="O33" s="142">
        <f t="shared" si="7"/>
        <v>0</v>
      </c>
    </row>
    <row r="34" spans="1:16" x14ac:dyDescent="0.3">
      <c r="A34" s="102" t="s">
        <v>190</v>
      </c>
      <c r="B34" s="102" t="s">
        <v>191</v>
      </c>
      <c r="C34" s="103">
        <v>0</v>
      </c>
      <c r="D34" s="103">
        <v>0</v>
      </c>
      <c r="E34" s="103">
        <v>0</v>
      </c>
      <c r="F34" s="103">
        <v>0</v>
      </c>
      <c r="G34" s="103">
        <v>0</v>
      </c>
      <c r="H34" s="372">
        <v>0</v>
      </c>
      <c r="I34" s="501">
        <v>0</v>
      </c>
      <c r="J34" s="501">
        <v>0</v>
      </c>
      <c r="K34" s="372">
        <v>0</v>
      </c>
      <c r="L34" s="372">
        <v>0</v>
      </c>
      <c r="M34" s="372">
        <v>0</v>
      </c>
      <c r="N34" s="372">
        <v>0</v>
      </c>
      <c r="O34" s="142">
        <f t="shared" si="7"/>
        <v>0</v>
      </c>
    </row>
    <row r="35" spans="1:16" x14ac:dyDescent="0.3">
      <c r="A35" s="102" t="s">
        <v>192</v>
      </c>
      <c r="B35" s="102" t="s">
        <v>193</v>
      </c>
      <c r="C35" s="103">
        <v>0</v>
      </c>
      <c r="D35" s="103">
        <v>0</v>
      </c>
      <c r="E35" s="103">
        <v>0</v>
      </c>
      <c r="F35" s="103">
        <v>0</v>
      </c>
      <c r="G35" s="103">
        <v>0</v>
      </c>
      <c r="H35" s="372">
        <v>0</v>
      </c>
      <c r="I35" s="501">
        <f>'SYCamp# &amp; Expenses'!AJ75</f>
        <v>7114.5</v>
      </c>
      <c r="J35" s="501">
        <f>'SYCamp# &amp; Expenses'!BI68</f>
        <v>0</v>
      </c>
      <c r="K35" s="372">
        <v>0</v>
      </c>
      <c r="L35" s="372">
        <v>0</v>
      </c>
      <c r="M35" s="372">
        <v>0</v>
      </c>
      <c r="N35" s="372">
        <v>0</v>
      </c>
      <c r="O35" s="142">
        <f t="shared" si="7"/>
        <v>7114.5</v>
      </c>
    </row>
    <row r="36" spans="1:16" x14ac:dyDescent="0.3">
      <c r="A36" s="102" t="s">
        <v>194</v>
      </c>
      <c r="B36" s="102" t="s">
        <v>195</v>
      </c>
      <c r="C36" s="103">
        <v>0</v>
      </c>
      <c r="D36" s="103">
        <v>0</v>
      </c>
      <c r="E36" s="103">
        <v>0</v>
      </c>
      <c r="F36" s="103">
        <v>0</v>
      </c>
      <c r="G36" s="103">
        <v>0</v>
      </c>
      <c r="H36" s="372">
        <v>0</v>
      </c>
      <c r="I36" s="501">
        <v>0</v>
      </c>
      <c r="J36" s="501">
        <v>0</v>
      </c>
      <c r="K36" s="372">
        <v>0</v>
      </c>
      <c r="L36" s="372">
        <v>0</v>
      </c>
      <c r="M36" s="372">
        <v>0</v>
      </c>
      <c r="N36" s="372">
        <v>0</v>
      </c>
      <c r="O36" s="142">
        <f t="shared" si="7"/>
        <v>0</v>
      </c>
    </row>
    <row r="37" spans="1:16" x14ac:dyDescent="0.3">
      <c r="A37" s="102" t="s">
        <v>196</v>
      </c>
      <c r="B37" s="210" t="s">
        <v>380</v>
      </c>
      <c r="C37" s="113">
        <v>0</v>
      </c>
      <c r="D37" s="113">
        <v>0</v>
      </c>
      <c r="E37" s="113">
        <v>0</v>
      </c>
      <c r="F37" s="113">
        <v>0</v>
      </c>
      <c r="G37" s="113">
        <v>0</v>
      </c>
      <c r="H37" s="387">
        <v>0</v>
      </c>
      <c r="I37" s="505">
        <v>0</v>
      </c>
      <c r="J37" s="505">
        <v>0</v>
      </c>
      <c r="K37" s="387">
        <v>0</v>
      </c>
      <c r="L37" s="387">
        <v>0</v>
      </c>
      <c r="M37" s="387">
        <v>0</v>
      </c>
      <c r="N37" s="387">
        <v>0</v>
      </c>
      <c r="O37" s="142">
        <f t="shared" si="7"/>
        <v>0</v>
      </c>
    </row>
    <row r="38" spans="1:16" x14ac:dyDescent="0.3">
      <c r="A38" s="102" t="s">
        <v>197</v>
      </c>
      <c r="B38" s="102" t="s">
        <v>198</v>
      </c>
      <c r="C38" s="113">
        <v>0</v>
      </c>
      <c r="D38" s="113">
        <v>0</v>
      </c>
      <c r="E38" s="113">
        <v>0</v>
      </c>
      <c r="F38" s="113">
        <v>0</v>
      </c>
      <c r="G38" s="113">
        <v>0</v>
      </c>
      <c r="H38" s="387">
        <v>0</v>
      </c>
      <c r="I38" s="505">
        <v>0</v>
      </c>
      <c r="J38" s="505">
        <v>0</v>
      </c>
      <c r="K38" s="387">
        <v>0</v>
      </c>
      <c r="L38" s="387">
        <v>0</v>
      </c>
      <c r="M38" s="387">
        <v>0</v>
      </c>
      <c r="N38" s="387">
        <v>0</v>
      </c>
      <c r="O38" s="142">
        <f t="shared" si="7"/>
        <v>0</v>
      </c>
    </row>
    <row r="39" spans="1:16" x14ac:dyDescent="0.3">
      <c r="A39" s="102">
        <v>577200</v>
      </c>
      <c r="B39" s="102" t="s">
        <v>199</v>
      </c>
      <c r="C39" s="103">
        <v>0</v>
      </c>
      <c r="D39" s="103">
        <v>0</v>
      </c>
      <c r="E39" s="103">
        <v>0</v>
      </c>
      <c r="F39" s="103">
        <v>0</v>
      </c>
      <c r="G39" s="103">
        <v>0</v>
      </c>
      <c r="H39" s="372">
        <v>0</v>
      </c>
      <c r="I39" s="501">
        <f ca="1">'SYCamp# &amp; Expenses'!AJ73+'SYCamp# &amp; Expenses'!AJ74+'SYCamp# &amp; Expenses'!AJ83+'SYCamp# &amp; Expenses'!AJ84+'SYCamp# &amp; Expenses'!AJ106+'SYCamp# &amp; Expenses'!AJ107+'SYCamp# &amp; Expenses'!AJ109+'SYCamp# &amp; Expenses'!AJ108</f>
        <v>188779.66555555555</v>
      </c>
      <c r="J39" s="501">
        <f ca="1">'SYCamp# &amp; Expenses'!BI73+'SYCamp# &amp; Expenses'!BI74+'SYCamp# &amp; Expenses'!BI83+'SYCamp# &amp; Expenses'!BI84+'SYCamp# &amp; Expenses'!BI106+'SYCamp# &amp; Expenses'!BI107+'SYCamp# &amp; Expenses'!BI108+'SYCamp# &amp; Expenses'!BI109</f>
        <v>223268.90555555557</v>
      </c>
      <c r="K39" s="372">
        <v>0</v>
      </c>
      <c r="L39" s="372">
        <v>0</v>
      </c>
      <c r="M39" s="372">
        <v>0</v>
      </c>
      <c r="N39" s="372">
        <v>0</v>
      </c>
      <c r="O39" s="142">
        <f t="shared" ca="1" si="7"/>
        <v>412048.57111111109</v>
      </c>
      <c r="P39" s="159">
        <f ca="1">O39/O24</f>
        <v>0.19848785072925382</v>
      </c>
    </row>
    <row r="40" spans="1:16" x14ac:dyDescent="0.3">
      <c r="A40" s="102" t="s">
        <v>200</v>
      </c>
      <c r="B40" s="102" t="s">
        <v>201</v>
      </c>
      <c r="C40" s="113">
        <v>0</v>
      </c>
      <c r="D40" s="113">
        <v>0</v>
      </c>
      <c r="E40" s="113">
        <v>0</v>
      </c>
      <c r="F40" s="113">
        <v>0</v>
      </c>
      <c r="G40" s="113">
        <v>0</v>
      </c>
      <c r="H40" s="387">
        <v>0</v>
      </c>
      <c r="I40" s="505">
        <v>0</v>
      </c>
      <c r="J40" s="505">
        <v>0</v>
      </c>
      <c r="K40" s="387">
        <v>0</v>
      </c>
      <c r="L40" s="387">
        <v>0</v>
      </c>
      <c r="M40" s="387">
        <v>0</v>
      </c>
      <c r="N40" s="387">
        <v>0</v>
      </c>
      <c r="O40" s="142">
        <f t="shared" si="7"/>
        <v>0</v>
      </c>
    </row>
    <row r="41" spans="1:16" x14ac:dyDescent="0.3">
      <c r="A41" s="102" t="s">
        <v>202</v>
      </c>
      <c r="B41" s="102" t="s">
        <v>203</v>
      </c>
      <c r="C41" s="113">
        <v>0</v>
      </c>
      <c r="D41" s="113">
        <v>0</v>
      </c>
      <c r="E41" s="113">
        <v>0</v>
      </c>
      <c r="F41" s="113">
        <v>0</v>
      </c>
      <c r="G41" s="113">
        <v>0</v>
      </c>
      <c r="H41" s="387">
        <v>0</v>
      </c>
      <c r="I41" s="505">
        <f>'SYCamp# &amp; Expenses'!AJ68</f>
        <v>7208</v>
      </c>
      <c r="J41" s="505">
        <f>'SYCamp# &amp; Expenses'!BI68</f>
        <v>0</v>
      </c>
      <c r="K41" s="387">
        <v>0</v>
      </c>
      <c r="L41" s="387">
        <v>0</v>
      </c>
      <c r="M41" s="387">
        <v>0</v>
      </c>
      <c r="N41" s="387">
        <v>0</v>
      </c>
      <c r="O41" s="142">
        <f t="shared" si="7"/>
        <v>7208</v>
      </c>
    </row>
    <row r="42" spans="1:16" x14ac:dyDescent="0.3">
      <c r="A42" s="102" t="s">
        <v>204</v>
      </c>
      <c r="B42" s="102" t="s">
        <v>205</v>
      </c>
      <c r="C42" s="103">
        <v>0</v>
      </c>
      <c r="D42" s="103">
        <v>0</v>
      </c>
      <c r="E42" s="103">
        <v>0</v>
      </c>
      <c r="F42" s="103">
        <v>0</v>
      </c>
      <c r="G42" s="103">
        <v>0</v>
      </c>
      <c r="H42" s="372">
        <v>0</v>
      </c>
      <c r="I42" s="501">
        <v>0</v>
      </c>
      <c r="J42" s="501">
        <v>0</v>
      </c>
      <c r="K42" s="372">
        <v>0</v>
      </c>
      <c r="L42" s="372">
        <v>0</v>
      </c>
      <c r="M42" s="372">
        <v>0</v>
      </c>
      <c r="N42" s="372">
        <v>0</v>
      </c>
      <c r="O42" s="142">
        <f t="shared" si="7"/>
        <v>0</v>
      </c>
    </row>
    <row r="43" spans="1:16" x14ac:dyDescent="0.3">
      <c r="A43" s="102" t="s">
        <v>206</v>
      </c>
      <c r="B43" s="102" t="s">
        <v>207</v>
      </c>
      <c r="C43" s="103">
        <v>0</v>
      </c>
      <c r="D43" s="103">
        <v>0</v>
      </c>
      <c r="E43" s="103">
        <v>0</v>
      </c>
      <c r="F43" s="103">
        <v>0</v>
      </c>
      <c r="G43" s="103">
        <v>0</v>
      </c>
      <c r="H43" s="372">
        <v>0</v>
      </c>
      <c r="I43" s="501">
        <v>0</v>
      </c>
      <c r="J43" s="501">
        <v>0</v>
      </c>
      <c r="K43" s="372">
        <v>0</v>
      </c>
      <c r="L43" s="372">
        <v>0</v>
      </c>
      <c r="M43" s="372">
        <v>0</v>
      </c>
      <c r="N43" s="372">
        <v>0</v>
      </c>
      <c r="O43" s="142">
        <f t="shared" si="7"/>
        <v>0</v>
      </c>
    </row>
    <row r="44" spans="1:16" x14ac:dyDescent="0.3">
      <c r="A44" s="102" t="s">
        <v>208</v>
      </c>
      <c r="B44" s="102" t="s">
        <v>209</v>
      </c>
      <c r="C44" s="113">
        <v>0</v>
      </c>
      <c r="D44" s="113">
        <v>0</v>
      </c>
      <c r="E44" s="113">
        <v>0</v>
      </c>
      <c r="F44" s="113">
        <v>0</v>
      </c>
      <c r="G44" s="113">
        <v>0</v>
      </c>
      <c r="H44" s="387">
        <v>0</v>
      </c>
      <c r="I44" s="505">
        <f>'SYCamp# &amp; Expenses'!AJ135</f>
        <v>7300</v>
      </c>
      <c r="J44" s="505">
        <f>'SYCamp# &amp; Expenses'!BI135</f>
        <v>4623</v>
      </c>
      <c r="K44" s="387">
        <v>0</v>
      </c>
      <c r="L44" s="387">
        <v>0</v>
      </c>
      <c r="M44" s="387">
        <v>0</v>
      </c>
      <c r="N44" s="387">
        <v>0</v>
      </c>
      <c r="O44" s="142">
        <f t="shared" si="7"/>
        <v>11923</v>
      </c>
    </row>
    <row r="45" spans="1:16" x14ac:dyDescent="0.3">
      <c r="A45" s="102" t="s">
        <v>210</v>
      </c>
      <c r="B45" s="102" t="s">
        <v>211</v>
      </c>
      <c r="C45" s="113">
        <v>0</v>
      </c>
      <c r="D45" s="113">
        <v>0</v>
      </c>
      <c r="E45" s="113">
        <v>0</v>
      </c>
      <c r="F45" s="113">
        <v>0</v>
      </c>
      <c r="G45" s="113">
        <v>0</v>
      </c>
      <c r="H45" s="387">
        <v>0</v>
      </c>
      <c r="I45" s="505">
        <v>0</v>
      </c>
      <c r="J45" s="505">
        <v>0</v>
      </c>
      <c r="K45" s="387">
        <v>0</v>
      </c>
      <c r="L45" s="387">
        <v>0</v>
      </c>
      <c r="M45" s="387">
        <v>0</v>
      </c>
      <c r="N45" s="387">
        <v>0</v>
      </c>
      <c r="O45" s="142">
        <f t="shared" si="7"/>
        <v>0</v>
      </c>
    </row>
    <row r="46" spans="1:16" x14ac:dyDescent="0.3">
      <c r="A46" s="102" t="s">
        <v>212</v>
      </c>
      <c r="B46" s="102" t="s">
        <v>213</v>
      </c>
      <c r="C46" s="113">
        <v>0</v>
      </c>
      <c r="D46" s="113">
        <v>0</v>
      </c>
      <c r="E46" s="113">
        <v>0</v>
      </c>
      <c r="F46" s="113">
        <v>0</v>
      </c>
      <c r="G46" s="113">
        <v>0</v>
      </c>
      <c r="H46" s="387">
        <v>0</v>
      </c>
      <c r="I46" s="505">
        <v>0</v>
      </c>
      <c r="J46" s="505">
        <v>0</v>
      </c>
      <c r="K46" s="387">
        <v>0</v>
      </c>
      <c r="L46" s="387">
        <v>0</v>
      </c>
      <c r="M46" s="387">
        <v>0</v>
      </c>
      <c r="N46" s="387">
        <v>0</v>
      </c>
      <c r="O46" s="142">
        <f t="shared" si="7"/>
        <v>0</v>
      </c>
    </row>
    <row r="47" spans="1:16" x14ac:dyDescent="0.3">
      <c r="A47" s="102" t="s">
        <v>214</v>
      </c>
      <c r="B47" s="102" t="s">
        <v>215</v>
      </c>
      <c r="C47" s="113">
        <v>0</v>
      </c>
      <c r="D47" s="113">
        <v>0</v>
      </c>
      <c r="E47" s="113">
        <v>0</v>
      </c>
      <c r="F47" s="113">
        <v>0</v>
      </c>
      <c r="G47" s="113">
        <v>0</v>
      </c>
      <c r="H47" s="387">
        <v>0</v>
      </c>
      <c r="I47" s="506">
        <v>500</v>
      </c>
      <c r="J47" s="506">
        <v>500</v>
      </c>
      <c r="K47" s="387">
        <v>0</v>
      </c>
      <c r="L47" s="387">
        <v>0</v>
      </c>
      <c r="M47" s="387">
        <v>0</v>
      </c>
      <c r="N47" s="387">
        <v>0</v>
      </c>
      <c r="O47" s="142">
        <f t="shared" si="7"/>
        <v>1000</v>
      </c>
    </row>
    <row r="48" spans="1:16" x14ac:dyDescent="0.3">
      <c r="A48" s="102" t="s">
        <v>216</v>
      </c>
      <c r="B48" s="102" t="s">
        <v>217</v>
      </c>
      <c r="C48" s="113">
        <v>0</v>
      </c>
      <c r="D48" s="113">
        <v>0</v>
      </c>
      <c r="E48" s="113">
        <v>0</v>
      </c>
      <c r="F48" s="113">
        <v>0</v>
      </c>
      <c r="G48" s="113">
        <v>0</v>
      </c>
      <c r="H48" s="387">
        <v>0</v>
      </c>
      <c r="I48" s="506">
        <v>7500</v>
      </c>
      <c r="J48" s="505">
        <v>0</v>
      </c>
      <c r="K48" s="387">
        <v>0</v>
      </c>
      <c r="L48" s="387">
        <v>0</v>
      </c>
      <c r="M48" s="387">
        <v>0</v>
      </c>
      <c r="N48" s="387">
        <v>0</v>
      </c>
      <c r="O48" s="142">
        <f t="shared" si="7"/>
        <v>7500</v>
      </c>
    </row>
    <row r="49" spans="1:15" x14ac:dyDescent="0.3">
      <c r="A49" s="102" t="s">
        <v>218</v>
      </c>
      <c r="B49" s="102" t="s">
        <v>219</v>
      </c>
      <c r="C49" s="113">
        <v>0</v>
      </c>
      <c r="D49" s="113">
        <v>0</v>
      </c>
      <c r="E49" s="113">
        <v>0</v>
      </c>
      <c r="F49" s="113">
        <v>0</v>
      </c>
      <c r="G49" s="113">
        <v>0</v>
      </c>
      <c r="H49" s="387">
        <v>0</v>
      </c>
      <c r="I49" s="505">
        <v>0</v>
      </c>
      <c r="J49" s="505">
        <v>0</v>
      </c>
      <c r="K49" s="387">
        <v>0</v>
      </c>
      <c r="L49" s="387">
        <v>0</v>
      </c>
      <c r="M49" s="387">
        <v>0</v>
      </c>
      <c r="N49" s="387">
        <v>0</v>
      </c>
      <c r="O49" s="142">
        <f t="shared" si="7"/>
        <v>0</v>
      </c>
    </row>
    <row r="50" spans="1:15" x14ac:dyDescent="0.3">
      <c r="A50" s="102" t="s">
        <v>220</v>
      </c>
      <c r="B50" s="102" t="s">
        <v>221</v>
      </c>
      <c r="C50" s="113">
        <v>0</v>
      </c>
      <c r="D50" s="113">
        <v>0</v>
      </c>
      <c r="E50" s="113">
        <v>0</v>
      </c>
      <c r="F50" s="113">
        <v>0</v>
      </c>
      <c r="G50" s="113">
        <v>0</v>
      </c>
      <c r="H50" s="387">
        <v>0</v>
      </c>
      <c r="I50" s="505">
        <v>0</v>
      </c>
      <c r="J50" s="505">
        <v>0</v>
      </c>
      <c r="K50" s="387">
        <v>0</v>
      </c>
      <c r="L50" s="387">
        <v>0</v>
      </c>
      <c r="M50" s="387">
        <v>0</v>
      </c>
      <c r="N50" s="387">
        <v>0</v>
      </c>
      <c r="O50" s="142">
        <f t="shared" si="7"/>
        <v>0</v>
      </c>
    </row>
    <row r="51" spans="1:15" x14ac:dyDescent="0.3">
      <c r="A51" s="107" t="s">
        <v>222</v>
      </c>
      <c r="B51" s="107" t="s">
        <v>223</v>
      </c>
      <c r="C51" s="103">
        <v>0</v>
      </c>
      <c r="D51" s="103">
        <v>0</v>
      </c>
      <c r="E51" s="103">
        <v>0</v>
      </c>
      <c r="F51" s="103">
        <v>0</v>
      </c>
      <c r="G51" s="103">
        <v>0</v>
      </c>
      <c r="H51" s="372">
        <v>0</v>
      </c>
      <c r="I51" s="501">
        <v>0</v>
      </c>
      <c r="J51" s="501">
        <v>0</v>
      </c>
      <c r="K51" s="372">
        <v>0</v>
      </c>
      <c r="L51" s="372">
        <v>0</v>
      </c>
      <c r="M51" s="372">
        <v>0</v>
      </c>
      <c r="N51" s="372">
        <v>0</v>
      </c>
      <c r="O51" s="142">
        <f t="shared" si="7"/>
        <v>0</v>
      </c>
    </row>
    <row r="52" spans="1:15" x14ac:dyDescent="0.3">
      <c r="A52" s="108"/>
      <c r="B52" s="109" t="s">
        <v>224</v>
      </c>
      <c r="C52" s="110">
        <f>SUM(C30:C51)</f>
        <v>0</v>
      </c>
      <c r="D52" s="110">
        <f t="shared" ref="D52:N52" si="8">SUM(D30:D51)</f>
        <v>0</v>
      </c>
      <c r="E52" s="110">
        <f t="shared" si="8"/>
        <v>0</v>
      </c>
      <c r="F52" s="110">
        <f t="shared" si="8"/>
        <v>0</v>
      </c>
      <c r="G52" s="110">
        <f t="shared" si="8"/>
        <v>0</v>
      </c>
      <c r="H52" s="388">
        <f t="shared" si="8"/>
        <v>0</v>
      </c>
      <c r="I52" s="385">
        <f t="shared" ca="1" si="8"/>
        <v>380124.06555555557</v>
      </c>
      <c r="J52" s="385">
        <f ca="1">SUM(J30:J51)</f>
        <v>446691.10555555555</v>
      </c>
      <c r="K52" s="388">
        <f t="shared" si="8"/>
        <v>0</v>
      </c>
      <c r="L52" s="388">
        <f t="shared" si="8"/>
        <v>0</v>
      </c>
      <c r="M52" s="388">
        <f t="shared" si="8"/>
        <v>0</v>
      </c>
      <c r="N52" s="388">
        <f t="shared" si="8"/>
        <v>0</v>
      </c>
      <c r="O52" s="118">
        <f t="shared" ref="O52" ca="1" si="9">SUM(E52:N52)</f>
        <v>826815.17111111106</v>
      </c>
    </row>
    <row r="53" spans="1:15" x14ac:dyDescent="0.3">
      <c r="A53" s="114"/>
      <c r="B53" s="105" t="s">
        <v>225</v>
      </c>
      <c r="C53" s="111">
        <f>C52+C29</f>
        <v>0</v>
      </c>
      <c r="D53" s="111">
        <f t="shared" ref="D53:O53" si="10">D52+D29</f>
        <v>0</v>
      </c>
      <c r="E53" s="111">
        <f t="shared" si="10"/>
        <v>0</v>
      </c>
      <c r="F53" s="111">
        <f t="shared" si="10"/>
        <v>0</v>
      </c>
      <c r="G53" s="111">
        <f t="shared" si="10"/>
        <v>0</v>
      </c>
      <c r="H53" s="393">
        <f>H52+H29</f>
        <v>32569.200000000001</v>
      </c>
      <c r="I53" s="386">
        <f t="shared" ca="1" si="10"/>
        <v>503071.02300793654</v>
      </c>
      <c r="J53" s="386">
        <f ca="1">J52+J29</f>
        <v>598454.93849454366</v>
      </c>
      <c r="K53" s="393">
        <f t="shared" si="10"/>
        <v>0</v>
      </c>
      <c r="L53" s="393">
        <f t="shared" si="10"/>
        <v>0</v>
      </c>
      <c r="M53" s="393">
        <f t="shared" si="10"/>
        <v>0</v>
      </c>
      <c r="N53" s="393">
        <f t="shared" si="10"/>
        <v>0</v>
      </c>
      <c r="O53" s="145">
        <f t="shared" ca="1" si="10"/>
        <v>1134095.16150248</v>
      </c>
    </row>
    <row r="54" spans="1:15" x14ac:dyDescent="0.3">
      <c r="A54" s="102" t="s">
        <v>226</v>
      </c>
      <c r="B54" s="102" t="s">
        <v>227</v>
      </c>
      <c r="C54" s="113">
        <v>0</v>
      </c>
      <c r="D54" s="113">
        <v>0</v>
      </c>
      <c r="E54" s="113">
        <v>0</v>
      </c>
      <c r="F54" s="113">
        <v>0</v>
      </c>
      <c r="G54" s="113">
        <v>0</v>
      </c>
      <c r="H54" s="387">
        <v>0</v>
      </c>
      <c r="I54" s="505">
        <v>0</v>
      </c>
      <c r="J54" s="505">
        <v>0</v>
      </c>
      <c r="K54" s="387">
        <v>0</v>
      </c>
      <c r="L54" s="387">
        <v>0</v>
      </c>
      <c r="M54" s="387">
        <v>0</v>
      </c>
      <c r="N54" s="387">
        <v>0</v>
      </c>
      <c r="O54" s="142">
        <f>SUM(C54:N54)</f>
        <v>0</v>
      </c>
    </row>
    <row r="55" spans="1:15" x14ac:dyDescent="0.3">
      <c r="A55" s="102" t="s">
        <v>228</v>
      </c>
      <c r="B55" s="102" t="s">
        <v>229</v>
      </c>
      <c r="C55" s="113">
        <v>0</v>
      </c>
      <c r="D55" s="113">
        <v>0</v>
      </c>
      <c r="E55" s="113">
        <v>0</v>
      </c>
      <c r="F55" s="113">
        <v>0</v>
      </c>
      <c r="G55" s="113">
        <v>0</v>
      </c>
      <c r="H55" s="387">
        <v>0</v>
      </c>
      <c r="I55" s="505">
        <v>0</v>
      </c>
      <c r="J55" s="505">
        <v>0</v>
      </c>
      <c r="K55" s="387">
        <v>0</v>
      </c>
      <c r="L55" s="387">
        <v>0</v>
      </c>
      <c r="M55" s="387">
        <v>0</v>
      </c>
      <c r="N55" s="387">
        <v>0</v>
      </c>
      <c r="O55" s="142">
        <f t="shared" ref="O55:O106" si="11">SUM(C55:N55)</f>
        <v>0</v>
      </c>
    </row>
    <row r="56" spans="1:15" x14ac:dyDescent="0.3">
      <c r="A56" s="102" t="s">
        <v>230</v>
      </c>
      <c r="B56" s="102" t="s">
        <v>231</v>
      </c>
      <c r="C56" s="113">
        <v>0</v>
      </c>
      <c r="D56" s="113">
        <v>0</v>
      </c>
      <c r="E56" s="113">
        <v>0</v>
      </c>
      <c r="F56" s="113">
        <v>0</v>
      </c>
      <c r="G56" s="113">
        <v>0</v>
      </c>
      <c r="H56" s="387">
        <v>0</v>
      </c>
      <c r="I56" s="505">
        <v>0</v>
      </c>
      <c r="J56" s="505">
        <v>0</v>
      </c>
      <c r="K56" s="387">
        <v>0</v>
      </c>
      <c r="L56" s="387">
        <v>0</v>
      </c>
      <c r="M56" s="387">
        <v>0</v>
      </c>
      <c r="N56" s="387">
        <v>0</v>
      </c>
      <c r="O56" s="142">
        <f t="shared" si="11"/>
        <v>0</v>
      </c>
    </row>
    <row r="57" spans="1:15" x14ac:dyDescent="0.3">
      <c r="A57" s="102" t="s">
        <v>232</v>
      </c>
      <c r="B57" s="102" t="s">
        <v>233</v>
      </c>
      <c r="C57" s="103">
        <v>0</v>
      </c>
      <c r="D57" s="103">
        <v>0</v>
      </c>
      <c r="E57" s="103">
        <v>0</v>
      </c>
      <c r="F57" s="103">
        <v>0</v>
      </c>
      <c r="G57" s="103">
        <v>0</v>
      </c>
      <c r="H57" s="372">
        <v>0</v>
      </c>
      <c r="I57" s="501">
        <v>0</v>
      </c>
      <c r="J57" s="501">
        <v>0</v>
      </c>
      <c r="K57" s="372">
        <v>0</v>
      </c>
      <c r="L57" s="372">
        <v>0</v>
      </c>
      <c r="M57" s="372">
        <v>0</v>
      </c>
      <c r="N57" s="372">
        <v>0</v>
      </c>
      <c r="O57" s="142">
        <f t="shared" si="11"/>
        <v>0</v>
      </c>
    </row>
    <row r="58" spans="1:15" x14ac:dyDescent="0.3">
      <c r="A58" s="102" t="s">
        <v>234</v>
      </c>
      <c r="B58" s="102" t="s">
        <v>235</v>
      </c>
      <c r="C58" s="113">
        <v>0</v>
      </c>
      <c r="D58" s="113">
        <v>0</v>
      </c>
      <c r="E58" s="113">
        <v>0</v>
      </c>
      <c r="F58" s="113">
        <v>0</v>
      </c>
      <c r="G58" s="113">
        <v>0</v>
      </c>
      <c r="H58" s="387">
        <v>0</v>
      </c>
      <c r="I58" s="505">
        <v>0</v>
      </c>
      <c r="J58" s="505">
        <v>0</v>
      </c>
      <c r="K58" s="387">
        <v>0</v>
      </c>
      <c r="L58" s="387">
        <v>0</v>
      </c>
      <c r="M58" s="387">
        <v>0</v>
      </c>
      <c r="N58" s="387">
        <v>0</v>
      </c>
      <c r="O58" s="142">
        <f t="shared" si="11"/>
        <v>0</v>
      </c>
    </row>
    <row r="59" spans="1:15" x14ac:dyDescent="0.3">
      <c r="A59" s="102" t="s">
        <v>236</v>
      </c>
      <c r="B59" s="102" t="s">
        <v>237</v>
      </c>
      <c r="C59" s="113">
        <v>0</v>
      </c>
      <c r="D59" s="113">
        <v>0</v>
      </c>
      <c r="E59" s="113">
        <v>0</v>
      </c>
      <c r="F59" s="113">
        <v>0</v>
      </c>
      <c r="G59" s="113">
        <v>0</v>
      </c>
      <c r="H59" s="387">
        <v>0</v>
      </c>
      <c r="I59" s="505">
        <v>0</v>
      </c>
      <c r="J59" s="505">
        <v>0</v>
      </c>
      <c r="K59" s="387">
        <v>0</v>
      </c>
      <c r="L59" s="387">
        <v>0</v>
      </c>
      <c r="M59" s="387">
        <v>0</v>
      </c>
      <c r="N59" s="387">
        <v>0</v>
      </c>
      <c r="O59" s="142">
        <f t="shared" si="11"/>
        <v>0</v>
      </c>
    </row>
    <row r="60" spans="1:15" x14ac:dyDescent="0.3">
      <c r="A60" s="102" t="s">
        <v>238</v>
      </c>
      <c r="B60" s="102" t="s">
        <v>239</v>
      </c>
      <c r="C60" s="103">
        <f>((54400)/12)</f>
        <v>4533.333333333333</v>
      </c>
      <c r="D60" s="103">
        <f t="shared" ref="D60:G60" si="12">((54400)/12)</f>
        <v>4533.333333333333</v>
      </c>
      <c r="E60" s="103">
        <f t="shared" si="12"/>
        <v>4533.333333333333</v>
      </c>
      <c r="F60" s="103">
        <f t="shared" si="12"/>
        <v>4533.333333333333</v>
      </c>
      <c r="G60" s="103">
        <f t="shared" si="12"/>
        <v>4533.333333333333</v>
      </c>
      <c r="H60" s="372">
        <f t="shared" ref="H60:J60" si="13">((40500+54400)/12)</f>
        <v>7908.333333333333</v>
      </c>
      <c r="I60" s="372">
        <f t="shared" si="13"/>
        <v>7908.333333333333</v>
      </c>
      <c r="J60" s="372">
        <f t="shared" si="13"/>
        <v>7908.333333333333</v>
      </c>
      <c r="K60" s="372">
        <f>((40500+27500)/12)</f>
        <v>5666.666666666667</v>
      </c>
      <c r="L60" s="372">
        <f t="shared" ref="L60:N60" si="14">((40500+27500)/12)</f>
        <v>5666.666666666667</v>
      </c>
      <c r="M60" s="372">
        <f t="shared" si="14"/>
        <v>5666.666666666667</v>
      </c>
      <c r="N60" s="372">
        <f t="shared" si="14"/>
        <v>5666.666666666667</v>
      </c>
      <c r="O60" s="142">
        <f>SUM(C60:N60)</f>
        <v>69058.333333333328</v>
      </c>
    </row>
    <row r="61" spans="1:15" x14ac:dyDescent="0.3">
      <c r="A61" s="102" t="s">
        <v>240</v>
      </c>
      <c r="B61" s="102" t="s">
        <v>241</v>
      </c>
      <c r="C61" s="113">
        <v>0</v>
      </c>
      <c r="D61" s="113">
        <v>0</v>
      </c>
      <c r="E61" s="113">
        <v>0</v>
      </c>
      <c r="F61" s="113">
        <v>0</v>
      </c>
      <c r="G61" s="113">
        <v>0</v>
      </c>
      <c r="H61" s="387">
        <v>0</v>
      </c>
      <c r="I61" s="505">
        <v>0</v>
      </c>
      <c r="J61" s="505">
        <v>0</v>
      </c>
      <c r="K61" s="387">
        <v>0</v>
      </c>
      <c r="L61" s="387">
        <v>0</v>
      </c>
      <c r="M61" s="387">
        <v>0</v>
      </c>
      <c r="N61" s="387">
        <v>0</v>
      </c>
      <c r="O61" s="142">
        <f t="shared" si="11"/>
        <v>0</v>
      </c>
    </row>
    <row r="62" spans="1:15" x14ac:dyDescent="0.3">
      <c r="A62" s="102" t="s">
        <v>242</v>
      </c>
      <c r="B62" s="102" t="s">
        <v>243</v>
      </c>
      <c r="C62" s="113">
        <v>0</v>
      </c>
      <c r="D62" s="113">
        <v>0</v>
      </c>
      <c r="E62" s="113">
        <v>0</v>
      </c>
      <c r="F62" s="113">
        <v>0</v>
      </c>
      <c r="G62" s="113">
        <v>0</v>
      </c>
      <c r="H62" s="387">
        <v>0</v>
      </c>
      <c r="I62" s="505">
        <v>0</v>
      </c>
      <c r="J62" s="505">
        <v>0</v>
      </c>
      <c r="K62" s="387">
        <v>0</v>
      </c>
      <c r="L62" s="387">
        <v>0</v>
      </c>
      <c r="M62" s="387">
        <v>0</v>
      </c>
      <c r="N62" s="387">
        <v>0</v>
      </c>
      <c r="O62" s="142">
        <f t="shared" si="11"/>
        <v>0</v>
      </c>
    </row>
    <row r="63" spans="1:15" x14ac:dyDescent="0.3">
      <c r="A63" s="102" t="s">
        <v>244</v>
      </c>
      <c r="B63" s="102" t="s">
        <v>245</v>
      </c>
      <c r="C63" s="113">
        <v>0</v>
      </c>
      <c r="D63" s="113">
        <v>0</v>
      </c>
      <c r="E63" s="113">
        <v>0</v>
      </c>
      <c r="F63" s="113">
        <v>0</v>
      </c>
      <c r="G63" s="113">
        <v>0</v>
      </c>
      <c r="H63" s="387">
        <v>0</v>
      </c>
      <c r="I63" s="505">
        <v>0</v>
      </c>
      <c r="J63" s="505">
        <v>0</v>
      </c>
      <c r="K63" s="387">
        <v>0</v>
      </c>
      <c r="L63" s="387">
        <v>0</v>
      </c>
      <c r="M63" s="387">
        <v>0</v>
      </c>
      <c r="N63" s="387">
        <v>0</v>
      </c>
      <c r="O63" s="142">
        <f t="shared" si="11"/>
        <v>0</v>
      </c>
    </row>
    <row r="64" spans="1:15" x14ac:dyDescent="0.3">
      <c r="A64" s="102" t="s">
        <v>246</v>
      </c>
      <c r="B64" s="102" t="s">
        <v>247</v>
      </c>
      <c r="C64" s="113">
        <f>C60*0.09</f>
        <v>407.99999999999994</v>
      </c>
      <c r="D64" s="113">
        <f t="shared" ref="D64:N64" si="15">D60*0.09</f>
        <v>407.99999999999994</v>
      </c>
      <c r="E64" s="113">
        <f t="shared" si="15"/>
        <v>407.99999999999994</v>
      </c>
      <c r="F64" s="113">
        <f t="shared" si="15"/>
        <v>407.99999999999994</v>
      </c>
      <c r="G64" s="113">
        <f t="shared" si="15"/>
        <v>407.99999999999994</v>
      </c>
      <c r="H64" s="387">
        <f t="shared" si="15"/>
        <v>711.75</v>
      </c>
      <c r="I64" s="387">
        <f t="shared" si="15"/>
        <v>711.75</v>
      </c>
      <c r="J64" s="387">
        <f t="shared" si="15"/>
        <v>711.75</v>
      </c>
      <c r="K64" s="387">
        <f t="shared" si="15"/>
        <v>510</v>
      </c>
      <c r="L64" s="387">
        <f t="shared" si="15"/>
        <v>510</v>
      </c>
      <c r="M64" s="387">
        <f t="shared" si="15"/>
        <v>510</v>
      </c>
      <c r="N64" s="387">
        <f t="shared" si="15"/>
        <v>510</v>
      </c>
      <c r="O64" s="142">
        <f t="shared" si="11"/>
        <v>6215.25</v>
      </c>
    </row>
    <row r="65" spans="1:15" x14ac:dyDescent="0.3">
      <c r="A65" s="102" t="s">
        <v>248</v>
      </c>
      <c r="B65" s="102" t="s">
        <v>249</v>
      </c>
      <c r="C65" s="113">
        <v>0</v>
      </c>
      <c r="D65" s="113">
        <v>0</v>
      </c>
      <c r="E65" s="113">
        <v>0</v>
      </c>
      <c r="F65" s="113">
        <v>0</v>
      </c>
      <c r="G65" s="113">
        <v>0</v>
      </c>
      <c r="H65" s="387">
        <v>0</v>
      </c>
      <c r="I65" s="505">
        <v>0</v>
      </c>
      <c r="J65" s="505">
        <v>0</v>
      </c>
      <c r="K65" s="387">
        <v>0</v>
      </c>
      <c r="L65" s="387">
        <v>0</v>
      </c>
      <c r="M65" s="387">
        <v>0</v>
      </c>
      <c r="N65" s="387">
        <v>0</v>
      </c>
      <c r="O65" s="142">
        <f t="shared" si="11"/>
        <v>0</v>
      </c>
    </row>
    <row r="66" spans="1:15" x14ac:dyDescent="0.3">
      <c r="A66" s="102" t="s">
        <v>250</v>
      </c>
      <c r="B66" s="102" t="s">
        <v>251</v>
      </c>
      <c r="C66" s="113">
        <v>0</v>
      </c>
      <c r="D66" s="113">
        <v>0</v>
      </c>
      <c r="E66" s="113">
        <v>0</v>
      </c>
      <c r="F66" s="113">
        <v>0</v>
      </c>
      <c r="G66" s="113">
        <v>0</v>
      </c>
      <c r="H66" s="387">
        <v>0</v>
      </c>
      <c r="I66" s="505">
        <v>0</v>
      </c>
      <c r="J66" s="505">
        <v>0</v>
      </c>
      <c r="K66" s="387">
        <v>0</v>
      </c>
      <c r="L66" s="387">
        <v>0</v>
      </c>
      <c r="M66" s="387">
        <v>0</v>
      </c>
      <c r="N66" s="387">
        <v>0</v>
      </c>
      <c r="O66" s="142">
        <f t="shared" si="11"/>
        <v>0</v>
      </c>
    </row>
    <row r="67" spans="1:15" x14ac:dyDescent="0.3">
      <c r="A67" s="102" t="s">
        <v>252</v>
      </c>
      <c r="B67" s="102" t="s">
        <v>253</v>
      </c>
      <c r="C67" s="103">
        <v>0</v>
      </c>
      <c r="D67" s="103">
        <v>0</v>
      </c>
      <c r="E67" s="103">
        <v>0</v>
      </c>
      <c r="F67" s="103">
        <v>0</v>
      </c>
      <c r="G67" s="103">
        <v>0</v>
      </c>
      <c r="H67" s="372">
        <v>0</v>
      </c>
      <c r="I67" s="501">
        <v>0</v>
      </c>
      <c r="J67" s="501">
        <v>0</v>
      </c>
      <c r="K67" s="372">
        <v>0</v>
      </c>
      <c r="L67" s="372">
        <v>0</v>
      </c>
      <c r="M67" s="372">
        <v>0</v>
      </c>
      <c r="N67" s="372">
        <v>0</v>
      </c>
      <c r="O67" s="142">
        <f t="shared" si="11"/>
        <v>0</v>
      </c>
    </row>
    <row r="68" spans="1:15" x14ac:dyDescent="0.3">
      <c r="A68" s="102" t="s">
        <v>254</v>
      </c>
      <c r="B68" s="102" t="s">
        <v>255</v>
      </c>
      <c r="C68" s="113">
        <v>0</v>
      </c>
      <c r="D68" s="113">
        <v>0</v>
      </c>
      <c r="E68" s="113">
        <v>0</v>
      </c>
      <c r="F68" s="113">
        <v>0</v>
      </c>
      <c r="G68" s="113">
        <v>0</v>
      </c>
      <c r="H68" s="387">
        <v>0</v>
      </c>
      <c r="I68" s="505">
        <v>0</v>
      </c>
      <c r="J68" s="505">
        <v>0</v>
      </c>
      <c r="K68" s="387">
        <v>0</v>
      </c>
      <c r="L68" s="387">
        <v>0</v>
      </c>
      <c r="M68" s="387">
        <v>0</v>
      </c>
      <c r="N68" s="387">
        <v>0</v>
      </c>
      <c r="O68" s="142">
        <f t="shared" si="11"/>
        <v>0</v>
      </c>
    </row>
    <row r="69" spans="1:15" x14ac:dyDescent="0.3">
      <c r="A69" s="102" t="s">
        <v>256</v>
      </c>
      <c r="B69" s="102" t="s">
        <v>257</v>
      </c>
      <c r="C69" s="113">
        <v>0</v>
      </c>
      <c r="D69" s="113">
        <v>0</v>
      </c>
      <c r="E69" s="113">
        <v>0</v>
      </c>
      <c r="F69" s="113">
        <v>0</v>
      </c>
      <c r="G69" s="113">
        <v>0</v>
      </c>
      <c r="H69" s="387">
        <v>0</v>
      </c>
      <c r="I69" s="505">
        <v>0</v>
      </c>
      <c r="J69" s="505">
        <v>0</v>
      </c>
      <c r="K69" s="387">
        <v>0</v>
      </c>
      <c r="L69" s="387">
        <v>0</v>
      </c>
      <c r="M69" s="387">
        <v>0</v>
      </c>
      <c r="N69" s="387">
        <v>0</v>
      </c>
      <c r="O69" s="142">
        <f t="shared" si="11"/>
        <v>0</v>
      </c>
    </row>
    <row r="70" spans="1:15" x14ac:dyDescent="0.3">
      <c r="A70" s="102" t="s">
        <v>258</v>
      </c>
      <c r="B70" s="102" t="s">
        <v>259</v>
      </c>
      <c r="C70" s="103">
        <v>0</v>
      </c>
      <c r="D70" s="103">
        <v>0</v>
      </c>
      <c r="E70" s="103">
        <v>0</v>
      </c>
      <c r="F70" s="103">
        <v>0</v>
      </c>
      <c r="G70" s="103">
        <v>0</v>
      </c>
      <c r="H70" s="372">
        <v>0</v>
      </c>
      <c r="I70" s="501">
        <v>0</v>
      </c>
      <c r="J70" s="501">
        <v>0</v>
      </c>
      <c r="K70" s="372">
        <v>0</v>
      </c>
      <c r="L70" s="372">
        <v>0</v>
      </c>
      <c r="M70" s="372">
        <v>0</v>
      </c>
      <c r="N70" s="372">
        <v>0</v>
      </c>
      <c r="O70" s="142">
        <f t="shared" si="11"/>
        <v>0</v>
      </c>
    </row>
    <row r="71" spans="1:15" x14ac:dyDescent="0.3">
      <c r="A71" s="102" t="s">
        <v>260</v>
      </c>
      <c r="B71" s="102" t="s">
        <v>261</v>
      </c>
      <c r="C71" s="103">
        <v>0</v>
      </c>
      <c r="D71" s="103">
        <v>0</v>
      </c>
      <c r="E71" s="103">
        <v>0</v>
      </c>
      <c r="F71" s="103">
        <v>0</v>
      </c>
      <c r="G71" s="103">
        <v>0</v>
      </c>
      <c r="H71" s="372">
        <v>0</v>
      </c>
      <c r="I71" s="501">
        <v>0</v>
      </c>
      <c r="J71" s="501">
        <v>0</v>
      </c>
      <c r="K71" s="372">
        <v>0</v>
      </c>
      <c r="L71" s="372">
        <v>0</v>
      </c>
      <c r="M71" s="372">
        <v>0</v>
      </c>
      <c r="N71" s="372">
        <v>0</v>
      </c>
      <c r="O71" s="142">
        <f t="shared" si="11"/>
        <v>0</v>
      </c>
    </row>
    <row r="72" spans="1:15" x14ac:dyDescent="0.3">
      <c r="A72" s="102" t="s">
        <v>262</v>
      </c>
      <c r="B72" s="102" t="s">
        <v>263</v>
      </c>
      <c r="C72" s="103">
        <v>0</v>
      </c>
      <c r="D72" s="103">
        <v>0</v>
      </c>
      <c r="E72" s="103">
        <v>0</v>
      </c>
      <c r="F72" s="103">
        <v>0</v>
      </c>
      <c r="G72" s="103">
        <v>0</v>
      </c>
      <c r="H72" s="372">
        <v>0</v>
      </c>
      <c r="I72" s="501">
        <v>0</v>
      </c>
      <c r="J72" s="501">
        <v>0</v>
      </c>
      <c r="K72" s="372">
        <v>0</v>
      </c>
      <c r="L72" s="372">
        <v>0</v>
      </c>
      <c r="M72" s="372">
        <v>0</v>
      </c>
      <c r="N72" s="372">
        <v>0</v>
      </c>
      <c r="O72" s="142">
        <f t="shared" si="11"/>
        <v>0</v>
      </c>
    </row>
    <row r="73" spans="1:15" x14ac:dyDescent="0.3">
      <c r="A73" s="102" t="s">
        <v>264</v>
      </c>
      <c r="B73" s="102" t="s">
        <v>265</v>
      </c>
      <c r="C73" s="103">
        <v>0</v>
      </c>
      <c r="D73" s="103">
        <v>0</v>
      </c>
      <c r="E73" s="103">
        <v>0</v>
      </c>
      <c r="F73" s="103">
        <v>0</v>
      </c>
      <c r="G73" s="103">
        <v>0</v>
      </c>
      <c r="H73" s="372">
        <v>0</v>
      </c>
      <c r="I73" s="501">
        <v>0</v>
      </c>
      <c r="J73" s="501">
        <v>0</v>
      </c>
      <c r="K73" s="372">
        <v>0</v>
      </c>
      <c r="L73" s="372">
        <v>0</v>
      </c>
      <c r="M73" s="372">
        <v>0</v>
      </c>
      <c r="N73" s="372">
        <v>0</v>
      </c>
      <c r="O73" s="142">
        <f t="shared" si="11"/>
        <v>0</v>
      </c>
    </row>
    <row r="74" spans="1:15" x14ac:dyDescent="0.3">
      <c r="A74" s="102" t="s">
        <v>266</v>
      </c>
      <c r="B74" s="102" t="s">
        <v>267</v>
      </c>
      <c r="C74" s="113">
        <v>0</v>
      </c>
      <c r="D74" s="113">
        <v>0</v>
      </c>
      <c r="E74" s="113">
        <v>0</v>
      </c>
      <c r="F74" s="113">
        <v>0</v>
      </c>
      <c r="G74" s="113">
        <v>0</v>
      </c>
      <c r="H74" s="387">
        <v>0</v>
      </c>
      <c r="I74" s="505">
        <v>0</v>
      </c>
      <c r="J74" s="505">
        <v>0</v>
      </c>
      <c r="K74" s="387">
        <v>0</v>
      </c>
      <c r="L74" s="387">
        <v>0</v>
      </c>
      <c r="M74" s="387">
        <v>0</v>
      </c>
      <c r="N74" s="387">
        <v>0</v>
      </c>
      <c r="O74" s="142">
        <f t="shared" si="11"/>
        <v>0</v>
      </c>
    </row>
    <row r="75" spans="1:15" x14ac:dyDescent="0.3">
      <c r="A75" s="102" t="s">
        <v>268</v>
      </c>
      <c r="B75" s="102" t="s">
        <v>269</v>
      </c>
      <c r="C75" s="113">
        <v>0</v>
      </c>
      <c r="D75" s="113">
        <v>0</v>
      </c>
      <c r="E75" s="113">
        <v>0</v>
      </c>
      <c r="F75" s="113">
        <v>0</v>
      </c>
      <c r="G75" s="113">
        <v>0</v>
      </c>
      <c r="H75" s="387">
        <v>0</v>
      </c>
      <c r="I75" s="505">
        <v>0</v>
      </c>
      <c r="J75" s="505">
        <v>0</v>
      </c>
      <c r="K75" s="387">
        <v>0</v>
      </c>
      <c r="L75" s="387">
        <v>0</v>
      </c>
      <c r="M75" s="387">
        <v>0</v>
      </c>
      <c r="N75" s="387">
        <v>0</v>
      </c>
      <c r="O75" s="142">
        <f t="shared" si="11"/>
        <v>0</v>
      </c>
    </row>
    <row r="76" spans="1:15" x14ac:dyDescent="0.3">
      <c r="A76" s="102" t="s">
        <v>270</v>
      </c>
      <c r="B76" s="102" t="s">
        <v>271</v>
      </c>
      <c r="C76" s="113">
        <v>0</v>
      </c>
      <c r="D76" s="113">
        <v>0</v>
      </c>
      <c r="E76" s="113">
        <v>0</v>
      </c>
      <c r="F76" s="113">
        <v>0</v>
      </c>
      <c r="G76" s="113">
        <v>0</v>
      </c>
      <c r="H76" s="387">
        <v>0</v>
      </c>
      <c r="I76" s="505">
        <v>0</v>
      </c>
      <c r="J76" s="505">
        <v>0</v>
      </c>
      <c r="K76" s="387">
        <v>0</v>
      </c>
      <c r="L76" s="387">
        <v>0</v>
      </c>
      <c r="M76" s="387">
        <v>0</v>
      </c>
      <c r="N76" s="387">
        <v>0</v>
      </c>
      <c r="O76" s="142">
        <f t="shared" si="11"/>
        <v>0</v>
      </c>
    </row>
    <row r="77" spans="1:15" x14ac:dyDescent="0.3">
      <c r="A77" s="102" t="s">
        <v>272</v>
      </c>
      <c r="B77" s="102" t="s">
        <v>273</v>
      </c>
      <c r="C77" s="113">
        <v>0</v>
      </c>
      <c r="D77" s="113">
        <v>0</v>
      </c>
      <c r="E77" s="113">
        <v>0</v>
      </c>
      <c r="F77" s="113">
        <v>0</v>
      </c>
      <c r="G77" s="113">
        <v>0</v>
      </c>
      <c r="H77" s="387">
        <v>0</v>
      </c>
      <c r="I77" s="505">
        <v>0</v>
      </c>
      <c r="J77" s="505">
        <v>0</v>
      </c>
      <c r="K77" s="387">
        <v>0</v>
      </c>
      <c r="L77" s="387">
        <v>0</v>
      </c>
      <c r="M77" s="387">
        <v>0</v>
      </c>
      <c r="N77" s="387">
        <v>0</v>
      </c>
      <c r="O77" s="142">
        <f t="shared" si="11"/>
        <v>0</v>
      </c>
    </row>
    <row r="78" spans="1:15" x14ac:dyDescent="0.3">
      <c r="A78" s="102" t="s">
        <v>274</v>
      </c>
      <c r="B78" s="102" t="s">
        <v>275</v>
      </c>
      <c r="C78" s="113">
        <v>0</v>
      </c>
      <c r="D78" s="113">
        <v>0</v>
      </c>
      <c r="E78" s="113">
        <v>0</v>
      </c>
      <c r="F78" s="113">
        <v>0</v>
      </c>
      <c r="G78" s="113">
        <v>0</v>
      </c>
      <c r="H78" s="387">
        <v>0</v>
      </c>
      <c r="I78" s="505">
        <v>0</v>
      </c>
      <c r="J78" s="505">
        <v>0</v>
      </c>
      <c r="K78" s="387">
        <v>0</v>
      </c>
      <c r="L78" s="387">
        <v>0</v>
      </c>
      <c r="M78" s="387">
        <v>0</v>
      </c>
      <c r="N78" s="387">
        <v>0</v>
      </c>
      <c r="O78" s="142">
        <f t="shared" si="11"/>
        <v>0</v>
      </c>
    </row>
    <row r="79" spans="1:15" x14ac:dyDescent="0.3">
      <c r="A79" s="102" t="s">
        <v>276</v>
      </c>
      <c r="B79" s="102" t="s">
        <v>277</v>
      </c>
      <c r="C79" s="113">
        <v>0</v>
      </c>
      <c r="D79" s="113">
        <v>0</v>
      </c>
      <c r="E79" s="113">
        <v>0</v>
      </c>
      <c r="F79" s="113">
        <v>0</v>
      </c>
      <c r="G79" s="113">
        <v>0</v>
      </c>
      <c r="H79" s="387">
        <v>0</v>
      </c>
      <c r="I79" s="505">
        <v>0</v>
      </c>
      <c r="J79" s="505">
        <v>0</v>
      </c>
      <c r="K79" s="387">
        <v>0</v>
      </c>
      <c r="L79" s="387">
        <v>0</v>
      </c>
      <c r="M79" s="387">
        <v>0</v>
      </c>
      <c r="N79" s="387">
        <v>0</v>
      </c>
      <c r="O79" s="142">
        <f t="shared" si="11"/>
        <v>0</v>
      </c>
    </row>
    <row r="80" spans="1:15" x14ac:dyDescent="0.3">
      <c r="A80" s="102" t="s">
        <v>278</v>
      </c>
      <c r="B80" s="102" t="s">
        <v>279</v>
      </c>
      <c r="C80" s="113">
        <v>0</v>
      </c>
      <c r="D80" s="113">
        <v>0</v>
      </c>
      <c r="E80" s="113">
        <v>0</v>
      </c>
      <c r="F80" s="113">
        <v>0</v>
      </c>
      <c r="G80" s="113">
        <v>0</v>
      </c>
      <c r="H80" s="387">
        <v>0</v>
      </c>
      <c r="I80" s="505">
        <v>0</v>
      </c>
      <c r="J80" s="505">
        <v>0</v>
      </c>
      <c r="K80" s="387">
        <v>0</v>
      </c>
      <c r="L80" s="387">
        <v>0</v>
      </c>
      <c r="M80" s="387">
        <v>0</v>
      </c>
      <c r="N80" s="387">
        <v>0</v>
      </c>
      <c r="O80" s="142">
        <f t="shared" si="11"/>
        <v>0</v>
      </c>
    </row>
    <row r="81" spans="1:15" x14ac:dyDescent="0.3">
      <c r="A81" s="102" t="s">
        <v>280</v>
      </c>
      <c r="B81" s="102" t="s">
        <v>281</v>
      </c>
      <c r="C81" s="113">
        <v>0</v>
      </c>
      <c r="D81" s="113">
        <v>0</v>
      </c>
      <c r="E81" s="113">
        <v>0</v>
      </c>
      <c r="F81" s="113">
        <v>0</v>
      </c>
      <c r="G81" s="113">
        <v>0</v>
      </c>
      <c r="H81" s="387">
        <v>0</v>
      </c>
      <c r="I81" s="505">
        <v>0</v>
      </c>
      <c r="J81" s="505">
        <v>0</v>
      </c>
      <c r="K81" s="387">
        <v>0</v>
      </c>
      <c r="L81" s="387">
        <v>0</v>
      </c>
      <c r="M81" s="387">
        <v>0</v>
      </c>
      <c r="N81" s="387">
        <v>0</v>
      </c>
      <c r="O81" s="142">
        <f t="shared" si="11"/>
        <v>0</v>
      </c>
    </row>
    <row r="82" spans="1:15" x14ac:dyDescent="0.3">
      <c r="A82" s="102" t="s">
        <v>282</v>
      </c>
      <c r="B82" s="102" t="s">
        <v>283</v>
      </c>
      <c r="C82" s="113">
        <v>0</v>
      </c>
      <c r="D82" s="113">
        <v>0</v>
      </c>
      <c r="E82" s="113">
        <v>0</v>
      </c>
      <c r="F82" s="113">
        <v>0</v>
      </c>
      <c r="G82" s="113">
        <v>0</v>
      </c>
      <c r="H82" s="387">
        <v>0</v>
      </c>
      <c r="I82" s="505">
        <v>0</v>
      </c>
      <c r="J82" s="505">
        <v>0</v>
      </c>
      <c r="K82" s="387">
        <v>0</v>
      </c>
      <c r="L82" s="387">
        <v>0</v>
      </c>
      <c r="M82" s="387">
        <v>0</v>
      </c>
      <c r="N82" s="387">
        <v>0</v>
      </c>
      <c r="O82" s="142">
        <f t="shared" si="11"/>
        <v>0</v>
      </c>
    </row>
    <row r="83" spans="1:15" x14ac:dyDescent="0.3">
      <c r="A83" s="102" t="s">
        <v>284</v>
      </c>
      <c r="B83" s="102" t="s">
        <v>285</v>
      </c>
      <c r="C83" s="113">
        <v>0</v>
      </c>
      <c r="D83" s="113">
        <v>0</v>
      </c>
      <c r="E83" s="113">
        <v>0</v>
      </c>
      <c r="F83" s="113">
        <v>0</v>
      </c>
      <c r="G83" s="113">
        <v>0</v>
      </c>
      <c r="H83" s="387">
        <v>0</v>
      </c>
      <c r="I83" s="505">
        <v>0</v>
      </c>
      <c r="J83" s="505">
        <v>0</v>
      </c>
      <c r="K83" s="387">
        <v>0</v>
      </c>
      <c r="L83" s="387">
        <v>0</v>
      </c>
      <c r="M83" s="387">
        <v>0</v>
      </c>
      <c r="N83" s="387">
        <v>0</v>
      </c>
      <c r="O83" s="142">
        <f t="shared" si="11"/>
        <v>0</v>
      </c>
    </row>
    <row r="84" spans="1:15" x14ac:dyDescent="0.3">
      <c r="A84" s="102" t="s">
        <v>286</v>
      </c>
      <c r="B84" s="102" t="s">
        <v>287</v>
      </c>
      <c r="C84" s="113">
        <v>0</v>
      </c>
      <c r="D84" s="113">
        <v>0</v>
      </c>
      <c r="E84" s="113">
        <v>0</v>
      </c>
      <c r="F84" s="113">
        <v>0</v>
      </c>
      <c r="G84" s="113">
        <v>0</v>
      </c>
      <c r="H84" s="387">
        <v>0</v>
      </c>
      <c r="I84" s="505">
        <v>0</v>
      </c>
      <c r="J84" s="505">
        <v>0</v>
      </c>
      <c r="K84" s="387">
        <v>0</v>
      </c>
      <c r="L84" s="387">
        <v>0</v>
      </c>
      <c r="M84" s="387">
        <v>0</v>
      </c>
      <c r="N84" s="387">
        <v>0</v>
      </c>
      <c r="O84" s="142">
        <f t="shared" si="11"/>
        <v>0</v>
      </c>
    </row>
    <row r="85" spans="1:15" x14ac:dyDescent="0.3">
      <c r="A85" s="102" t="s">
        <v>288</v>
      </c>
      <c r="B85" s="102" t="s">
        <v>289</v>
      </c>
      <c r="C85" s="113">
        <v>0</v>
      </c>
      <c r="D85" s="113">
        <v>0</v>
      </c>
      <c r="E85" s="113">
        <v>0</v>
      </c>
      <c r="F85" s="113">
        <v>0</v>
      </c>
      <c r="G85" s="113">
        <v>0</v>
      </c>
      <c r="H85" s="387">
        <v>0</v>
      </c>
      <c r="I85" s="505">
        <v>0</v>
      </c>
      <c r="J85" s="505">
        <v>0</v>
      </c>
      <c r="K85" s="387">
        <v>0</v>
      </c>
      <c r="L85" s="387">
        <v>0</v>
      </c>
      <c r="M85" s="387">
        <v>0</v>
      </c>
      <c r="N85" s="387">
        <v>0</v>
      </c>
      <c r="O85" s="142">
        <f t="shared" si="11"/>
        <v>0</v>
      </c>
    </row>
    <row r="86" spans="1:15" x14ac:dyDescent="0.3">
      <c r="A86" s="102" t="s">
        <v>290</v>
      </c>
      <c r="B86" s="102" t="s">
        <v>291</v>
      </c>
      <c r="C86" s="113">
        <v>0</v>
      </c>
      <c r="D86" s="113">
        <v>0</v>
      </c>
      <c r="E86" s="113">
        <v>0</v>
      </c>
      <c r="F86" s="113">
        <v>0</v>
      </c>
      <c r="G86" s="113">
        <v>0</v>
      </c>
      <c r="H86" s="387">
        <v>0</v>
      </c>
      <c r="I86" s="505">
        <v>0</v>
      </c>
      <c r="J86" s="505">
        <v>0</v>
      </c>
      <c r="K86" s="387">
        <v>0</v>
      </c>
      <c r="L86" s="387">
        <v>0</v>
      </c>
      <c r="M86" s="387">
        <v>0</v>
      </c>
      <c r="N86" s="387">
        <v>0</v>
      </c>
      <c r="O86" s="142">
        <f t="shared" si="11"/>
        <v>0</v>
      </c>
    </row>
    <row r="87" spans="1:15" x14ac:dyDescent="0.3">
      <c r="A87" s="102" t="s">
        <v>292</v>
      </c>
      <c r="B87" s="102" t="s">
        <v>293</v>
      </c>
      <c r="C87" s="113">
        <v>0</v>
      </c>
      <c r="D87" s="113">
        <v>0</v>
      </c>
      <c r="E87" s="113">
        <v>0</v>
      </c>
      <c r="F87" s="113">
        <v>0</v>
      </c>
      <c r="G87" s="113">
        <v>0</v>
      </c>
      <c r="H87" s="387">
        <v>0</v>
      </c>
      <c r="I87" s="505">
        <v>0</v>
      </c>
      <c r="J87" s="505">
        <v>0</v>
      </c>
      <c r="K87" s="387">
        <v>0</v>
      </c>
      <c r="L87" s="387">
        <v>0</v>
      </c>
      <c r="M87" s="387">
        <v>0</v>
      </c>
      <c r="N87" s="387">
        <v>0</v>
      </c>
      <c r="O87" s="142">
        <f t="shared" si="11"/>
        <v>0</v>
      </c>
    </row>
    <row r="88" spans="1:15" x14ac:dyDescent="0.3">
      <c r="A88" s="102" t="s">
        <v>294</v>
      </c>
      <c r="B88" s="102" t="s">
        <v>295</v>
      </c>
      <c r="C88" s="113">
        <v>0</v>
      </c>
      <c r="D88" s="113">
        <v>0</v>
      </c>
      <c r="E88" s="113">
        <v>0</v>
      </c>
      <c r="F88" s="113">
        <v>0</v>
      </c>
      <c r="G88" s="113">
        <v>0</v>
      </c>
      <c r="H88" s="387">
        <v>0</v>
      </c>
      <c r="I88" s="505">
        <v>0</v>
      </c>
      <c r="J88" s="505">
        <v>0</v>
      </c>
      <c r="K88" s="387">
        <v>0</v>
      </c>
      <c r="L88" s="387">
        <v>0</v>
      </c>
      <c r="M88" s="387">
        <v>0</v>
      </c>
      <c r="N88" s="387">
        <v>0</v>
      </c>
      <c r="O88" s="142">
        <f t="shared" si="11"/>
        <v>0</v>
      </c>
    </row>
    <row r="89" spans="1:15" x14ac:dyDescent="0.3">
      <c r="A89" s="102" t="s">
        <v>296</v>
      </c>
      <c r="B89" s="102" t="s">
        <v>297</v>
      </c>
      <c r="C89" s="113">
        <v>0</v>
      </c>
      <c r="D89" s="113">
        <v>0</v>
      </c>
      <c r="E89" s="113">
        <v>0</v>
      </c>
      <c r="F89" s="113">
        <v>0</v>
      </c>
      <c r="G89" s="113">
        <v>0</v>
      </c>
      <c r="H89" s="387">
        <v>0</v>
      </c>
      <c r="I89" s="505">
        <v>0</v>
      </c>
      <c r="J89" s="505">
        <v>0</v>
      </c>
      <c r="K89" s="387">
        <v>0</v>
      </c>
      <c r="L89" s="387">
        <v>0</v>
      </c>
      <c r="M89" s="387">
        <v>0</v>
      </c>
      <c r="N89" s="387">
        <v>0</v>
      </c>
      <c r="O89" s="142">
        <f t="shared" si="11"/>
        <v>0</v>
      </c>
    </row>
    <row r="90" spans="1:15" x14ac:dyDescent="0.3">
      <c r="A90" s="102" t="s">
        <v>298</v>
      </c>
      <c r="B90" s="102" t="s">
        <v>299</v>
      </c>
      <c r="C90" s="103">
        <v>0</v>
      </c>
      <c r="D90" s="103">
        <v>0</v>
      </c>
      <c r="E90" s="103">
        <v>0</v>
      </c>
      <c r="F90" s="103">
        <v>0</v>
      </c>
      <c r="G90" s="103">
        <v>0</v>
      </c>
      <c r="H90" s="372">
        <v>0</v>
      </c>
      <c r="I90" s="501">
        <v>0</v>
      </c>
      <c r="J90" s="501">
        <v>0</v>
      </c>
      <c r="K90" s="372">
        <v>0</v>
      </c>
      <c r="L90" s="372">
        <v>0</v>
      </c>
      <c r="M90" s="372">
        <v>0</v>
      </c>
      <c r="N90" s="372">
        <v>0</v>
      </c>
      <c r="O90" s="142">
        <f t="shared" si="11"/>
        <v>0</v>
      </c>
    </row>
    <row r="91" spans="1:15" x14ac:dyDescent="0.3">
      <c r="A91" s="102" t="s">
        <v>300</v>
      </c>
      <c r="B91" s="102" t="s">
        <v>301</v>
      </c>
      <c r="C91" s="113">
        <v>0</v>
      </c>
      <c r="D91" s="113">
        <v>0</v>
      </c>
      <c r="E91" s="113">
        <v>0</v>
      </c>
      <c r="F91" s="113">
        <v>0</v>
      </c>
      <c r="G91" s="113">
        <v>0</v>
      </c>
      <c r="H91" s="387">
        <v>0</v>
      </c>
      <c r="I91" s="505">
        <v>0</v>
      </c>
      <c r="J91" s="505">
        <v>0</v>
      </c>
      <c r="K91" s="387">
        <v>0</v>
      </c>
      <c r="L91" s="387">
        <v>0</v>
      </c>
      <c r="M91" s="387">
        <v>0</v>
      </c>
      <c r="N91" s="387">
        <v>0</v>
      </c>
      <c r="O91" s="142">
        <f t="shared" si="11"/>
        <v>0</v>
      </c>
    </row>
    <row r="92" spans="1:15" x14ac:dyDescent="0.3">
      <c r="A92" s="102" t="s">
        <v>302</v>
      </c>
      <c r="B92" s="102" t="s">
        <v>303</v>
      </c>
      <c r="C92" s="113">
        <v>0</v>
      </c>
      <c r="D92" s="113">
        <v>0</v>
      </c>
      <c r="E92" s="113">
        <v>0</v>
      </c>
      <c r="F92" s="113">
        <v>0</v>
      </c>
      <c r="G92" s="113">
        <v>0</v>
      </c>
      <c r="H92" s="387">
        <v>0</v>
      </c>
      <c r="I92" s="505">
        <v>0</v>
      </c>
      <c r="J92" s="505">
        <v>0</v>
      </c>
      <c r="K92" s="387">
        <v>0</v>
      </c>
      <c r="L92" s="387">
        <v>0</v>
      </c>
      <c r="M92" s="387">
        <v>0</v>
      </c>
      <c r="N92" s="387">
        <v>0</v>
      </c>
      <c r="O92" s="142">
        <f t="shared" si="11"/>
        <v>0</v>
      </c>
    </row>
    <row r="93" spans="1:15" x14ac:dyDescent="0.3">
      <c r="A93" s="102" t="s">
        <v>304</v>
      </c>
      <c r="B93" s="102" t="s">
        <v>305</v>
      </c>
      <c r="C93" s="113">
        <v>0</v>
      </c>
      <c r="D93" s="113">
        <v>0</v>
      </c>
      <c r="E93" s="113">
        <v>0</v>
      </c>
      <c r="F93" s="113">
        <v>0</v>
      </c>
      <c r="G93" s="113">
        <v>0</v>
      </c>
      <c r="H93" s="387">
        <v>0</v>
      </c>
      <c r="I93" s="505">
        <v>0</v>
      </c>
      <c r="J93" s="505">
        <v>0</v>
      </c>
      <c r="K93" s="387">
        <v>0</v>
      </c>
      <c r="L93" s="387">
        <v>0</v>
      </c>
      <c r="M93" s="387">
        <v>0</v>
      </c>
      <c r="N93" s="387">
        <v>0</v>
      </c>
      <c r="O93" s="142">
        <f t="shared" si="11"/>
        <v>0</v>
      </c>
    </row>
    <row r="94" spans="1:15" x14ac:dyDescent="0.3">
      <c r="A94" s="102" t="s">
        <v>306</v>
      </c>
      <c r="B94" s="102" t="s">
        <v>307</v>
      </c>
      <c r="C94" s="113">
        <v>0</v>
      </c>
      <c r="D94" s="113">
        <v>0</v>
      </c>
      <c r="E94" s="113">
        <v>0</v>
      </c>
      <c r="F94" s="113">
        <v>0</v>
      </c>
      <c r="G94" s="113">
        <v>0</v>
      </c>
      <c r="H94" s="387">
        <v>0</v>
      </c>
      <c r="I94" s="505">
        <v>0</v>
      </c>
      <c r="J94" s="505">
        <v>0</v>
      </c>
      <c r="K94" s="387">
        <v>0</v>
      </c>
      <c r="L94" s="387">
        <v>0</v>
      </c>
      <c r="M94" s="387">
        <v>0</v>
      </c>
      <c r="N94" s="387">
        <v>0</v>
      </c>
      <c r="O94" s="142">
        <f t="shared" si="11"/>
        <v>0</v>
      </c>
    </row>
    <row r="95" spans="1:15" x14ac:dyDescent="0.3">
      <c r="A95" s="102" t="s">
        <v>308</v>
      </c>
      <c r="B95" s="102" t="s">
        <v>309</v>
      </c>
      <c r="C95" s="113">
        <v>0</v>
      </c>
      <c r="D95" s="113">
        <v>0</v>
      </c>
      <c r="E95" s="113">
        <v>0</v>
      </c>
      <c r="F95" s="113">
        <v>0</v>
      </c>
      <c r="G95" s="113">
        <v>0</v>
      </c>
      <c r="H95" s="387">
        <v>0</v>
      </c>
      <c r="I95" s="505">
        <v>0</v>
      </c>
      <c r="J95" s="505">
        <v>0</v>
      </c>
      <c r="K95" s="387">
        <v>0</v>
      </c>
      <c r="L95" s="387">
        <v>0</v>
      </c>
      <c r="M95" s="387">
        <v>0</v>
      </c>
      <c r="N95" s="387">
        <v>0</v>
      </c>
      <c r="O95" s="142">
        <f t="shared" si="11"/>
        <v>0</v>
      </c>
    </row>
    <row r="96" spans="1:15" x14ac:dyDescent="0.3">
      <c r="A96" s="102" t="s">
        <v>310</v>
      </c>
      <c r="B96" s="102" t="s">
        <v>311</v>
      </c>
      <c r="C96" s="113">
        <v>0</v>
      </c>
      <c r="D96" s="113">
        <v>0</v>
      </c>
      <c r="E96" s="113">
        <v>0</v>
      </c>
      <c r="F96" s="113">
        <v>0</v>
      </c>
      <c r="G96" s="113">
        <v>0</v>
      </c>
      <c r="H96" s="387">
        <v>0</v>
      </c>
      <c r="I96" s="505">
        <v>0</v>
      </c>
      <c r="J96" s="505">
        <v>0</v>
      </c>
      <c r="K96" s="387">
        <v>0</v>
      </c>
      <c r="L96" s="387">
        <v>0</v>
      </c>
      <c r="M96" s="387">
        <v>0</v>
      </c>
      <c r="N96" s="387">
        <v>0</v>
      </c>
      <c r="O96" s="142">
        <f t="shared" si="11"/>
        <v>0</v>
      </c>
    </row>
    <row r="97" spans="1:17" x14ac:dyDescent="0.3">
      <c r="A97" s="102" t="s">
        <v>312</v>
      </c>
      <c r="B97" s="102" t="s">
        <v>313</v>
      </c>
      <c r="C97" s="113">
        <v>0</v>
      </c>
      <c r="D97" s="113">
        <v>0</v>
      </c>
      <c r="E97" s="113">
        <v>0</v>
      </c>
      <c r="F97" s="113">
        <v>0</v>
      </c>
      <c r="G97" s="113">
        <v>0</v>
      </c>
      <c r="H97" s="387">
        <v>0</v>
      </c>
      <c r="I97" s="505">
        <v>0</v>
      </c>
      <c r="J97" s="505">
        <v>0</v>
      </c>
      <c r="K97" s="387">
        <v>0</v>
      </c>
      <c r="L97" s="387">
        <v>0</v>
      </c>
      <c r="M97" s="387">
        <v>0</v>
      </c>
      <c r="N97" s="387">
        <v>0</v>
      </c>
      <c r="O97" s="142">
        <f t="shared" si="11"/>
        <v>0</v>
      </c>
    </row>
    <row r="98" spans="1:17" x14ac:dyDescent="0.3">
      <c r="A98" s="102" t="s">
        <v>314</v>
      </c>
      <c r="B98" s="102" t="s">
        <v>315</v>
      </c>
      <c r="C98" s="103">
        <v>0</v>
      </c>
      <c r="D98" s="103">
        <v>0</v>
      </c>
      <c r="E98" s="103">
        <v>0</v>
      </c>
      <c r="F98" s="103">
        <v>0</v>
      </c>
      <c r="G98" s="160">
        <v>0</v>
      </c>
      <c r="H98" s="504">
        <v>21500</v>
      </c>
      <c r="I98" s="510">
        <v>21500</v>
      </c>
      <c r="J98" s="501">
        <v>0</v>
      </c>
      <c r="K98" s="372">
        <v>0</v>
      </c>
      <c r="L98" s="372">
        <v>0</v>
      </c>
      <c r="M98" s="372">
        <v>0</v>
      </c>
      <c r="N98" s="372">
        <v>0</v>
      </c>
      <c r="O98" s="142">
        <f t="shared" si="11"/>
        <v>43000</v>
      </c>
    </row>
    <row r="99" spans="1:17" x14ac:dyDescent="0.3">
      <c r="A99" s="102" t="s">
        <v>316</v>
      </c>
      <c r="B99" s="102" t="s">
        <v>317</v>
      </c>
      <c r="C99" s="113">
        <v>0</v>
      </c>
      <c r="D99" s="113">
        <v>0</v>
      </c>
      <c r="E99" s="113">
        <v>0</v>
      </c>
      <c r="F99" s="113">
        <v>0</v>
      </c>
      <c r="G99" s="113">
        <v>0</v>
      </c>
      <c r="H99" s="387">
        <v>0</v>
      </c>
      <c r="I99" s="505">
        <v>0</v>
      </c>
      <c r="J99" s="505">
        <v>0</v>
      </c>
      <c r="K99" s="387">
        <v>0</v>
      </c>
      <c r="L99" s="387">
        <v>0</v>
      </c>
      <c r="M99" s="387">
        <v>0</v>
      </c>
      <c r="N99" s="387">
        <v>0</v>
      </c>
      <c r="O99" s="142">
        <f t="shared" si="11"/>
        <v>0</v>
      </c>
    </row>
    <row r="100" spans="1:17" x14ac:dyDescent="0.3">
      <c r="A100" s="102" t="s">
        <v>318</v>
      </c>
      <c r="B100" s="102" t="s">
        <v>319</v>
      </c>
      <c r="C100" s="103">
        <v>0</v>
      </c>
      <c r="D100" s="103">
        <v>0</v>
      </c>
      <c r="E100" s="103">
        <v>0</v>
      </c>
      <c r="F100" s="103">
        <v>0</v>
      </c>
      <c r="G100" s="103">
        <v>0</v>
      </c>
      <c r="H100" s="372">
        <v>0</v>
      </c>
      <c r="I100" s="501">
        <v>0</v>
      </c>
      <c r="J100" s="501">
        <v>0</v>
      </c>
      <c r="K100" s="372">
        <v>0</v>
      </c>
      <c r="L100" s="372">
        <v>0</v>
      </c>
      <c r="M100" s="372">
        <v>0</v>
      </c>
      <c r="N100" s="372">
        <v>0</v>
      </c>
      <c r="O100" s="142">
        <f t="shared" si="11"/>
        <v>0</v>
      </c>
    </row>
    <row r="101" spans="1:17" x14ac:dyDescent="0.3">
      <c r="A101" s="102" t="s">
        <v>320</v>
      </c>
      <c r="B101" s="102" t="s">
        <v>321</v>
      </c>
      <c r="C101" s="103">
        <v>0</v>
      </c>
      <c r="D101" s="103">
        <v>0</v>
      </c>
      <c r="E101" s="103">
        <v>0</v>
      </c>
      <c r="F101" s="103">
        <v>0</v>
      </c>
      <c r="G101" s="103">
        <v>0</v>
      </c>
      <c r="H101" s="372">
        <v>0</v>
      </c>
      <c r="I101" s="501">
        <v>0</v>
      </c>
      <c r="J101" s="501">
        <v>0</v>
      </c>
      <c r="K101" s="372">
        <v>0</v>
      </c>
      <c r="L101" s="372">
        <v>0</v>
      </c>
      <c r="M101" s="372">
        <v>0</v>
      </c>
      <c r="N101" s="372">
        <v>0</v>
      </c>
      <c r="O101" s="142">
        <f t="shared" si="11"/>
        <v>0</v>
      </c>
    </row>
    <row r="102" spans="1:17" x14ac:dyDescent="0.3">
      <c r="A102" s="102" t="s">
        <v>322</v>
      </c>
      <c r="B102" s="102" t="s">
        <v>323</v>
      </c>
      <c r="C102" s="103">
        <v>0</v>
      </c>
      <c r="D102" s="103">
        <v>0</v>
      </c>
      <c r="E102" s="103">
        <v>0</v>
      </c>
      <c r="F102" s="103">
        <v>0</v>
      </c>
      <c r="G102" s="103">
        <v>0</v>
      </c>
      <c r="H102" s="372">
        <v>0</v>
      </c>
      <c r="I102" s="501">
        <v>0</v>
      </c>
      <c r="J102" s="501">
        <v>0</v>
      </c>
      <c r="K102" s="372">
        <v>0</v>
      </c>
      <c r="L102" s="372">
        <v>0</v>
      </c>
      <c r="M102" s="372">
        <v>0</v>
      </c>
      <c r="N102" s="372">
        <v>0</v>
      </c>
      <c r="O102" s="142">
        <f t="shared" si="11"/>
        <v>0</v>
      </c>
    </row>
    <row r="103" spans="1:17" x14ac:dyDescent="0.3">
      <c r="A103" s="102" t="s">
        <v>324</v>
      </c>
      <c r="B103" s="102" t="s">
        <v>325</v>
      </c>
      <c r="C103" s="103">
        <v>0</v>
      </c>
      <c r="D103" s="103">
        <v>0</v>
      </c>
      <c r="E103" s="103">
        <v>0</v>
      </c>
      <c r="F103" s="103">
        <v>0</v>
      </c>
      <c r="G103" s="103">
        <v>0</v>
      </c>
      <c r="H103" s="372">
        <v>0</v>
      </c>
      <c r="I103" s="501">
        <v>0</v>
      </c>
      <c r="J103" s="501">
        <v>0</v>
      </c>
      <c r="K103" s="372">
        <v>0</v>
      </c>
      <c r="L103" s="372">
        <v>0</v>
      </c>
      <c r="M103" s="372">
        <v>0</v>
      </c>
      <c r="N103" s="372">
        <v>0</v>
      </c>
      <c r="O103" s="142">
        <f t="shared" si="11"/>
        <v>0</v>
      </c>
    </row>
    <row r="104" spans="1:17" x14ac:dyDescent="0.3">
      <c r="A104" s="105" t="s">
        <v>326</v>
      </c>
      <c r="B104" s="105" t="s">
        <v>327</v>
      </c>
      <c r="C104" s="103">
        <v>0</v>
      </c>
      <c r="D104" s="103">
        <v>0</v>
      </c>
      <c r="E104" s="103">
        <v>0</v>
      </c>
      <c r="F104" s="103">
        <v>0</v>
      </c>
      <c r="G104" s="160">
        <v>0</v>
      </c>
      <c r="H104" s="372">
        <v>0</v>
      </c>
      <c r="I104" s="501">
        <v>3500</v>
      </c>
      <c r="J104" s="501">
        <v>0</v>
      </c>
      <c r="K104" s="372">
        <v>0</v>
      </c>
      <c r="L104" s="372">
        <v>0</v>
      </c>
      <c r="M104" s="372">
        <v>0</v>
      </c>
      <c r="N104" s="372">
        <v>0</v>
      </c>
      <c r="O104" s="142">
        <f t="shared" si="11"/>
        <v>3500</v>
      </c>
    </row>
    <row r="105" spans="1:17" x14ac:dyDescent="0.3">
      <c r="A105" s="105"/>
      <c r="B105" s="300" t="s">
        <v>382</v>
      </c>
      <c r="C105" s="103"/>
      <c r="D105" s="103"/>
      <c r="E105" s="103"/>
      <c r="F105" s="103"/>
      <c r="G105" s="160"/>
      <c r="H105" s="372"/>
      <c r="I105" s="501"/>
      <c r="J105" s="501"/>
      <c r="K105" s="372"/>
      <c r="L105" s="372"/>
      <c r="M105" s="372"/>
      <c r="N105" s="372"/>
      <c r="O105" s="142"/>
    </row>
    <row r="106" spans="1:17" x14ac:dyDescent="0.3">
      <c r="A106" s="104"/>
      <c r="B106" s="105" t="s">
        <v>328</v>
      </c>
      <c r="C106" s="115">
        <f>SUM(C54:C104)</f>
        <v>4941.333333333333</v>
      </c>
      <c r="D106" s="110">
        <f t="shared" ref="D106:F106" si="16">SUM(D54:D104)</f>
        <v>4941.333333333333</v>
      </c>
      <c r="E106" s="110">
        <f t="shared" si="16"/>
        <v>4941.333333333333</v>
      </c>
      <c r="F106" s="110">
        <f t="shared" si="16"/>
        <v>4941.333333333333</v>
      </c>
      <c r="G106" s="110">
        <f>SUM(G53:G104)</f>
        <v>4941.333333333333</v>
      </c>
      <c r="H106" s="110">
        <f>SUM(H53:H104)</f>
        <v>62689.283333333333</v>
      </c>
      <c r="I106" s="110">
        <f t="shared" ref="I106:N106" ca="1" si="17">SUM(I53:I104)</f>
        <v>536691.1063412698</v>
      </c>
      <c r="J106" s="110">
        <f ca="1">SUM(J53:J104)</f>
        <v>607075.02182787703</v>
      </c>
      <c r="K106" s="110">
        <f t="shared" si="17"/>
        <v>6176.666666666667</v>
      </c>
      <c r="L106" s="110">
        <f t="shared" si="17"/>
        <v>6176.666666666667</v>
      </c>
      <c r="M106" s="110">
        <f t="shared" si="17"/>
        <v>6176.666666666667</v>
      </c>
      <c r="N106" s="110">
        <f t="shared" si="17"/>
        <v>6176.666666666667</v>
      </c>
      <c r="O106" s="118">
        <f t="shared" ca="1" si="11"/>
        <v>1255868.7448358138</v>
      </c>
    </row>
    <row r="107" spans="1:17" x14ac:dyDescent="0.3">
      <c r="A107" s="104"/>
      <c r="B107" s="104"/>
      <c r="C107" s="111"/>
      <c r="D107" s="111"/>
      <c r="E107" s="111"/>
      <c r="F107" s="111"/>
      <c r="G107" s="111"/>
      <c r="H107" s="111"/>
      <c r="I107" s="122"/>
      <c r="J107" s="122"/>
      <c r="K107" s="111"/>
      <c r="L107" s="111"/>
      <c r="M107" s="111"/>
      <c r="N107" s="111"/>
      <c r="O107" s="145"/>
    </row>
    <row r="108" spans="1:17" s="165" customFormat="1" ht="15" thickBot="1" x14ac:dyDescent="0.35">
      <c r="A108" s="162" t="s">
        <v>0</v>
      </c>
      <c r="B108" s="162" t="s">
        <v>329</v>
      </c>
      <c r="C108" s="162">
        <f t="shared" ref="C108:F108" si="18">C24-C106</f>
        <v>-4941.333333333333</v>
      </c>
      <c r="D108" s="162">
        <f t="shared" si="18"/>
        <v>-4941.333333333333</v>
      </c>
      <c r="E108" s="162">
        <f t="shared" si="18"/>
        <v>-4941.333333333333</v>
      </c>
      <c r="F108" s="162">
        <f t="shared" si="18"/>
        <v>-4941.333333333333</v>
      </c>
      <c r="G108" s="162">
        <f>G24-G106</f>
        <v>-4941.333333333333</v>
      </c>
      <c r="H108" s="162">
        <f t="shared" ref="H108:O108" si="19">H24-H106</f>
        <v>-62689.283333333333</v>
      </c>
      <c r="I108" s="162">
        <f t="shared" ca="1" si="19"/>
        <v>359847.8936587302</v>
      </c>
      <c r="J108" s="162">
        <f t="shared" ca="1" si="19"/>
        <v>572324.47817212297</v>
      </c>
      <c r="K108" s="162">
        <f t="shared" si="19"/>
        <v>-6176.666666666667</v>
      </c>
      <c r="L108" s="162">
        <f t="shared" si="19"/>
        <v>-6176.666666666667</v>
      </c>
      <c r="M108" s="162">
        <f t="shared" si="19"/>
        <v>-6176.666666666667</v>
      </c>
      <c r="N108" s="162">
        <f t="shared" si="19"/>
        <v>-6176.666666666667</v>
      </c>
      <c r="O108" s="163">
        <f t="shared" ca="1" si="19"/>
        <v>820069.75516418624</v>
      </c>
      <c r="P108" s="164" t="s">
        <v>0</v>
      </c>
    </row>
    <row r="109" spans="1:17" ht="15.6" thickTop="1" thickBot="1" x14ac:dyDescent="0.35">
      <c r="C109" s="116"/>
      <c r="D109" s="116"/>
      <c r="E109" s="116"/>
      <c r="F109" s="116"/>
      <c r="G109" s="116"/>
      <c r="H109" s="116"/>
      <c r="K109" s="116"/>
      <c r="L109" s="116"/>
      <c r="M109" s="116"/>
      <c r="N109" s="116"/>
    </row>
    <row r="110" spans="1:17" s="166" customFormat="1" ht="15" thickBot="1" x14ac:dyDescent="0.35">
      <c r="A110" s="167"/>
      <c r="B110" s="167" t="s">
        <v>330</v>
      </c>
      <c r="C110" s="168">
        <v>0</v>
      </c>
      <c r="D110" s="168">
        <v>0</v>
      </c>
      <c r="E110" s="168">
        <v>0</v>
      </c>
      <c r="F110" s="168">
        <v>0</v>
      </c>
      <c r="G110" s="168">
        <v>0</v>
      </c>
      <c r="H110" s="168">
        <v>0</v>
      </c>
      <c r="I110" s="169">
        <f ca="1">'SYCamp# &amp; Expenses'!BH34/31</f>
        <v>22.612903225806452</v>
      </c>
      <c r="J110" s="169">
        <f ca="1">'SYCamp# &amp; Expenses'!BI34/31</f>
        <v>263.74193548387098</v>
      </c>
      <c r="K110" s="168">
        <v>0</v>
      </c>
      <c r="L110" s="168">
        <v>0</v>
      </c>
      <c r="M110" s="168">
        <v>0</v>
      </c>
      <c r="N110" s="168">
        <v>0</v>
      </c>
      <c r="O110" s="192">
        <f ca="1">(I110+J110)</f>
        <v>286.35483870967744</v>
      </c>
      <c r="P110" s="193">
        <f ca="1">O108/O110</f>
        <v>2863.8236352472427</v>
      </c>
      <c r="Q110" s="194" t="s">
        <v>331</v>
      </c>
    </row>
    <row r="111" spans="1:17" x14ac:dyDescent="0.3">
      <c r="O111" s="112" t="s">
        <v>0</v>
      </c>
    </row>
    <row r="112" spans="1:17" x14ac:dyDescent="0.3">
      <c r="I112" s="123" t="s">
        <v>0</v>
      </c>
      <c r="J112" s="123" t="s">
        <v>0</v>
      </c>
    </row>
    <row r="113" spans="1:16" x14ac:dyDescent="0.3">
      <c r="A113" s="195" t="s">
        <v>332</v>
      </c>
    </row>
    <row r="114" spans="1:16" x14ac:dyDescent="0.3">
      <c r="A114" s="196" t="s">
        <v>50</v>
      </c>
    </row>
    <row r="115" spans="1:16" x14ac:dyDescent="0.3">
      <c r="A115" s="242" t="s">
        <v>333</v>
      </c>
      <c r="B115" s="242" t="s">
        <v>333</v>
      </c>
      <c r="C115" s="243">
        <v>0</v>
      </c>
      <c r="D115" s="243">
        <f t="shared" ref="D115:N115" si="20">D110</f>
        <v>0</v>
      </c>
      <c r="E115" s="243">
        <f t="shared" si="20"/>
        <v>0</v>
      </c>
      <c r="F115" s="243">
        <f t="shared" si="20"/>
        <v>0</v>
      </c>
      <c r="G115" s="243">
        <f t="shared" si="20"/>
        <v>0</v>
      </c>
      <c r="H115" s="243">
        <f t="shared" si="20"/>
        <v>0</v>
      </c>
      <c r="I115" s="243">
        <f t="shared" ca="1" si="20"/>
        <v>22.612903225806452</v>
      </c>
      <c r="J115" s="243">
        <f t="shared" ca="1" si="20"/>
        <v>263.74193548387098</v>
      </c>
      <c r="K115" s="243">
        <f t="shared" si="20"/>
        <v>0</v>
      </c>
      <c r="L115" s="243">
        <f t="shared" si="20"/>
        <v>0</v>
      </c>
      <c r="M115" s="243">
        <f t="shared" si="20"/>
        <v>0</v>
      </c>
      <c r="N115" s="243">
        <f t="shared" si="20"/>
        <v>0</v>
      </c>
      <c r="O115" s="243">
        <f t="shared" ref="O115" ca="1" si="21">O110</f>
        <v>286.35483870967744</v>
      </c>
      <c r="P115" s="99" t="s">
        <v>334</v>
      </c>
    </row>
    <row r="116" spans="1:16" x14ac:dyDescent="0.3">
      <c r="A116" s="242" t="s">
        <v>335</v>
      </c>
      <c r="B116" s="242" t="s">
        <v>335</v>
      </c>
      <c r="C116" s="244" t="e">
        <f>C24/C110</f>
        <v>#DIV/0!</v>
      </c>
      <c r="D116" s="244" t="e">
        <f t="shared" ref="D116:N116" si="22">D24/D110</f>
        <v>#DIV/0!</v>
      </c>
      <c r="E116" s="244" t="e">
        <f t="shared" si="22"/>
        <v>#DIV/0!</v>
      </c>
      <c r="F116" s="244" t="e">
        <f t="shared" si="22"/>
        <v>#DIV/0!</v>
      </c>
      <c r="G116" s="244" t="e">
        <f t="shared" si="22"/>
        <v>#DIV/0!</v>
      </c>
      <c r="H116" s="244" t="e">
        <f t="shared" si="22"/>
        <v>#DIV/0!</v>
      </c>
      <c r="I116" s="244">
        <f t="shared" ca="1" si="22"/>
        <v>39647.231098430813</v>
      </c>
      <c r="J116" s="244">
        <f t="shared" ca="1" si="22"/>
        <v>4471.7936032289626</v>
      </c>
      <c r="K116" s="244" t="e">
        <f t="shared" si="22"/>
        <v>#DIV/0!</v>
      </c>
      <c r="L116" s="244" t="e">
        <f t="shared" si="22"/>
        <v>#DIV/0!</v>
      </c>
      <c r="M116" s="244" t="e">
        <f t="shared" si="22"/>
        <v>#DIV/0!</v>
      </c>
      <c r="N116" s="244" t="e">
        <f t="shared" si="22"/>
        <v>#DIV/0!</v>
      </c>
      <c r="O116" s="244">
        <f t="shared" ref="O116" ca="1" si="23">O24/O110</f>
        <v>7249.5317674890157</v>
      </c>
      <c r="P116" s="99" t="s">
        <v>336</v>
      </c>
    </row>
    <row r="117" spans="1:16" x14ac:dyDescent="0.3">
      <c r="A117" s="242" t="s">
        <v>337</v>
      </c>
      <c r="B117" s="242" t="s">
        <v>337</v>
      </c>
      <c r="C117" s="244" t="e">
        <f>C106/C115</f>
        <v>#DIV/0!</v>
      </c>
      <c r="D117" s="244" t="e">
        <f t="shared" ref="D117:N117" si="24">D106/D115</f>
        <v>#DIV/0!</v>
      </c>
      <c r="E117" s="244" t="e">
        <f t="shared" si="24"/>
        <v>#DIV/0!</v>
      </c>
      <c r="F117" s="244" t="e">
        <f t="shared" si="24"/>
        <v>#DIV/0!</v>
      </c>
      <c r="G117" s="244" t="e">
        <f t="shared" si="24"/>
        <v>#DIV/0!</v>
      </c>
      <c r="H117" s="244" t="e">
        <f t="shared" si="24"/>
        <v>#DIV/0!</v>
      </c>
      <c r="I117" s="244">
        <f t="shared" ca="1" si="24"/>
        <v>23733.843504392815</v>
      </c>
      <c r="J117" s="244">
        <f t="shared" ca="1" si="24"/>
        <v>2301.7766238581444</v>
      </c>
      <c r="K117" s="244" t="e">
        <f t="shared" si="24"/>
        <v>#DIV/0!</v>
      </c>
      <c r="L117" s="244" t="e">
        <f t="shared" si="24"/>
        <v>#DIV/0!</v>
      </c>
      <c r="M117" s="244" t="e">
        <f t="shared" si="24"/>
        <v>#DIV/0!</v>
      </c>
      <c r="N117" s="244" t="e">
        <f t="shared" si="24"/>
        <v>#DIV/0!</v>
      </c>
      <c r="O117" s="244">
        <f t="shared" ref="O117" ca="1" si="25">O106/O115</f>
        <v>4385.7081322417735</v>
      </c>
      <c r="P117" s="99" t="s">
        <v>338</v>
      </c>
    </row>
    <row r="118" spans="1:16" x14ac:dyDescent="0.3">
      <c r="A118" s="245"/>
      <c r="B118" s="245"/>
      <c r="C118" s="246"/>
      <c r="D118" s="246"/>
      <c r="E118" s="246"/>
      <c r="F118" s="246"/>
      <c r="G118" s="246"/>
      <c r="H118" s="246"/>
      <c r="I118" s="247">
        <f ca="1">I116/I117-1</f>
        <v>0.67049349133412139</v>
      </c>
      <c r="J118" s="247">
        <f ca="1">J116/J117-1</f>
        <v>0.94275741480662179</v>
      </c>
      <c r="K118" s="246"/>
      <c r="L118" s="246"/>
      <c r="M118" s="246"/>
      <c r="N118" s="246"/>
      <c r="O118" s="247">
        <f ca="1">O116/O117-1</f>
        <v>0.65299001869132289</v>
      </c>
      <c r="P118" s="99" t="s">
        <v>339</v>
      </c>
    </row>
  </sheetData>
  <pageMargins left="0.7" right="0.7" top="0.75" bottom="0.75" header="0.3" footer="0.3"/>
  <pageSetup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604E-3C0E-4BAE-9B3C-68C8FCE661EE}">
  <sheetPr>
    <tabColor rgb="FFFFC000"/>
  </sheetPr>
  <dimension ref="A1:BK104"/>
  <sheetViews>
    <sheetView topLeftCell="A39" zoomScale="70" zoomScaleNormal="70" workbookViewId="0">
      <pane xSplit="1" topLeftCell="B1" activePane="topRight" state="frozen"/>
      <selection pane="topRight" activeCell="E45" sqref="E45"/>
    </sheetView>
  </sheetViews>
  <sheetFormatPr defaultRowHeight="14.4" x14ac:dyDescent="0.3"/>
  <cols>
    <col min="1" max="1" width="49.77734375" customWidth="1"/>
    <col min="2" max="2" width="24.33203125" customWidth="1"/>
    <col min="4" max="4" width="13" customWidth="1"/>
    <col min="5" max="5" width="8.88671875" style="99"/>
    <col min="33" max="33" width="8.88671875" style="173"/>
    <col min="36" max="36" width="11.6640625" customWidth="1"/>
    <col min="60" max="60" width="8.88671875" style="99"/>
    <col min="61" max="61" width="14.33203125" customWidth="1"/>
    <col min="62" max="62" width="15.33203125" customWidth="1"/>
  </cols>
  <sheetData>
    <row r="1" spans="1:62" x14ac:dyDescent="0.3">
      <c r="A1" s="13"/>
      <c r="B1" s="14"/>
      <c r="C1" s="14"/>
      <c r="D1" s="13"/>
      <c r="E1" s="15">
        <f>DATE(YEAR(E3),MONTH(E3),1)</f>
        <v>43647</v>
      </c>
      <c r="F1" s="15">
        <f>DATE(YEAR(F3),MONTH(F3),1)</f>
        <v>43647</v>
      </c>
      <c r="G1" s="15">
        <f t="shared" ref="G1:BH1" si="0">DATE(YEAR(G3),MONTH(G3),1)</f>
        <v>43647</v>
      </c>
      <c r="H1" s="15">
        <f t="shared" si="0"/>
        <v>43647</v>
      </c>
      <c r="I1" s="15">
        <f t="shared" si="0"/>
        <v>43647</v>
      </c>
      <c r="J1" s="15">
        <f t="shared" si="0"/>
        <v>43647</v>
      </c>
      <c r="K1" s="15">
        <f t="shared" si="0"/>
        <v>43647</v>
      </c>
      <c r="L1" s="15">
        <f t="shared" si="0"/>
        <v>43647</v>
      </c>
      <c r="M1" s="15">
        <f t="shared" si="0"/>
        <v>43647</v>
      </c>
      <c r="N1" s="15">
        <f t="shared" si="0"/>
        <v>43647</v>
      </c>
      <c r="O1" s="15">
        <f t="shared" si="0"/>
        <v>43647</v>
      </c>
      <c r="P1" s="15">
        <f t="shared" si="0"/>
        <v>43647</v>
      </c>
      <c r="Q1" s="15">
        <f t="shared" si="0"/>
        <v>43647</v>
      </c>
      <c r="R1" s="15">
        <f t="shared" si="0"/>
        <v>43647</v>
      </c>
      <c r="S1" s="15">
        <f t="shared" si="0"/>
        <v>43647</v>
      </c>
      <c r="T1" s="15">
        <f t="shared" si="0"/>
        <v>43647</v>
      </c>
      <c r="U1" s="15">
        <f t="shared" si="0"/>
        <v>43647</v>
      </c>
      <c r="V1" s="15">
        <f t="shared" si="0"/>
        <v>43647</v>
      </c>
      <c r="W1" s="15">
        <f t="shared" si="0"/>
        <v>43647</v>
      </c>
      <c r="X1" s="15">
        <f t="shared" si="0"/>
        <v>43647</v>
      </c>
      <c r="Y1" s="15">
        <f t="shared" si="0"/>
        <v>43647</v>
      </c>
      <c r="Z1" s="15">
        <f t="shared" si="0"/>
        <v>43647</v>
      </c>
      <c r="AA1" s="15">
        <f t="shared" si="0"/>
        <v>43647</v>
      </c>
      <c r="AB1" s="15">
        <f t="shared" si="0"/>
        <v>43647</v>
      </c>
      <c r="AC1" s="15">
        <f t="shared" si="0"/>
        <v>43647</v>
      </c>
      <c r="AD1" s="15">
        <f t="shared" si="0"/>
        <v>43647</v>
      </c>
      <c r="AE1" s="15">
        <f t="shared" si="0"/>
        <v>43647</v>
      </c>
      <c r="AF1" s="15">
        <f t="shared" si="0"/>
        <v>43647</v>
      </c>
      <c r="AG1" s="15">
        <f t="shared" si="0"/>
        <v>43647</v>
      </c>
      <c r="AH1" s="15">
        <f t="shared" si="0"/>
        <v>43647</v>
      </c>
      <c r="AI1" s="15">
        <f t="shared" si="0"/>
        <v>43647</v>
      </c>
      <c r="AJ1" s="15"/>
      <c r="AK1" s="15">
        <f t="shared" si="0"/>
        <v>43678</v>
      </c>
      <c r="AL1" s="15">
        <f t="shared" si="0"/>
        <v>43678</v>
      </c>
      <c r="AM1" s="15">
        <f t="shared" si="0"/>
        <v>43678</v>
      </c>
      <c r="AN1" s="15">
        <f t="shared" si="0"/>
        <v>43678</v>
      </c>
      <c r="AO1" s="15">
        <f t="shared" si="0"/>
        <v>43678</v>
      </c>
      <c r="AP1" s="15">
        <f t="shared" si="0"/>
        <v>43678</v>
      </c>
      <c r="AQ1" s="15">
        <f t="shared" si="0"/>
        <v>43678</v>
      </c>
      <c r="AR1" s="15">
        <f t="shared" si="0"/>
        <v>43678</v>
      </c>
      <c r="AS1" s="15">
        <f t="shared" si="0"/>
        <v>43678</v>
      </c>
      <c r="AT1" s="15">
        <f t="shared" si="0"/>
        <v>43678</v>
      </c>
      <c r="AU1" s="15">
        <f t="shared" si="0"/>
        <v>43678</v>
      </c>
      <c r="AV1" s="15">
        <f t="shared" si="0"/>
        <v>43678</v>
      </c>
      <c r="AW1" s="15">
        <f t="shared" si="0"/>
        <v>43678</v>
      </c>
      <c r="AX1" s="15">
        <f t="shared" si="0"/>
        <v>43678</v>
      </c>
      <c r="AY1" s="15">
        <f t="shared" si="0"/>
        <v>43678</v>
      </c>
      <c r="AZ1" s="15">
        <f t="shared" si="0"/>
        <v>43678</v>
      </c>
      <c r="BA1" s="15">
        <f t="shared" si="0"/>
        <v>43678</v>
      </c>
      <c r="BB1" s="15">
        <f t="shared" si="0"/>
        <v>43678</v>
      </c>
      <c r="BC1" s="15">
        <f t="shared" si="0"/>
        <v>43678</v>
      </c>
      <c r="BD1" s="15">
        <f t="shared" si="0"/>
        <v>43678</v>
      </c>
      <c r="BE1" s="15">
        <f t="shared" si="0"/>
        <v>43678</v>
      </c>
      <c r="BF1" s="15">
        <f t="shared" si="0"/>
        <v>43678</v>
      </c>
      <c r="BG1" s="15">
        <f t="shared" si="0"/>
        <v>43678</v>
      </c>
      <c r="BH1" s="15">
        <f t="shared" si="0"/>
        <v>43678</v>
      </c>
    </row>
    <row r="2" spans="1:62" x14ac:dyDescent="0.3">
      <c r="A2" s="13"/>
      <c r="B2" s="14"/>
      <c r="C2" s="14"/>
      <c r="D2" s="13"/>
      <c r="E2" s="170">
        <f>ROUNDUP(E5/7,0)</f>
        <v>1</v>
      </c>
      <c r="F2" s="16">
        <f t="shared" ref="F2:BH2" si="1">ROUNDUP(F5/7,0)</f>
        <v>1</v>
      </c>
      <c r="G2" s="16">
        <f t="shared" si="1"/>
        <v>1</v>
      </c>
      <c r="H2" s="16">
        <f t="shared" si="1"/>
        <v>1</v>
      </c>
      <c r="I2" s="16">
        <f t="shared" si="1"/>
        <v>1</v>
      </c>
      <c r="J2" s="16">
        <f t="shared" si="1"/>
        <v>1</v>
      </c>
      <c r="K2" s="16">
        <f t="shared" si="1"/>
        <v>1</v>
      </c>
      <c r="L2" s="16">
        <f t="shared" si="1"/>
        <v>2</v>
      </c>
      <c r="M2" s="16">
        <f t="shared" si="1"/>
        <v>2</v>
      </c>
      <c r="N2" s="16">
        <f t="shared" si="1"/>
        <v>2</v>
      </c>
      <c r="O2" s="16">
        <f t="shared" si="1"/>
        <v>2</v>
      </c>
      <c r="P2" s="16">
        <f t="shared" si="1"/>
        <v>2</v>
      </c>
      <c r="Q2" s="16">
        <f t="shared" si="1"/>
        <v>2</v>
      </c>
      <c r="R2" s="16">
        <f t="shared" si="1"/>
        <v>2</v>
      </c>
      <c r="S2" s="16">
        <f t="shared" si="1"/>
        <v>3</v>
      </c>
      <c r="T2" s="16">
        <f t="shared" si="1"/>
        <v>3</v>
      </c>
      <c r="U2" s="16">
        <f t="shared" si="1"/>
        <v>3</v>
      </c>
      <c r="V2" s="16">
        <f t="shared" si="1"/>
        <v>3</v>
      </c>
      <c r="W2" s="16">
        <f t="shared" si="1"/>
        <v>3</v>
      </c>
      <c r="X2" s="16">
        <f t="shared" si="1"/>
        <v>3</v>
      </c>
      <c r="Y2" s="16">
        <f t="shared" si="1"/>
        <v>3</v>
      </c>
      <c r="Z2" s="16">
        <f t="shared" si="1"/>
        <v>4</v>
      </c>
      <c r="AA2" s="16">
        <f t="shared" si="1"/>
        <v>4</v>
      </c>
      <c r="AB2" s="16">
        <f t="shared" si="1"/>
        <v>4</v>
      </c>
      <c r="AC2" s="16">
        <f t="shared" si="1"/>
        <v>4</v>
      </c>
      <c r="AD2" s="16">
        <f t="shared" si="1"/>
        <v>4</v>
      </c>
      <c r="AE2" s="16">
        <f t="shared" si="1"/>
        <v>4</v>
      </c>
      <c r="AF2" s="16">
        <f t="shared" si="1"/>
        <v>4</v>
      </c>
      <c r="AG2" s="170">
        <f t="shared" si="1"/>
        <v>5</v>
      </c>
      <c r="AH2" s="16">
        <f t="shared" si="1"/>
        <v>5</v>
      </c>
      <c r="AI2" s="16">
        <f t="shared" si="1"/>
        <v>5</v>
      </c>
      <c r="AJ2" s="16"/>
      <c r="AK2" s="16">
        <f>ROUNDUP(AK5/7,0)</f>
        <v>1</v>
      </c>
      <c r="AL2" s="16">
        <f t="shared" si="1"/>
        <v>1</v>
      </c>
      <c r="AM2" s="16">
        <f t="shared" si="1"/>
        <v>1</v>
      </c>
      <c r="AN2" s="16">
        <f t="shared" si="1"/>
        <v>1</v>
      </c>
      <c r="AO2" s="16">
        <f t="shared" si="1"/>
        <v>1</v>
      </c>
      <c r="AP2" s="16">
        <f t="shared" si="1"/>
        <v>1</v>
      </c>
      <c r="AQ2" s="16">
        <f t="shared" si="1"/>
        <v>1</v>
      </c>
      <c r="AR2" s="16">
        <f t="shared" si="1"/>
        <v>2</v>
      </c>
      <c r="AS2" s="16">
        <f t="shared" si="1"/>
        <v>2</v>
      </c>
      <c r="AT2" s="16">
        <f t="shared" si="1"/>
        <v>2</v>
      </c>
      <c r="AU2" s="16">
        <f t="shared" si="1"/>
        <v>2</v>
      </c>
      <c r="AV2" s="16">
        <f t="shared" si="1"/>
        <v>2</v>
      </c>
      <c r="AW2" s="16">
        <f t="shared" si="1"/>
        <v>2</v>
      </c>
      <c r="AX2" s="16">
        <f t="shared" si="1"/>
        <v>2</v>
      </c>
      <c r="AY2" s="16">
        <f t="shared" si="1"/>
        <v>3</v>
      </c>
      <c r="AZ2" s="16">
        <f t="shared" si="1"/>
        <v>3</v>
      </c>
      <c r="BA2" s="16">
        <f t="shared" si="1"/>
        <v>3</v>
      </c>
      <c r="BB2" s="16">
        <f t="shared" si="1"/>
        <v>3</v>
      </c>
      <c r="BC2" s="16">
        <f t="shared" si="1"/>
        <v>3</v>
      </c>
      <c r="BD2" s="16">
        <f t="shared" si="1"/>
        <v>3</v>
      </c>
      <c r="BE2" s="16">
        <f t="shared" si="1"/>
        <v>3</v>
      </c>
      <c r="BF2" s="16">
        <f t="shared" si="1"/>
        <v>4</v>
      </c>
      <c r="BG2" s="16">
        <f t="shared" si="1"/>
        <v>4</v>
      </c>
      <c r="BH2" s="170">
        <f t="shared" si="1"/>
        <v>4</v>
      </c>
    </row>
    <row r="3" spans="1:62" x14ac:dyDescent="0.3">
      <c r="A3" s="13"/>
      <c r="B3" s="14"/>
      <c r="C3" s="14"/>
      <c r="D3" s="13"/>
      <c r="E3" s="17">
        <v>43647</v>
      </c>
      <c r="F3" s="17">
        <f>E3+1</f>
        <v>43648</v>
      </c>
      <c r="G3" s="17">
        <f t="shared" ref="G3:BH3" si="2">F3+1</f>
        <v>43649</v>
      </c>
      <c r="H3" s="17">
        <f t="shared" si="2"/>
        <v>43650</v>
      </c>
      <c r="I3" s="17">
        <f t="shared" si="2"/>
        <v>43651</v>
      </c>
      <c r="J3" s="17">
        <f t="shared" si="2"/>
        <v>43652</v>
      </c>
      <c r="K3" s="17">
        <f t="shared" si="2"/>
        <v>43653</v>
      </c>
      <c r="L3" s="17">
        <f t="shared" si="2"/>
        <v>43654</v>
      </c>
      <c r="M3" s="17">
        <f t="shared" si="2"/>
        <v>43655</v>
      </c>
      <c r="N3" s="17">
        <f t="shared" si="2"/>
        <v>43656</v>
      </c>
      <c r="O3" s="17">
        <f t="shared" si="2"/>
        <v>43657</v>
      </c>
      <c r="P3" s="17">
        <f t="shared" si="2"/>
        <v>43658</v>
      </c>
      <c r="Q3" s="17">
        <f t="shared" si="2"/>
        <v>43659</v>
      </c>
      <c r="R3" s="17">
        <f t="shared" si="2"/>
        <v>43660</v>
      </c>
      <c r="S3" s="17">
        <f t="shared" si="2"/>
        <v>43661</v>
      </c>
      <c r="T3" s="17">
        <f t="shared" si="2"/>
        <v>43662</v>
      </c>
      <c r="U3" s="17">
        <f t="shared" si="2"/>
        <v>43663</v>
      </c>
      <c r="V3" s="17">
        <f t="shared" si="2"/>
        <v>43664</v>
      </c>
      <c r="W3" s="17">
        <f t="shared" si="2"/>
        <v>43665</v>
      </c>
      <c r="X3" s="17">
        <f t="shared" si="2"/>
        <v>43666</v>
      </c>
      <c r="Y3" s="17">
        <f t="shared" si="2"/>
        <v>43667</v>
      </c>
      <c r="Z3" s="17">
        <f t="shared" si="2"/>
        <v>43668</v>
      </c>
      <c r="AA3" s="17">
        <f t="shared" si="2"/>
        <v>43669</v>
      </c>
      <c r="AB3" s="17">
        <f t="shared" si="2"/>
        <v>43670</v>
      </c>
      <c r="AC3" s="17">
        <f t="shared" si="2"/>
        <v>43671</v>
      </c>
      <c r="AD3" s="17">
        <f t="shared" si="2"/>
        <v>43672</v>
      </c>
      <c r="AE3" s="17">
        <f t="shared" si="2"/>
        <v>43673</v>
      </c>
      <c r="AF3" s="17">
        <f t="shared" si="2"/>
        <v>43674</v>
      </c>
      <c r="AG3" s="17">
        <f t="shared" si="2"/>
        <v>43675</v>
      </c>
      <c r="AH3" s="17">
        <f t="shared" si="2"/>
        <v>43676</v>
      </c>
      <c r="AI3" s="17">
        <f t="shared" si="2"/>
        <v>43677</v>
      </c>
      <c r="AJ3" s="17"/>
      <c r="AK3" s="17">
        <f>AI3+1</f>
        <v>43678</v>
      </c>
      <c r="AL3" s="17">
        <f t="shared" si="2"/>
        <v>43679</v>
      </c>
      <c r="AM3" s="17">
        <f t="shared" si="2"/>
        <v>43680</v>
      </c>
      <c r="AN3" s="17">
        <f t="shared" si="2"/>
        <v>43681</v>
      </c>
      <c r="AO3" s="17">
        <f t="shared" si="2"/>
        <v>43682</v>
      </c>
      <c r="AP3" s="17">
        <f t="shared" si="2"/>
        <v>43683</v>
      </c>
      <c r="AQ3" s="17">
        <f t="shared" si="2"/>
        <v>43684</v>
      </c>
      <c r="AR3" s="17">
        <f t="shared" si="2"/>
        <v>43685</v>
      </c>
      <c r="AS3" s="17">
        <f t="shared" si="2"/>
        <v>43686</v>
      </c>
      <c r="AT3" s="17">
        <f t="shared" si="2"/>
        <v>43687</v>
      </c>
      <c r="AU3" s="17">
        <f t="shared" si="2"/>
        <v>43688</v>
      </c>
      <c r="AV3" s="17">
        <f t="shared" si="2"/>
        <v>43689</v>
      </c>
      <c r="AW3" s="17">
        <f t="shared" si="2"/>
        <v>43690</v>
      </c>
      <c r="AX3" s="17">
        <f t="shared" si="2"/>
        <v>43691</v>
      </c>
      <c r="AY3" s="17">
        <f t="shared" si="2"/>
        <v>43692</v>
      </c>
      <c r="AZ3" s="17">
        <f t="shared" si="2"/>
        <v>43693</v>
      </c>
      <c r="BA3" s="17">
        <f t="shared" si="2"/>
        <v>43694</v>
      </c>
      <c r="BB3" s="17">
        <f t="shared" si="2"/>
        <v>43695</v>
      </c>
      <c r="BC3" s="17">
        <f t="shared" si="2"/>
        <v>43696</v>
      </c>
      <c r="BD3" s="17">
        <f t="shared" si="2"/>
        <v>43697</v>
      </c>
      <c r="BE3" s="17">
        <f t="shared" si="2"/>
        <v>43698</v>
      </c>
      <c r="BF3" s="17">
        <f t="shared" si="2"/>
        <v>43699</v>
      </c>
      <c r="BG3" s="17">
        <f t="shared" si="2"/>
        <v>43700</v>
      </c>
      <c r="BH3" s="17">
        <f t="shared" si="2"/>
        <v>43701</v>
      </c>
    </row>
    <row r="4" spans="1:62" x14ac:dyDescent="0.3">
      <c r="A4" s="18"/>
      <c r="B4" s="19"/>
      <c r="C4" s="19"/>
      <c r="D4" s="18"/>
      <c r="E4" s="20">
        <f>WEEKDAY(E3)</f>
        <v>2</v>
      </c>
      <c r="F4" s="20">
        <f>WEEKDAY(F3)</f>
        <v>3</v>
      </c>
      <c r="G4" s="20">
        <f t="shared" ref="G4:BH4" si="3">WEEKDAY(G3)</f>
        <v>4</v>
      </c>
      <c r="H4" s="20">
        <f t="shared" si="3"/>
        <v>5</v>
      </c>
      <c r="I4" s="20">
        <f t="shared" si="3"/>
        <v>6</v>
      </c>
      <c r="J4" s="20">
        <f t="shared" si="3"/>
        <v>7</v>
      </c>
      <c r="K4" s="20">
        <f t="shared" si="3"/>
        <v>1</v>
      </c>
      <c r="L4" s="20">
        <f t="shared" si="3"/>
        <v>2</v>
      </c>
      <c r="M4" s="20">
        <f t="shared" si="3"/>
        <v>3</v>
      </c>
      <c r="N4" s="20">
        <f t="shared" si="3"/>
        <v>4</v>
      </c>
      <c r="O4" s="20">
        <f t="shared" si="3"/>
        <v>5</v>
      </c>
      <c r="P4" s="20">
        <f t="shared" si="3"/>
        <v>6</v>
      </c>
      <c r="Q4" s="20">
        <f t="shared" si="3"/>
        <v>7</v>
      </c>
      <c r="R4" s="20">
        <f t="shared" si="3"/>
        <v>1</v>
      </c>
      <c r="S4" s="20">
        <f t="shared" si="3"/>
        <v>2</v>
      </c>
      <c r="T4" s="20">
        <f t="shared" si="3"/>
        <v>3</v>
      </c>
      <c r="U4" s="20">
        <f t="shared" si="3"/>
        <v>4</v>
      </c>
      <c r="V4" s="20">
        <f t="shared" si="3"/>
        <v>5</v>
      </c>
      <c r="W4" s="20">
        <f t="shared" si="3"/>
        <v>6</v>
      </c>
      <c r="X4" s="20">
        <f t="shared" si="3"/>
        <v>7</v>
      </c>
      <c r="Y4" s="20">
        <f t="shared" si="3"/>
        <v>1</v>
      </c>
      <c r="Z4" s="20">
        <f t="shared" si="3"/>
        <v>2</v>
      </c>
      <c r="AA4" s="20">
        <f t="shared" si="3"/>
        <v>3</v>
      </c>
      <c r="AB4" s="20">
        <f t="shared" si="3"/>
        <v>4</v>
      </c>
      <c r="AC4" s="20">
        <f t="shared" si="3"/>
        <v>5</v>
      </c>
      <c r="AD4" s="20">
        <f t="shared" si="3"/>
        <v>6</v>
      </c>
      <c r="AE4" s="20">
        <f t="shared" si="3"/>
        <v>7</v>
      </c>
      <c r="AF4" s="20">
        <f t="shared" si="3"/>
        <v>1</v>
      </c>
      <c r="AG4" s="20">
        <f t="shared" si="3"/>
        <v>2</v>
      </c>
      <c r="AH4" s="20">
        <f t="shared" si="3"/>
        <v>3</v>
      </c>
      <c r="AI4" s="20">
        <f t="shared" si="3"/>
        <v>4</v>
      </c>
      <c r="AJ4" s="20"/>
      <c r="AK4" s="20">
        <f t="shared" si="3"/>
        <v>5</v>
      </c>
      <c r="AL4" s="20">
        <f t="shared" si="3"/>
        <v>6</v>
      </c>
      <c r="AM4" s="20">
        <f t="shared" si="3"/>
        <v>7</v>
      </c>
      <c r="AN4" s="20">
        <f t="shared" si="3"/>
        <v>1</v>
      </c>
      <c r="AO4" s="20">
        <f t="shared" si="3"/>
        <v>2</v>
      </c>
      <c r="AP4" s="20">
        <f t="shared" si="3"/>
        <v>3</v>
      </c>
      <c r="AQ4" s="20">
        <f t="shared" si="3"/>
        <v>4</v>
      </c>
      <c r="AR4" s="20">
        <f t="shared" si="3"/>
        <v>5</v>
      </c>
      <c r="AS4" s="20">
        <f t="shared" si="3"/>
        <v>6</v>
      </c>
      <c r="AT4" s="20">
        <f t="shared" si="3"/>
        <v>7</v>
      </c>
      <c r="AU4" s="20">
        <f t="shared" si="3"/>
        <v>1</v>
      </c>
      <c r="AV4" s="20">
        <f t="shared" si="3"/>
        <v>2</v>
      </c>
      <c r="AW4" s="20">
        <f t="shared" si="3"/>
        <v>3</v>
      </c>
      <c r="AX4" s="20">
        <f t="shared" si="3"/>
        <v>4</v>
      </c>
      <c r="AY4" s="20">
        <f t="shared" si="3"/>
        <v>5</v>
      </c>
      <c r="AZ4" s="20">
        <f t="shared" si="3"/>
        <v>6</v>
      </c>
      <c r="BA4" s="20">
        <f t="shared" si="3"/>
        <v>7</v>
      </c>
      <c r="BB4" s="20">
        <f t="shared" si="3"/>
        <v>1</v>
      </c>
      <c r="BC4" s="20">
        <f t="shared" si="3"/>
        <v>2</v>
      </c>
      <c r="BD4" s="20">
        <f t="shared" si="3"/>
        <v>3</v>
      </c>
      <c r="BE4" s="20">
        <f t="shared" si="3"/>
        <v>4</v>
      </c>
      <c r="BF4" s="20">
        <f t="shared" si="3"/>
        <v>5</v>
      </c>
      <c r="BG4" s="20">
        <f t="shared" si="3"/>
        <v>6</v>
      </c>
      <c r="BH4" s="20">
        <f t="shared" si="3"/>
        <v>7</v>
      </c>
    </row>
    <row r="5" spans="1:62" x14ac:dyDescent="0.3">
      <c r="A5" s="18"/>
      <c r="B5" s="19"/>
      <c r="C5" s="19"/>
      <c r="D5" s="18"/>
      <c r="E5" s="22">
        <v>1</v>
      </c>
      <c r="F5" s="22">
        <f>E5+1</f>
        <v>2</v>
      </c>
      <c r="G5" s="22">
        <f t="shared" ref="G5:BH5" si="4">F5+1</f>
        <v>3</v>
      </c>
      <c r="H5" s="22">
        <f t="shared" si="4"/>
        <v>4</v>
      </c>
      <c r="I5" s="22">
        <f t="shared" si="4"/>
        <v>5</v>
      </c>
      <c r="J5" s="22">
        <f t="shared" si="4"/>
        <v>6</v>
      </c>
      <c r="K5" s="22">
        <f t="shared" si="4"/>
        <v>7</v>
      </c>
      <c r="L5" s="22">
        <f t="shared" si="4"/>
        <v>8</v>
      </c>
      <c r="M5" s="22">
        <f t="shared" si="4"/>
        <v>9</v>
      </c>
      <c r="N5" s="22">
        <f t="shared" si="4"/>
        <v>10</v>
      </c>
      <c r="O5" s="22">
        <f t="shared" si="4"/>
        <v>11</v>
      </c>
      <c r="P5" s="22">
        <f t="shared" si="4"/>
        <v>12</v>
      </c>
      <c r="Q5" s="22">
        <f t="shared" si="4"/>
        <v>13</v>
      </c>
      <c r="R5" s="22">
        <f t="shared" si="4"/>
        <v>14</v>
      </c>
      <c r="S5" s="22">
        <f t="shared" si="4"/>
        <v>15</v>
      </c>
      <c r="T5" s="22">
        <f t="shared" si="4"/>
        <v>16</v>
      </c>
      <c r="U5" s="22">
        <f t="shared" si="4"/>
        <v>17</v>
      </c>
      <c r="V5" s="22">
        <f t="shared" si="4"/>
        <v>18</v>
      </c>
      <c r="W5" s="22">
        <f t="shared" si="4"/>
        <v>19</v>
      </c>
      <c r="X5" s="22">
        <f t="shared" si="4"/>
        <v>20</v>
      </c>
      <c r="Y5" s="22">
        <f t="shared" si="4"/>
        <v>21</v>
      </c>
      <c r="Z5" s="22">
        <f t="shared" si="4"/>
        <v>22</v>
      </c>
      <c r="AA5" s="22">
        <f t="shared" si="4"/>
        <v>23</v>
      </c>
      <c r="AB5" s="22">
        <f t="shared" si="4"/>
        <v>24</v>
      </c>
      <c r="AC5" s="22">
        <f t="shared" si="4"/>
        <v>25</v>
      </c>
      <c r="AD5" s="22">
        <f t="shared" si="4"/>
        <v>26</v>
      </c>
      <c r="AE5" s="22">
        <f t="shared" si="4"/>
        <v>27</v>
      </c>
      <c r="AF5" s="22">
        <f t="shared" si="4"/>
        <v>28</v>
      </c>
      <c r="AG5" s="22">
        <f t="shared" si="4"/>
        <v>29</v>
      </c>
      <c r="AH5" s="22">
        <f t="shared" si="4"/>
        <v>30</v>
      </c>
      <c r="AI5" s="22">
        <f t="shared" si="4"/>
        <v>31</v>
      </c>
      <c r="AJ5" s="22"/>
      <c r="AK5" s="22">
        <v>1</v>
      </c>
      <c r="AL5" s="22">
        <f t="shared" si="4"/>
        <v>2</v>
      </c>
      <c r="AM5" s="22">
        <f t="shared" si="4"/>
        <v>3</v>
      </c>
      <c r="AN5" s="22">
        <f t="shared" si="4"/>
        <v>4</v>
      </c>
      <c r="AO5" s="22">
        <f t="shared" si="4"/>
        <v>5</v>
      </c>
      <c r="AP5" s="22">
        <f t="shared" si="4"/>
        <v>6</v>
      </c>
      <c r="AQ5" s="22">
        <f t="shared" si="4"/>
        <v>7</v>
      </c>
      <c r="AR5" s="22">
        <f t="shared" si="4"/>
        <v>8</v>
      </c>
      <c r="AS5" s="22">
        <f t="shared" si="4"/>
        <v>9</v>
      </c>
      <c r="AT5" s="22">
        <f t="shared" si="4"/>
        <v>10</v>
      </c>
      <c r="AU5" s="22">
        <f t="shared" si="4"/>
        <v>11</v>
      </c>
      <c r="AV5" s="22">
        <f t="shared" si="4"/>
        <v>12</v>
      </c>
      <c r="AW5" s="22">
        <f t="shared" si="4"/>
        <v>13</v>
      </c>
      <c r="AX5" s="22">
        <f t="shared" si="4"/>
        <v>14</v>
      </c>
      <c r="AY5" s="22">
        <f t="shared" si="4"/>
        <v>15</v>
      </c>
      <c r="AZ5" s="22">
        <f t="shared" si="4"/>
        <v>16</v>
      </c>
      <c r="BA5" s="22">
        <f t="shared" si="4"/>
        <v>17</v>
      </c>
      <c r="BB5" s="22">
        <f t="shared" si="4"/>
        <v>18</v>
      </c>
      <c r="BC5" s="22">
        <f t="shared" si="4"/>
        <v>19</v>
      </c>
      <c r="BD5" s="22">
        <f t="shared" si="4"/>
        <v>20</v>
      </c>
      <c r="BE5" s="22">
        <f t="shared" si="4"/>
        <v>21</v>
      </c>
      <c r="BF5" s="22">
        <f t="shared" si="4"/>
        <v>22</v>
      </c>
      <c r="BG5" s="22">
        <f t="shared" si="4"/>
        <v>23</v>
      </c>
      <c r="BH5" s="22">
        <f t="shared" si="4"/>
        <v>24</v>
      </c>
    </row>
    <row r="6" spans="1:62" x14ac:dyDescent="0.3">
      <c r="A6" s="14"/>
      <c r="B6" s="14"/>
      <c r="C6" s="14"/>
      <c r="D6" s="14"/>
      <c r="E6" s="171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71"/>
      <c r="AH6" s="14"/>
      <c r="AI6" s="14"/>
      <c r="AJ6" s="61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71"/>
    </row>
    <row r="7" spans="1:62" ht="15" thickBot="1" x14ac:dyDescent="0.35">
      <c r="A7" s="80" t="s">
        <v>95</v>
      </c>
      <c r="B7" s="57"/>
      <c r="C7" s="57"/>
      <c r="D7" s="58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131" t="s">
        <v>96</v>
      </c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131" t="s">
        <v>97</v>
      </c>
      <c r="BJ7" s="131" t="s">
        <v>14</v>
      </c>
    </row>
    <row r="8" spans="1:62" ht="15" thickTop="1" x14ac:dyDescent="0.3">
      <c r="A8" s="21"/>
      <c r="B8" s="22"/>
      <c r="C8" s="22"/>
      <c r="D8" s="21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72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67"/>
      <c r="BJ8" s="67"/>
    </row>
    <row r="9" spans="1:62" x14ac:dyDescent="0.3">
      <c r="A9" s="21" t="s">
        <v>98</v>
      </c>
      <c r="B9" s="22"/>
      <c r="C9" s="22"/>
      <c r="D9" s="21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72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67"/>
      <c r="BJ9" s="67"/>
    </row>
    <row r="10" spans="1:62" x14ac:dyDescent="0.3">
      <c r="A10" s="21"/>
      <c r="B10" s="22"/>
      <c r="C10" s="22"/>
      <c r="D10" s="21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72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67"/>
      <c r="BJ10" s="67"/>
    </row>
    <row r="11" spans="1:62" x14ac:dyDescent="0.3">
      <c r="A11" s="3" t="str">
        <f>'SYCamp# &amp; Expenses'!A12</f>
        <v>Input 1 Students with Homestay</v>
      </c>
      <c r="B11" s="7" t="s">
        <v>99</v>
      </c>
      <c r="C11" s="8">
        <v>89</v>
      </c>
      <c r="D11" s="9">
        <f>620/7</f>
        <v>88.571428571428569</v>
      </c>
      <c r="E11" s="10">
        <f>'SYCamp# &amp; Expenses'!E16*$C$11</f>
        <v>7031</v>
      </c>
      <c r="F11" s="10">
        <f>'SYCamp# &amp; Expenses'!F16*$C$11</f>
        <v>7031</v>
      </c>
      <c r="G11" s="10">
        <f>'SYCamp# &amp; Expenses'!G16*$C$11</f>
        <v>10057</v>
      </c>
      <c r="H11" s="10">
        <f>'SYCamp# &amp; Expenses'!H16*$C$11</f>
        <v>10057</v>
      </c>
      <c r="I11" s="10">
        <f>'SYCamp# &amp; Expenses'!I16*$C$11</f>
        <v>10057</v>
      </c>
      <c r="J11" s="10">
        <f>'SYCamp# &amp; Expenses'!J16*$C$11</f>
        <v>10057</v>
      </c>
      <c r="K11" s="10">
        <f>'SYCamp# &amp; Expenses'!K16*$C$11</f>
        <v>13617</v>
      </c>
      <c r="L11" s="10">
        <f>'SYCamp# &amp; Expenses'!L16*$C$11</f>
        <v>13617</v>
      </c>
      <c r="M11" s="10">
        <f>'SYCamp# &amp; Expenses'!M16*$C$11</f>
        <v>13617</v>
      </c>
      <c r="N11" s="10">
        <f>'SYCamp# &amp; Expenses'!N16*$C$11</f>
        <v>13617</v>
      </c>
      <c r="O11" s="10">
        <f>'SYCamp# &amp; Expenses'!O16*$C$11</f>
        <v>13617</v>
      </c>
      <c r="P11" s="10">
        <f>'SYCamp# &amp; Expenses'!P16*$C$11</f>
        <v>12994</v>
      </c>
      <c r="Q11" s="10">
        <f>'SYCamp# &amp; Expenses'!Q16*$C$11</f>
        <v>12994</v>
      </c>
      <c r="R11" s="10">
        <f>'SYCamp# &amp; Expenses'!R16*$C$11</f>
        <v>13795</v>
      </c>
      <c r="S11" s="10">
        <f>'SYCamp# &amp; Expenses'!S16*$C$11</f>
        <v>13795</v>
      </c>
      <c r="T11" s="10">
        <f>'SYCamp# &amp; Expenses'!T16*$C$11</f>
        <v>13795</v>
      </c>
      <c r="U11" s="10">
        <f>'SYCamp# &amp; Expenses'!U16*$C$11</f>
        <v>13795</v>
      </c>
      <c r="V11" s="10">
        <f>'SYCamp# &amp; Expenses'!V16*$C$11</f>
        <v>13795</v>
      </c>
      <c r="W11" s="10">
        <f>'SYCamp# &amp; Expenses'!W16*$C$11</f>
        <v>13795</v>
      </c>
      <c r="X11" s="10">
        <f>'SYCamp# &amp; Expenses'!X16*$C$11</f>
        <v>13795</v>
      </c>
      <c r="Y11" s="10">
        <f>'SYCamp# &amp; Expenses'!Y16*$C$11</f>
        <v>13261</v>
      </c>
      <c r="Z11" s="10">
        <f>'SYCamp# &amp; Expenses'!Z16*$C$11</f>
        <v>13261</v>
      </c>
      <c r="AA11" s="10">
        <f>'SYCamp# &amp; Expenses'!AA16*$C$11</f>
        <v>13261</v>
      </c>
      <c r="AB11" s="10">
        <f>'SYCamp# &amp; Expenses'!AB16*$C$11</f>
        <v>13261</v>
      </c>
      <c r="AC11" s="10">
        <f>'SYCamp# &amp; Expenses'!AC16*$C$11</f>
        <v>13261</v>
      </c>
      <c r="AD11" s="10">
        <f>'SYCamp# &amp; Expenses'!AD16*$C$11</f>
        <v>13261</v>
      </c>
      <c r="AE11" s="10">
        <f>'SYCamp# &amp; Expenses'!AE16*$C$11</f>
        <v>13261</v>
      </c>
      <c r="AF11" s="10">
        <f>'SYCamp# &amp; Expenses'!AF16*$C$11</f>
        <v>14240</v>
      </c>
      <c r="AG11" s="10">
        <f>'SYCamp# &amp; Expenses'!AG16*$C$11</f>
        <v>14240</v>
      </c>
      <c r="AH11" s="10">
        <f>'SYCamp# &amp; Expenses'!AH16*$C$11</f>
        <v>14240</v>
      </c>
      <c r="AI11" s="10">
        <f>'SYCamp# &amp; Expenses'!AI16*$C$11</f>
        <v>11214</v>
      </c>
      <c r="AJ11" s="71">
        <f>SUM(E11:AI11)</f>
        <v>391689</v>
      </c>
      <c r="AK11" s="10">
        <f>'SYCamp# &amp; Expenses'!AK16*$C$11</f>
        <v>11214</v>
      </c>
      <c r="AL11" s="10">
        <f>'SYCamp# &amp; Expenses'!AL16*$C$11</f>
        <v>11214</v>
      </c>
      <c r="AM11" s="10">
        <f>'SYCamp# &amp; Expenses'!AM16*$C$11</f>
        <v>11214</v>
      </c>
      <c r="AN11" s="10">
        <f>'SYCamp# &amp; Expenses'!AN16*$C$11</f>
        <v>11214</v>
      </c>
      <c r="AO11" s="10">
        <f>'SYCamp# &amp; Expenses'!AO16*$C$11</f>
        <v>11214</v>
      </c>
      <c r="AP11" s="10">
        <f>'SYCamp# &amp; Expenses'!AP16*$C$11</f>
        <v>11214</v>
      </c>
      <c r="AQ11" s="10">
        <f>'SYCamp# &amp; Expenses'!AQ16*$C$11</f>
        <v>11214</v>
      </c>
      <c r="AR11" s="10">
        <f>'SYCamp# &amp; Expenses'!AR16*$C$11</f>
        <v>11214</v>
      </c>
      <c r="AS11" s="10">
        <f>'SYCamp# &amp; Expenses'!AS16*$C$11</f>
        <v>11214</v>
      </c>
      <c r="AT11" s="10">
        <f>'SYCamp# &amp; Expenses'!AT16*$C$11</f>
        <v>11214</v>
      </c>
      <c r="AU11" s="10">
        <f>'SYCamp# &amp; Expenses'!AU16*$C$11</f>
        <v>11214</v>
      </c>
      <c r="AV11" s="10">
        <f>'SYCamp# &amp; Expenses'!AV16*$C$11</f>
        <v>11214</v>
      </c>
      <c r="AW11" s="10">
        <f>'SYCamp# &amp; Expenses'!AW16*$C$11</f>
        <v>11214</v>
      </c>
      <c r="AX11" s="10">
        <f>'SYCamp# &amp; Expenses'!AX16*$C$11</f>
        <v>11214</v>
      </c>
      <c r="AY11" s="10">
        <f>'SYCamp# &amp; Expenses'!AY16*$C$11</f>
        <v>11214</v>
      </c>
      <c r="AZ11" s="10">
        <f>'SYCamp# &amp; Expenses'!AZ16*$C$11</f>
        <v>11214</v>
      </c>
      <c r="BA11" s="10">
        <f>'SYCamp# &amp; Expenses'!BA16*$C$11</f>
        <v>11214</v>
      </c>
      <c r="BB11" s="10">
        <f>'SYCamp# &amp; Expenses'!BB16*$C$11</f>
        <v>11214</v>
      </c>
      <c r="BC11" s="10">
        <f>'SYCamp# &amp; Expenses'!BC16*$C$11</f>
        <v>11214</v>
      </c>
      <c r="BD11" s="10">
        <f>'SYCamp# &amp; Expenses'!BD16*$C$11</f>
        <v>11214</v>
      </c>
      <c r="BE11" s="10">
        <f>'SYCamp# &amp; Expenses'!BE16*$C$11</f>
        <v>11214</v>
      </c>
      <c r="BF11" s="10">
        <f>'SYCamp# &amp; Expenses'!BF16*$C$11</f>
        <v>11214</v>
      </c>
      <c r="BG11" s="10">
        <f>'SYCamp# &amp; Expenses'!BG16*$C$11</f>
        <v>11214</v>
      </c>
      <c r="BH11" s="10">
        <f>'SYCamp# &amp; Expenses'!BH16*$C$11</f>
        <v>11214</v>
      </c>
      <c r="BI11" s="71">
        <f>SUM(AK11:BH11)</f>
        <v>269136</v>
      </c>
      <c r="BJ11" s="68">
        <f>BI11+AJ11</f>
        <v>660825</v>
      </c>
    </row>
    <row r="12" spans="1:62" x14ac:dyDescent="0.3">
      <c r="A12" s="3" t="str">
        <f>'SYCamp# &amp; Expenses'!A18</f>
        <v xml:space="preserve">Input 2 Students NO Homestay </v>
      </c>
      <c r="B12" s="7" t="s">
        <v>99</v>
      </c>
      <c r="C12" s="8">
        <v>89</v>
      </c>
      <c r="D12" s="9"/>
      <c r="E12" s="10">
        <f>'SYCamp# &amp; Expenses'!E22*$C$12</f>
        <v>1157</v>
      </c>
      <c r="F12" s="10">
        <f>'SYCamp# &amp; Expenses'!F22*$C$12</f>
        <v>1157</v>
      </c>
      <c r="G12" s="10">
        <f ca="1">'SYCamp# &amp; Expenses'!G22*$C$12</f>
        <v>1157</v>
      </c>
      <c r="H12" s="10">
        <f ca="1">'SYCamp# &amp; Expenses'!H22*$C$12</f>
        <v>1157</v>
      </c>
      <c r="I12" s="10">
        <f ca="1">'SYCamp# &amp; Expenses'!I22*$C$12</f>
        <v>1157</v>
      </c>
      <c r="J12" s="10">
        <f ca="1">'SYCamp# &amp; Expenses'!J22*$C$12</f>
        <v>1157</v>
      </c>
      <c r="K12" s="10">
        <f ca="1">'SYCamp# &amp; Expenses'!K22*$C$12</f>
        <v>1513</v>
      </c>
      <c r="L12" s="10">
        <f ca="1">'SYCamp# &amp; Expenses'!L22*$C$12</f>
        <v>1513</v>
      </c>
      <c r="M12" s="10">
        <f ca="1">'SYCamp# &amp; Expenses'!M22*$C$12</f>
        <v>1513</v>
      </c>
      <c r="N12" s="10">
        <f ca="1">'SYCamp# &amp; Expenses'!N22*$C$12</f>
        <v>1513</v>
      </c>
      <c r="O12" s="10">
        <f ca="1">'SYCamp# &amp; Expenses'!O22*$C$12</f>
        <v>1513</v>
      </c>
      <c r="P12" s="10">
        <f ca="1">'SYCamp# &amp; Expenses'!P22*$C$12</f>
        <v>1513</v>
      </c>
      <c r="Q12" s="10">
        <f ca="1">'SYCamp# &amp; Expenses'!Q22*$C$12</f>
        <v>1513</v>
      </c>
      <c r="R12" s="10">
        <f ca="1">'SYCamp# &amp; Expenses'!R22*$C$12</f>
        <v>2047</v>
      </c>
      <c r="S12" s="10">
        <f ca="1">'SYCamp# &amp; Expenses'!S22*$C$12</f>
        <v>2047</v>
      </c>
      <c r="T12" s="10">
        <f ca="1">'SYCamp# &amp; Expenses'!T22*$C$12</f>
        <v>2047</v>
      </c>
      <c r="U12" s="10">
        <f ca="1">'SYCamp# &amp; Expenses'!U22*$C$12</f>
        <v>2047</v>
      </c>
      <c r="V12" s="10">
        <f ca="1">'SYCamp# &amp; Expenses'!V22*$C$12</f>
        <v>2047</v>
      </c>
      <c r="W12" s="10">
        <f ca="1">'SYCamp# &amp; Expenses'!W22*$C$12</f>
        <v>2047</v>
      </c>
      <c r="X12" s="10">
        <f ca="1">'SYCamp# &amp; Expenses'!X22*$C$12</f>
        <v>2047</v>
      </c>
      <c r="Y12" s="10">
        <f ca="1">'SYCamp# &amp; Expenses'!Y22*$C$12</f>
        <v>1780</v>
      </c>
      <c r="Z12" s="10">
        <f ca="1">'SYCamp# &amp; Expenses'!Z22*$C$12</f>
        <v>1780</v>
      </c>
      <c r="AA12" s="10">
        <f ca="1">'SYCamp# &amp; Expenses'!AA22*$C$12</f>
        <v>1780</v>
      </c>
      <c r="AB12" s="10">
        <f ca="1">'SYCamp# &amp; Expenses'!AB22*$C$12</f>
        <v>1780</v>
      </c>
      <c r="AC12" s="10">
        <f ca="1">'SYCamp# &amp; Expenses'!AC22*$C$12</f>
        <v>1780</v>
      </c>
      <c r="AD12" s="10">
        <f ca="1">'SYCamp# &amp; Expenses'!AD22*$C$12</f>
        <v>1780</v>
      </c>
      <c r="AE12" s="10">
        <f ca="1">'SYCamp# &amp; Expenses'!AE22*$C$12</f>
        <v>1780</v>
      </c>
      <c r="AF12" s="10">
        <f ca="1">'SYCamp# &amp; Expenses'!AF22*$C$12</f>
        <v>1780</v>
      </c>
      <c r="AG12" s="10">
        <f ca="1">'SYCamp# &amp; Expenses'!AG22*$C$12</f>
        <v>1780</v>
      </c>
      <c r="AH12" s="10">
        <f ca="1">'SYCamp# &amp; Expenses'!AH22*$C$12</f>
        <v>1780</v>
      </c>
      <c r="AI12" s="10">
        <f ca="1">'SYCamp# &amp; Expenses'!AI22*$C$12</f>
        <v>1780</v>
      </c>
      <c r="AJ12" s="71">
        <f ca="1">SUM(E12:AI12)</f>
        <v>51442</v>
      </c>
      <c r="AK12" s="10">
        <f ca="1">'SYCamp# &amp; Expenses'!AK22*$C$12</f>
        <v>1780</v>
      </c>
      <c r="AL12" s="10">
        <f ca="1">'SYCamp# &amp; Expenses'!AL22*$C$12</f>
        <v>1869</v>
      </c>
      <c r="AM12" s="10">
        <f ca="1">'SYCamp# &amp; Expenses'!AM22*$C$12</f>
        <v>2047</v>
      </c>
      <c r="AN12" s="10">
        <f ca="1">'SYCamp# &amp; Expenses'!AN22*$C$12</f>
        <v>2314</v>
      </c>
      <c r="AO12" s="10">
        <f ca="1">'SYCamp# &amp; Expenses'!AO22*$C$12</f>
        <v>2670</v>
      </c>
      <c r="AP12" s="10">
        <f ca="1">'SYCamp# &amp; Expenses'!AP22*$C$12</f>
        <v>3115</v>
      </c>
      <c r="AQ12" s="10">
        <f ca="1">'SYCamp# &amp; Expenses'!AQ22*$C$12</f>
        <v>3649</v>
      </c>
      <c r="AR12" s="10">
        <f ca="1">'SYCamp# &amp; Expenses'!AR22*$C$12</f>
        <v>4272</v>
      </c>
      <c r="AS12" s="10">
        <f ca="1">'SYCamp# &amp; Expenses'!AS22*$C$12</f>
        <v>4984</v>
      </c>
      <c r="AT12" s="10">
        <f ca="1">'SYCamp# &amp; Expenses'!AT22*$C$12</f>
        <v>5785</v>
      </c>
      <c r="AU12" s="10">
        <f ca="1">'SYCamp# &amp; Expenses'!AU22*$C$12</f>
        <v>6675</v>
      </c>
      <c r="AV12" s="10">
        <f ca="1">'SYCamp# &amp; Expenses'!AV22*$C$12</f>
        <v>7654</v>
      </c>
      <c r="AW12" s="10">
        <f ca="1">'SYCamp# &amp; Expenses'!AW22*$C$12</f>
        <v>8722</v>
      </c>
      <c r="AX12" s="10">
        <f ca="1">'SYCamp# &amp; Expenses'!AX22*$C$12</f>
        <v>9879</v>
      </c>
      <c r="AY12" s="10">
        <f ca="1">'SYCamp# &amp; Expenses'!AY22*$C$12</f>
        <v>11125</v>
      </c>
      <c r="AZ12" s="10">
        <f ca="1">'SYCamp# &amp; Expenses'!AZ22*$C$12</f>
        <v>12460</v>
      </c>
      <c r="BA12" s="10">
        <f ca="1">'SYCamp# &amp; Expenses'!BA22*$C$12</f>
        <v>13884</v>
      </c>
      <c r="BB12" s="10">
        <f ca="1">'SYCamp# &amp; Expenses'!BB22*$C$12</f>
        <v>15397</v>
      </c>
      <c r="BC12" s="10">
        <f ca="1">'SYCamp# &amp; Expenses'!BC22*$C$12</f>
        <v>16999</v>
      </c>
      <c r="BD12" s="10">
        <f ca="1">'SYCamp# &amp; Expenses'!BD22*$C$12</f>
        <v>18690</v>
      </c>
      <c r="BE12" s="10">
        <f ca="1">'SYCamp# &amp; Expenses'!BE22*$C$12</f>
        <v>20470</v>
      </c>
      <c r="BF12" s="10">
        <f ca="1">'SYCamp# &amp; Expenses'!BF22*$C$12</f>
        <v>22339</v>
      </c>
      <c r="BG12" s="10">
        <f ca="1">'SYCamp# &amp; Expenses'!BG22*$C$12</f>
        <v>24297</v>
      </c>
      <c r="BH12" s="10">
        <f ca="1">'SYCamp# &amp; Expenses'!BH22*$C$12</f>
        <v>26344</v>
      </c>
      <c r="BI12" s="71">
        <f ca="1">SUM(AK12:BH12)</f>
        <v>247420</v>
      </c>
      <c r="BJ12" s="68">
        <f ca="1">BI12+AJ12</f>
        <v>298862</v>
      </c>
    </row>
    <row r="13" spans="1:62" x14ac:dyDescent="0.3">
      <c r="A13" s="3" t="str">
        <f>'SYCamp# &amp; Expenses'!A24</f>
        <v>Input 3 Students IN Hotel</v>
      </c>
      <c r="B13" s="7" t="s">
        <v>99</v>
      </c>
      <c r="C13" s="8">
        <v>89</v>
      </c>
      <c r="D13" s="9"/>
      <c r="E13" s="10">
        <f>'SYCamp# &amp; Expenses'!E28*$C$13</f>
        <v>5251</v>
      </c>
      <c r="F13" s="10">
        <f>'SYCamp# &amp; Expenses'!F28*$C$13</f>
        <v>5251</v>
      </c>
      <c r="G13" s="10">
        <f ca="1">'SYCamp# &amp; Expenses'!G28*$C$13</f>
        <v>5251</v>
      </c>
      <c r="H13" s="10">
        <f ca="1">'SYCamp# &amp; Expenses'!H28*$C$13</f>
        <v>5251</v>
      </c>
      <c r="I13" s="10">
        <f ca="1">'SYCamp# &amp; Expenses'!I28*$C$13</f>
        <v>5251</v>
      </c>
      <c r="J13" s="10">
        <f ca="1">'SYCamp# &amp; Expenses'!J28*$C$13</f>
        <v>5251</v>
      </c>
      <c r="K13" s="10">
        <f ca="1">'SYCamp# &amp; Expenses'!K28*$C$13</f>
        <v>5251</v>
      </c>
      <c r="L13" s="10">
        <f ca="1">'SYCamp# &amp; Expenses'!L28*$C$13</f>
        <v>5251</v>
      </c>
      <c r="M13" s="10">
        <f ca="1">'SYCamp# &amp; Expenses'!M28*$C$13</f>
        <v>5251</v>
      </c>
      <c r="N13" s="10">
        <f ca="1">'SYCamp# &amp; Expenses'!N28*$C$13</f>
        <v>5251</v>
      </c>
      <c r="O13" s="10">
        <f ca="1">'SYCamp# &amp; Expenses'!O28*$C$13</f>
        <v>5251</v>
      </c>
      <c r="P13" s="10">
        <f ca="1">'SYCamp# &amp; Expenses'!P28*$C$13</f>
        <v>5251</v>
      </c>
      <c r="Q13" s="10">
        <f ca="1">'SYCamp# &amp; Expenses'!Q28*$C$13</f>
        <v>5251</v>
      </c>
      <c r="R13" s="10">
        <f ca="1">'SYCamp# &amp; Expenses'!R28*$C$13</f>
        <v>5785</v>
      </c>
      <c r="S13" s="10">
        <f ca="1">'SYCamp# &amp; Expenses'!S28*$C$13</f>
        <v>5785</v>
      </c>
      <c r="T13" s="10">
        <f ca="1">'SYCamp# &amp; Expenses'!T28*$C$13</f>
        <v>5785</v>
      </c>
      <c r="U13" s="10">
        <f ca="1">'SYCamp# &amp; Expenses'!U28*$C$13</f>
        <v>5785</v>
      </c>
      <c r="V13" s="10">
        <f ca="1">'SYCamp# &amp; Expenses'!V28*$C$13</f>
        <v>534</v>
      </c>
      <c r="W13" s="10">
        <f ca="1">'SYCamp# &amp; Expenses'!W28*$C$13</f>
        <v>534</v>
      </c>
      <c r="X13" s="10">
        <f ca="1">'SYCamp# &amp; Expenses'!X28*$C$13</f>
        <v>534</v>
      </c>
      <c r="Y13" s="10">
        <f ca="1">'SYCamp# &amp; Expenses'!Y28*$C$13</f>
        <v>267</v>
      </c>
      <c r="Z13" s="10">
        <f ca="1">'SYCamp# &amp; Expenses'!Z28*$C$13</f>
        <v>267</v>
      </c>
      <c r="AA13" s="10">
        <f ca="1">'SYCamp# &amp; Expenses'!AA28*$C$13</f>
        <v>267</v>
      </c>
      <c r="AB13" s="10">
        <f ca="1">'SYCamp# &amp; Expenses'!AB28*$C$13</f>
        <v>267</v>
      </c>
      <c r="AC13" s="10">
        <f ca="1">'SYCamp# &amp; Expenses'!AC28*$C$13</f>
        <v>267</v>
      </c>
      <c r="AD13" s="10">
        <f ca="1">'SYCamp# &amp; Expenses'!AD28*$C$13</f>
        <v>267</v>
      </c>
      <c r="AE13" s="10">
        <f ca="1">'SYCamp# &amp; Expenses'!AE28*$C$13</f>
        <v>267</v>
      </c>
      <c r="AF13" s="10">
        <f ca="1">'SYCamp# &amp; Expenses'!AF28*$C$13</f>
        <v>267</v>
      </c>
      <c r="AG13" s="10">
        <f ca="1">'SYCamp# &amp; Expenses'!AG28*$C$13</f>
        <v>267</v>
      </c>
      <c r="AH13" s="10">
        <f ca="1">'SYCamp# &amp; Expenses'!AH28*$C$13</f>
        <v>267</v>
      </c>
      <c r="AI13" s="10">
        <f ca="1">'SYCamp# &amp; Expenses'!AI28*$C$13</f>
        <v>267</v>
      </c>
      <c r="AJ13" s="71">
        <f ca="1">SUM(E13:AI13)</f>
        <v>95942</v>
      </c>
      <c r="AK13" s="10">
        <f ca="1">'SYCamp# &amp; Expenses'!AK28*$C$13</f>
        <v>267</v>
      </c>
      <c r="AL13" s="10">
        <f ca="1">'SYCamp# &amp; Expenses'!AL28*$C$13</f>
        <v>356</v>
      </c>
      <c r="AM13" s="10">
        <f ca="1">'SYCamp# &amp; Expenses'!AM28*$C$13</f>
        <v>534</v>
      </c>
      <c r="AN13" s="10">
        <f ca="1">'SYCamp# &amp; Expenses'!AN28*$C$13</f>
        <v>801</v>
      </c>
      <c r="AO13" s="10">
        <f ca="1">'SYCamp# &amp; Expenses'!AO28*$C$13</f>
        <v>1157</v>
      </c>
      <c r="AP13" s="10">
        <f ca="1">'SYCamp# &amp; Expenses'!AP28*$C$13</f>
        <v>1602</v>
      </c>
      <c r="AQ13" s="10">
        <f ca="1">'SYCamp# &amp; Expenses'!AQ28*$C$13</f>
        <v>2136</v>
      </c>
      <c r="AR13" s="10">
        <f ca="1">'SYCamp# &amp; Expenses'!AR28*$C$13</f>
        <v>2759</v>
      </c>
      <c r="AS13" s="10">
        <f ca="1">'SYCamp# &amp; Expenses'!AS28*$C$13</f>
        <v>3471</v>
      </c>
      <c r="AT13" s="10">
        <f ca="1">'SYCamp# &amp; Expenses'!AT28*$C$13</f>
        <v>4272</v>
      </c>
      <c r="AU13" s="10">
        <f ca="1">'SYCamp# &amp; Expenses'!AU28*$C$13</f>
        <v>5162</v>
      </c>
      <c r="AV13" s="10">
        <f ca="1">'SYCamp# &amp; Expenses'!AV28*$C$13</f>
        <v>6141</v>
      </c>
      <c r="AW13" s="10">
        <f ca="1">'SYCamp# &amp; Expenses'!AW28*$C$13</f>
        <v>7209</v>
      </c>
      <c r="AX13" s="10">
        <f ca="1">'SYCamp# &amp; Expenses'!AX28*$C$13</f>
        <v>8366</v>
      </c>
      <c r="AY13" s="10">
        <f ca="1">'SYCamp# &amp; Expenses'!AY28*$C$13</f>
        <v>9612</v>
      </c>
      <c r="AZ13" s="10">
        <f ca="1">'SYCamp# &amp; Expenses'!AZ28*$C$13</f>
        <v>10947</v>
      </c>
      <c r="BA13" s="10">
        <f ca="1">'SYCamp# &amp; Expenses'!BA28*$C$13</f>
        <v>12371</v>
      </c>
      <c r="BB13" s="10">
        <f ca="1">'SYCamp# &amp; Expenses'!BB28*$C$13</f>
        <v>13884</v>
      </c>
      <c r="BC13" s="10">
        <f ca="1">'SYCamp# &amp; Expenses'!BC28*$C$13</f>
        <v>15486</v>
      </c>
      <c r="BD13" s="10">
        <f ca="1">'SYCamp# &amp; Expenses'!BD28*$C$13</f>
        <v>17177</v>
      </c>
      <c r="BE13" s="10">
        <f ca="1">'SYCamp# &amp; Expenses'!BE28*$C$13</f>
        <v>18957</v>
      </c>
      <c r="BF13" s="10">
        <f ca="1">'SYCamp# &amp; Expenses'!BF28*$C$13</f>
        <v>20826</v>
      </c>
      <c r="BG13" s="10">
        <f ca="1">'SYCamp# &amp; Expenses'!BG28*$C$13</f>
        <v>22784</v>
      </c>
      <c r="BH13" s="10">
        <f ca="1">'SYCamp# &amp; Expenses'!BH28*$C$13</f>
        <v>24831</v>
      </c>
      <c r="BI13" s="71">
        <f ca="1">SUM(AK13:BH13)</f>
        <v>211108</v>
      </c>
      <c r="BJ13" s="68">
        <f ca="1">BI13+AJ13</f>
        <v>307050</v>
      </c>
    </row>
    <row r="14" spans="1:62" x14ac:dyDescent="0.3">
      <c r="A14" s="3"/>
      <c r="B14" s="7"/>
      <c r="C14" s="8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71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71"/>
      <c r="BJ14" s="68"/>
    </row>
    <row r="15" spans="1:62" x14ac:dyDescent="0.3">
      <c r="A15" s="21" t="str">
        <f>"Total "&amp;A9</f>
        <v>Total Tuition - 408006</v>
      </c>
      <c r="B15" s="22"/>
      <c r="C15" s="22"/>
      <c r="D15" s="21"/>
      <c r="E15" s="27">
        <f>SUM(E11:E14)</f>
        <v>13439</v>
      </c>
      <c r="F15" s="27">
        <f t="shared" ref="F15:AI15" si="5">SUM(F11:F14)</f>
        <v>13439</v>
      </c>
      <c r="G15" s="27">
        <f t="shared" ca="1" si="5"/>
        <v>16465</v>
      </c>
      <c r="H15" s="27">
        <f t="shared" ca="1" si="5"/>
        <v>16465</v>
      </c>
      <c r="I15" s="27">
        <f t="shared" ca="1" si="5"/>
        <v>16465</v>
      </c>
      <c r="J15" s="27">
        <f t="shared" ca="1" si="5"/>
        <v>16465</v>
      </c>
      <c r="K15" s="27">
        <f t="shared" ca="1" si="5"/>
        <v>20381</v>
      </c>
      <c r="L15" s="27">
        <f t="shared" ca="1" si="5"/>
        <v>20381</v>
      </c>
      <c r="M15" s="27">
        <f t="shared" ca="1" si="5"/>
        <v>20381</v>
      </c>
      <c r="N15" s="27">
        <f t="shared" ca="1" si="5"/>
        <v>20381</v>
      </c>
      <c r="O15" s="27">
        <f t="shared" ca="1" si="5"/>
        <v>20381</v>
      </c>
      <c r="P15" s="27">
        <f t="shared" ca="1" si="5"/>
        <v>19758</v>
      </c>
      <c r="Q15" s="27">
        <f t="shared" ca="1" si="5"/>
        <v>19758</v>
      </c>
      <c r="R15" s="27">
        <f t="shared" ca="1" si="5"/>
        <v>21627</v>
      </c>
      <c r="S15" s="27">
        <f t="shared" ca="1" si="5"/>
        <v>21627</v>
      </c>
      <c r="T15" s="27">
        <f t="shared" ca="1" si="5"/>
        <v>21627</v>
      </c>
      <c r="U15" s="27">
        <f t="shared" ca="1" si="5"/>
        <v>21627</v>
      </c>
      <c r="V15" s="27">
        <f t="shared" ca="1" si="5"/>
        <v>16376</v>
      </c>
      <c r="W15" s="27">
        <f t="shared" ca="1" si="5"/>
        <v>16376</v>
      </c>
      <c r="X15" s="27">
        <f t="shared" ca="1" si="5"/>
        <v>16376</v>
      </c>
      <c r="Y15" s="27">
        <f t="shared" ca="1" si="5"/>
        <v>15308</v>
      </c>
      <c r="Z15" s="27">
        <f t="shared" ca="1" si="5"/>
        <v>15308</v>
      </c>
      <c r="AA15" s="27">
        <f t="shared" ca="1" si="5"/>
        <v>15308</v>
      </c>
      <c r="AB15" s="27">
        <f t="shared" ca="1" si="5"/>
        <v>15308</v>
      </c>
      <c r="AC15" s="27">
        <f t="shared" ca="1" si="5"/>
        <v>15308</v>
      </c>
      <c r="AD15" s="27">
        <f t="shared" ca="1" si="5"/>
        <v>15308</v>
      </c>
      <c r="AE15" s="27">
        <f t="shared" ca="1" si="5"/>
        <v>15308</v>
      </c>
      <c r="AF15" s="27">
        <f t="shared" ca="1" si="5"/>
        <v>16287</v>
      </c>
      <c r="AG15" s="27">
        <f t="shared" ca="1" si="5"/>
        <v>16287</v>
      </c>
      <c r="AH15" s="27">
        <f t="shared" ca="1" si="5"/>
        <v>16287</v>
      </c>
      <c r="AI15" s="27">
        <f t="shared" ca="1" si="5"/>
        <v>13261</v>
      </c>
      <c r="AJ15" s="73">
        <f ca="1">SUM(AJ11:AJ13)</f>
        <v>539073</v>
      </c>
      <c r="AK15" s="27">
        <f ca="1">SUM(AK11:AK14)</f>
        <v>13261</v>
      </c>
      <c r="AL15" s="27">
        <f t="shared" ref="AL15:BH15" ca="1" si="6">SUM(AL11:AL14)</f>
        <v>13439</v>
      </c>
      <c r="AM15" s="27">
        <f t="shared" ca="1" si="6"/>
        <v>13795</v>
      </c>
      <c r="AN15" s="27">
        <f t="shared" ca="1" si="6"/>
        <v>14329</v>
      </c>
      <c r="AO15" s="27">
        <f t="shared" ca="1" si="6"/>
        <v>15041</v>
      </c>
      <c r="AP15" s="27">
        <f t="shared" ca="1" si="6"/>
        <v>15931</v>
      </c>
      <c r="AQ15" s="27">
        <f t="shared" ca="1" si="6"/>
        <v>16999</v>
      </c>
      <c r="AR15" s="27">
        <f t="shared" ca="1" si="6"/>
        <v>18245</v>
      </c>
      <c r="AS15" s="27">
        <f t="shared" ca="1" si="6"/>
        <v>19669</v>
      </c>
      <c r="AT15" s="27">
        <f t="shared" ca="1" si="6"/>
        <v>21271</v>
      </c>
      <c r="AU15" s="27">
        <f t="shared" ca="1" si="6"/>
        <v>23051</v>
      </c>
      <c r="AV15" s="27">
        <f t="shared" ca="1" si="6"/>
        <v>25009</v>
      </c>
      <c r="AW15" s="27">
        <f t="shared" ca="1" si="6"/>
        <v>27145</v>
      </c>
      <c r="AX15" s="27">
        <f t="shared" ca="1" si="6"/>
        <v>29459</v>
      </c>
      <c r="AY15" s="27">
        <f t="shared" ca="1" si="6"/>
        <v>31951</v>
      </c>
      <c r="AZ15" s="27">
        <f t="shared" ca="1" si="6"/>
        <v>34621</v>
      </c>
      <c r="BA15" s="27">
        <f t="shared" ca="1" si="6"/>
        <v>37469</v>
      </c>
      <c r="BB15" s="27">
        <f t="shared" ca="1" si="6"/>
        <v>40495</v>
      </c>
      <c r="BC15" s="27">
        <f t="shared" ca="1" si="6"/>
        <v>43699</v>
      </c>
      <c r="BD15" s="27">
        <f t="shared" ca="1" si="6"/>
        <v>47081</v>
      </c>
      <c r="BE15" s="27">
        <f t="shared" ca="1" si="6"/>
        <v>50641</v>
      </c>
      <c r="BF15" s="27">
        <f t="shared" ca="1" si="6"/>
        <v>54379</v>
      </c>
      <c r="BG15" s="27">
        <f t="shared" ca="1" si="6"/>
        <v>58295</v>
      </c>
      <c r="BH15" s="27">
        <f t="shared" ca="1" si="6"/>
        <v>62389</v>
      </c>
      <c r="BI15" s="73">
        <f ca="1">SUM(BI11:BI13)</f>
        <v>727664</v>
      </c>
      <c r="BJ15" s="69">
        <f ca="1">SUM(BJ11:BJ14)</f>
        <v>1266737</v>
      </c>
    </row>
    <row r="16" spans="1:62" x14ac:dyDescent="0.3">
      <c r="A16" s="21"/>
      <c r="B16" s="22"/>
      <c r="C16" s="22"/>
      <c r="D16" s="21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72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72"/>
      <c r="BJ16" s="68" t="s">
        <v>0</v>
      </c>
    </row>
    <row r="17" spans="1:62" x14ac:dyDescent="0.3">
      <c r="A17" s="21" t="s">
        <v>100</v>
      </c>
      <c r="B17" s="22"/>
      <c r="C17" s="22"/>
      <c r="D17" s="21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72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72"/>
      <c r="BJ17" s="68"/>
    </row>
    <row r="18" spans="1:62" x14ac:dyDescent="0.3">
      <c r="A18" s="21"/>
      <c r="B18" s="22"/>
      <c r="C18" s="22"/>
      <c r="D18" s="21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72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71" t="s">
        <v>0</v>
      </c>
      <c r="BJ18" s="68" t="s">
        <v>0</v>
      </c>
    </row>
    <row r="19" spans="1:62" x14ac:dyDescent="0.3">
      <c r="A19" s="3" t="s">
        <v>101</v>
      </c>
      <c r="B19" s="7" t="s">
        <v>102</v>
      </c>
      <c r="C19" s="8">
        <v>125</v>
      </c>
      <c r="D19" s="9" t="s">
        <v>103</v>
      </c>
      <c r="E19" s="10">
        <f>$C19*$C$20*'SYCamp# &amp; Expenses'!E32</f>
        <v>5662.5</v>
      </c>
      <c r="F19" s="10">
        <f>$C19*$C$20*'SYCamp# &amp; Expenses'!F32</f>
        <v>0</v>
      </c>
      <c r="G19" s="10">
        <f>$C19*$C$20*'SYCamp# &amp; Expenses'!G32</f>
        <v>1275</v>
      </c>
      <c r="H19" s="10">
        <f>$C19*$C$20*'SYCamp# &amp; Expenses'!H32</f>
        <v>0</v>
      </c>
      <c r="I19" s="10">
        <f>$C19*$C$20*'SYCamp# &amp; Expenses'!I32</f>
        <v>0</v>
      </c>
      <c r="J19" s="10">
        <f>$C19*$C$20*'SYCamp# &amp; Expenses'!J32</f>
        <v>0</v>
      </c>
      <c r="K19" s="10">
        <f>$C19*$C$20*'SYCamp# &amp; Expenses'!K32</f>
        <v>1650</v>
      </c>
      <c r="L19" s="10">
        <f>$C19*$C$20*'SYCamp# &amp; Expenses'!L32</f>
        <v>0</v>
      </c>
      <c r="M19" s="10">
        <f>$C19*$C$20*'SYCamp# &amp; Expenses'!M32</f>
        <v>0</v>
      </c>
      <c r="N19" s="10">
        <f>$C19*$C$20*'SYCamp# &amp; Expenses'!N32</f>
        <v>0</v>
      </c>
      <c r="O19" s="10">
        <f>$C19*$C$20*'SYCamp# &amp; Expenses'!O32</f>
        <v>0</v>
      </c>
      <c r="P19" s="10">
        <f>$C19*$C$20*'SYCamp# &amp; Expenses'!P32</f>
        <v>0</v>
      </c>
      <c r="Q19" s="10">
        <f>$C19*$C$20*'SYCamp# &amp; Expenses'!Q32</f>
        <v>0</v>
      </c>
      <c r="R19" s="10">
        <f>$C19*$C$20*'SYCamp# &amp; Expenses'!R32</f>
        <v>787.5</v>
      </c>
      <c r="S19" s="10">
        <f>$C19*$C$20*'SYCamp# &amp; Expenses'!S32</f>
        <v>0</v>
      </c>
      <c r="T19" s="10">
        <f>$C19*$C$20*'SYCamp# &amp; Expenses'!T32</f>
        <v>0</v>
      </c>
      <c r="U19" s="10">
        <f>$C19*$C$20*'SYCamp# &amp; Expenses'!U32</f>
        <v>0</v>
      </c>
      <c r="V19" s="10">
        <f>$C19*$C$20*'SYCamp# &amp; Expenses'!V32</f>
        <v>0</v>
      </c>
      <c r="W19" s="10">
        <f>$C19*$C$20*'SYCamp# &amp; Expenses'!W32</f>
        <v>0</v>
      </c>
      <c r="X19" s="10">
        <f>$C19*$C$20*'SYCamp# &amp; Expenses'!X32</f>
        <v>0</v>
      </c>
      <c r="Y19" s="10">
        <f>$C19*$C$20*'SYCamp# &amp; Expenses'!Y32</f>
        <v>1687.5</v>
      </c>
      <c r="Z19" s="10">
        <f>$C19*$C$20*'SYCamp# &amp; Expenses'!Z32</f>
        <v>0</v>
      </c>
      <c r="AA19" s="10">
        <f>$C19*$C$20*'SYCamp# &amp; Expenses'!AA32</f>
        <v>0</v>
      </c>
      <c r="AB19" s="10">
        <f>$C19*$C$20*'SYCamp# &amp; Expenses'!AB32</f>
        <v>0</v>
      </c>
      <c r="AC19" s="10">
        <f>$C19*$C$20*'SYCamp# &amp; Expenses'!AC32</f>
        <v>0</v>
      </c>
      <c r="AD19" s="10">
        <f>$C19*$C$20*'SYCamp# &amp; Expenses'!AD32</f>
        <v>0</v>
      </c>
      <c r="AE19" s="10">
        <f>$C19*$C$20*'SYCamp# &amp; Expenses'!AE32</f>
        <v>0</v>
      </c>
      <c r="AF19" s="10">
        <f>$C19*$C$20*'SYCamp# &amp; Expenses'!AF32</f>
        <v>412.5</v>
      </c>
      <c r="AG19" s="10">
        <f>$C19*$C$20*'SYCamp# &amp; Expenses'!AG32</f>
        <v>0</v>
      </c>
      <c r="AH19" s="10">
        <f>$C19*$C$20*'SYCamp# &amp; Expenses'!AH32</f>
        <v>0</v>
      </c>
      <c r="AI19" s="10">
        <f>$C19*$C$20*'SYCamp# &amp; Expenses'!AI32</f>
        <v>0</v>
      </c>
      <c r="AJ19" s="71">
        <f>SUM(E19:AI19)</f>
        <v>11475</v>
      </c>
      <c r="AK19" s="10">
        <f>$C19*$C$20*'SYCamp# &amp; Expenses'!AK32</f>
        <v>0</v>
      </c>
      <c r="AL19" s="10">
        <f>$C19*$C$20*'SYCamp# &amp; Expenses'!AL32</f>
        <v>75</v>
      </c>
      <c r="AM19" s="10">
        <f>$C19*$C$20*'SYCamp# &amp; Expenses'!AM32</f>
        <v>150</v>
      </c>
      <c r="AN19" s="10">
        <f>$C19*$C$20*'SYCamp# &amp; Expenses'!AN32</f>
        <v>225</v>
      </c>
      <c r="AO19" s="10">
        <f>$C19*$C$20*'SYCamp# &amp; Expenses'!AO32</f>
        <v>300</v>
      </c>
      <c r="AP19" s="10">
        <f>$C19*$C$20*'SYCamp# &amp; Expenses'!AP32</f>
        <v>375</v>
      </c>
      <c r="AQ19" s="10">
        <f>$C19*$C$20*'SYCamp# &amp; Expenses'!AQ32</f>
        <v>450</v>
      </c>
      <c r="AR19" s="10">
        <f>$C19*$C$20*'SYCamp# &amp; Expenses'!AR32</f>
        <v>525</v>
      </c>
      <c r="AS19" s="10">
        <f>$C19*$C$20*'SYCamp# &amp; Expenses'!AS32</f>
        <v>600</v>
      </c>
      <c r="AT19" s="10">
        <f>$C19*$C$20*'SYCamp# &amp; Expenses'!AT32</f>
        <v>675</v>
      </c>
      <c r="AU19" s="10">
        <f>$C19*$C$20*'SYCamp# &amp; Expenses'!AU32</f>
        <v>750</v>
      </c>
      <c r="AV19" s="10">
        <f>$C19*$C$20*'SYCamp# &amp; Expenses'!AV32</f>
        <v>825</v>
      </c>
      <c r="AW19" s="10">
        <f>$C19*$C$20*'SYCamp# &amp; Expenses'!AW32</f>
        <v>900</v>
      </c>
      <c r="AX19" s="10">
        <f>$C19*$C$20*'SYCamp# &amp; Expenses'!AX32</f>
        <v>975</v>
      </c>
      <c r="AY19" s="10">
        <f>$C19*$C$20*'SYCamp# &amp; Expenses'!AY32</f>
        <v>1050</v>
      </c>
      <c r="AZ19" s="10">
        <f>$C19*$C$20*'SYCamp# &amp; Expenses'!AZ32</f>
        <v>1125</v>
      </c>
      <c r="BA19" s="10">
        <f>$C19*$C$20*'SYCamp# &amp; Expenses'!BA32</f>
        <v>1200</v>
      </c>
      <c r="BB19" s="10">
        <f>$C19*$C$20*'SYCamp# &amp; Expenses'!BB32</f>
        <v>1275</v>
      </c>
      <c r="BC19" s="10">
        <f>$C19*$C$20*'SYCamp# &amp; Expenses'!BC32</f>
        <v>1350</v>
      </c>
      <c r="BD19" s="10">
        <f>$C19*$C$20*'SYCamp# &amp; Expenses'!BD32</f>
        <v>1425</v>
      </c>
      <c r="BE19" s="10">
        <f>$C19*$C$20*'SYCamp# &amp; Expenses'!BE32</f>
        <v>1500</v>
      </c>
      <c r="BF19" s="10">
        <f>$C19*$C$20*'SYCamp# &amp; Expenses'!BF32</f>
        <v>1575</v>
      </c>
      <c r="BG19" s="10">
        <f>$C19*$C$20*'SYCamp# &amp; Expenses'!BG32</f>
        <v>1650</v>
      </c>
      <c r="BH19" s="10">
        <f>$C19*$C$20*'SYCamp# &amp; Expenses'!BH32</f>
        <v>1725</v>
      </c>
      <c r="BI19" s="71">
        <f>SUM(AK19:BH19)</f>
        <v>20700</v>
      </c>
      <c r="BJ19" s="68">
        <f>BI19+AJ19</f>
        <v>32175</v>
      </c>
    </row>
    <row r="20" spans="1:62" x14ac:dyDescent="0.3">
      <c r="A20" s="21"/>
      <c r="B20" s="22"/>
      <c r="C20" s="22">
        <v>0.3</v>
      </c>
      <c r="D20" s="21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72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72"/>
      <c r="BJ20" s="68" t="s">
        <v>0</v>
      </c>
    </row>
    <row r="21" spans="1:62" x14ac:dyDescent="0.3">
      <c r="A21" s="21" t="str">
        <f>"Total "&amp;A17</f>
        <v>Total Application Fees - 451000</v>
      </c>
      <c r="B21" s="22"/>
      <c r="C21" s="22"/>
      <c r="D21" s="21"/>
      <c r="E21" s="27">
        <f t="shared" ref="E21:AI21" si="7">E19</f>
        <v>5662.5</v>
      </c>
      <c r="F21" s="27">
        <f t="shared" si="7"/>
        <v>0</v>
      </c>
      <c r="G21" s="27">
        <f t="shared" si="7"/>
        <v>1275</v>
      </c>
      <c r="H21" s="27">
        <f t="shared" si="7"/>
        <v>0</v>
      </c>
      <c r="I21" s="27">
        <f t="shared" si="7"/>
        <v>0</v>
      </c>
      <c r="J21" s="27">
        <f t="shared" si="7"/>
        <v>0</v>
      </c>
      <c r="K21" s="27">
        <f t="shared" si="7"/>
        <v>1650</v>
      </c>
      <c r="L21" s="27">
        <f t="shared" si="7"/>
        <v>0</v>
      </c>
      <c r="M21" s="27">
        <f t="shared" si="7"/>
        <v>0</v>
      </c>
      <c r="N21" s="27">
        <f t="shared" si="7"/>
        <v>0</v>
      </c>
      <c r="O21" s="27">
        <f t="shared" si="7"/>
        <v>0</v>
      </c>
      <c r="P21" s="27">
        <f t="shared" si="7"/>
        <v>0</v>
      </c>
      <c r="Q21" s="27">
        <f t="shared" si="7"/>
        <v>0</v>
      </c>
      <c r="R21" s="27">
        <f t="shared" si="7"/>
        <v>787.5</v>
      </c>
      <c r="S21" s="27">
        <f t="shared" si="7"/>
        <v>0</v>
      </c>
      <c r="T21" s="27">
        <f t="shared" si="7"/>
        <v>0</v>
      </c>
      <c r="U21" s="27">
        <f t="shared" si="7"/>
        <v>0</v>
      </c>
      <c r="V21" s="27">
        <f t="shared" si="7"/>
        <v>0</v>
      </c>
      <c r="W21" s="27">
        <f t="shared" si="7"/>
        <v>0</v>
      </c>
      <c r="X21" s="27">
        <f t="shared" si="7"/>
        <v>0</v>
      </c>
      <c r="Y21" s="27">
        <f t="shared" si="7"/>
        <v>1687.5</v>
      </c>
      <c r="Z21" s="27">
        <f t="shared" si="7"/>
        <v>0</v>
      </c>
      <c r="AA21" s="27">
        <f t="shared" si="7"/>
        <v>0</v>
      </c>
      <c r="AB21" s="27">
        <f t="shared" si="7"/>
        <v>0</v>
      </c>
      <c r="AC21" s="27">
        <f t="shared" si="7"/>
        <v>0</v>
      </c>
      <c r="AD21" s="27">
        <f t="shared" si="7"/>
        <v>0</v>
      </c>
      <c r="AE21" s="27">
        <f t="shared" si="7"/>
        <v>0</v>
      </c>
      <c r="AF21" s="27">
        <f t="shared" si="7"/>
        <v>412.5</v>
      </c>
      <c r="AG21" s="27">
        <f t="shared" si="7"/>
        <v>0</v>
      </c>
      <c r="AH21" s="27">
        <f t="shared" si="7"/>
        <v>0</v>
      </c>
      <c r="AI21" s="27">
        <f t="shared" si="7"/>
        <v>0</v>
      </c>
      <c r="AJ21" s="73">
        <f>SUM(E21:AI21)</f>
        <v>11475</v>
      </c>
      <c r="AK21" s="27">
        <f t="shared" ref="AK21:BH21" si="8">AK19</f>
        <v>0</v>
      </c>
      <c r="AL21" s="27">
        <f t="shared" si="8"/>
        <v>75</v>
      </c>
      <c r="AM21" s="27">
        <f t="shared" si="8"/>
        <v>150</v>
      </c>
      <c r="AN21" s="27">
        <f t="shared" si="8"/>
        <v>225</v>
      </c>
      <c r="AO21" s="27">
        <f t="shared" si="8"/>
        <v>300</v>
      </c>
      <c r="AP21" s="27">
        <f t="shared" si="8"/>
        <v>375</v>
      </c>
      <c r="AQ21" s="27">
        <f t="shared" si="8"/>
        <v>450</v>
      </c>
      <c r="AR21" s="27">
        <f t="shared" si="8"/>
        <v>525</v>
      </c>
      <c r="AS21" s="27">
        <f t="shared" si="8"/>
        <v>600</v>
      </c>
      <c r="AT21" s="27">
        <f t="shared" si="8"/>
        <v>675</v>
      </c>
      <c r="AU21" s="27">
        <f t="shared" si="8"/>
        <v>750</v>
      </c>
      <c r="AV21" s="27">
        <f t="shared" si="8"/>
        <v>825</v>
      </c>
      <c r="AW21" s="27">
        <f t="shared" si="8"/>
        <v>900</v>
      </c>
      <c r="AX21" s="27">
        <f t="shared" si="8"/>
        <v>975</v>
      </c>
      <c r="AY21" s="27">
        <f t="shared" si="8"/>
        <v>1050</v>
      </c>
      <c r="AZ21" s="27">
        <f t="shared" si="8"/>
        <v>1125</v>
      </c>
      <c r="BA21" s="27">
        <f t="shared" si="8"/>
        <v>1200</v>
      </c>
      <c r="BB21" s="27">
        <f t="shared" si="8"/>
        <v>1275</v>
      </c>
      <c r="BC21" s="27">
        <f t="shared" si="8"/>
        <v>1350</v>
      </c>
      <c r="BD21" s="27">
        <f t="shared" si="8"/>
        <v>1425</v>
      </c>
      <c r="BE21" s="27">
        <f t="shared" si="8"/>
        <v>1500</v>
      </c>
      <c r="BF21" s="27">
        <f t="shared" si="8"/>
        <v>1575</v>
      </c>
      <c r="BG21" s="27">
        <f t="shared" si="8"/>
        <v>1650</v>
      </c>
      <c r="BH21" s="27">
        <f t="shared" si="8"/>
        <v>1725</v>
      </c>
      <c r="BI21" s="73">
        <f>SUM(AK21:BH21)</f>
        <v>20700</v>
      </c>
      <c r="BJ21" s="69">
        <f>BI21+AJ21</f>
        <v>32175</v>
      </c>
    </row>
    <row r="22" spans="1:62" x14ac:dyDescent="0.3">
      <c r="A22" s="21"/>
      <c r="B22" s="22"/>
      <c r="C22" s="22"/>
      <c r="D22" s="21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72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72"/>
      <c r="BJ22" s="68"/>
    </row>
    <row r="23" spans="1:62" x14ac:dyDescent="0.3">
      <c r="A23" s="21" t="s">
        <v>104</v>
      </c>
      <c r="B23" s="22"/>
      <c r="C23" s="22"/>
      <c r="D23" s="21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72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72"/>
      <c r="BJ23" s="68"/>
    </row>
    <row r="24" spans="1:62" x14ac:dyDescent="0.3">
      <c r="A24" s="21"/>
      <c r="B24" s="22"/>
      <c r="C24" s="22"/>
      <c r="D24" s="21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72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72"/>
      <c r="BJ24" s="68"/>
    </row>
    <row r="25" spans="1:62" x14ac:dyDescent="0.3">
      <c r="A25" s="3" t="str">
        <f>A19</f>
        <v>All Students</v>
      </c>
      <c r="B25" s="7" t="s">
        <v>102</v>
      </c>
      <c r="C25" s="8">
        <v>100</v>
      </c>
      <c r="D25" s="9"/>
      <c r="E25" s="10">
        <f>$C$25*$C$26*'SYCamp# &amp; Expenses'!E32</f>
        <v>4530</v>
      </c>
      <c r="F25" s="10">
        <f>$C$25*$C$26*'SYCamp# &amp; Expenses'!F32</f>
        <v>0</v>
      </c>
      <c r="G25" s="10">
        <f>$C$25*$C$26*'SYCamp# &amp; Expenses'!G32</f>
        <v>1020</v>
      </c>
      <c r="H25" s="10">
        <f>$C$25*$C$26*'SYCamp# &amp; Expenses'!H32</f>
        <v>0</v>
      </c>
      <c r="I25" s="10">
        <f>$C$25*$C$26*'SYCamp# &amp; Expenses'!I32</f>
        <v>0</v>
      </c>
      <c r="J25" s="10">
        <f>$C$25*$C$26*'SYCamp# &amp; Expenses'!J32</f>
        <v>0</v>
      </c>
      <c r="K25" s="10">
        <f>$C$25*$C$26*'SYCamp# &amp; Expenses'!K32</f>
        <v>1320</v>
      </c>
      <c r="L25" s="10">
        <f>$C$25*$C$26*'SYCamp# &amp; Expenses'!L32</f>
        <v>0</v>
      </c>
      <c r="M25" s="10">
        <f>$C$25*$C$26*'SYCamp# &amp; Expenses'!M32</f>
        <v>0</v>
      </c>
      <c r="N25" s="10">
        <f>$C$25*$C$26*'SYCamp# &amp; Expenses'!N32</f>
        <v>0</v>
      </c>
      <c r="O25" s="10">
        <f>$C$25*$C$26*'SYCamp# &amp; Expenses'!O32</f>
        <v>0</v>
      </c>
      <c r="P25" s="10">
        <f>$C$25*$C$26*'SYCamp# &amp; Expenses'!P32</f>
        <v>0</v>
      </c>
      <c r="Q25" s="10">
        <f>$C$25*$C$26*'SYCamp# &amp; Expenses'!Q32</f>
        <v>0</v>
      </c>
      <c r="R25" s="10">
        <f>$C$25*$C$26*'SYCamp# &amp; Expenses'!R32</f>
        <v>630</v>
      </c>
      <c r="S25" s="10">
        <f>$C$25*$C$26*'SYCamp# &amp; Expenses'!S32</f>
        <v>0</v>
      </c>
      <c r="T25" s="10">
        <f>$C$25*$C$26*'SYCamp# &amp; Expenses'!T32</f>
        <v>0</v>
      </c>
      <c r="U25" s="10">
        <f>$C$25*$C$26*'SYCamp# &amp; Expenses'!U32</f>
        <v>0</v>
      </c>
      <c r="V25" s="10">
        <f>$C$25*$C$26*'SYCamp# &amp; Expenses'!V32</f>
        <v>0</v>
      </c>
      <c r="W25" s="10">
        <f>$C$25*$C$26*'SYCamp# &amp; Expenses'!W32</f>
        <v>0</v>
      </c>
      <c r="X25" s="10">
        <f>$C$25*$C$26*'SYCamp# &amp; Expenses'!X32</f>
        <v>0</v>
      </c>
      <c r="Y25" s="10">
        <f>$C$25*$C$26*'SYCamp# &amp; Expenses'!Y32</f>
        <v>1350</v>
      </c>
      <c r="Z25" s="10">
        <f>$C$25*$C$26*'SYCamp# &amp; Expenses'!Z32</f>
        <v>0</v>
      </c>
      <c r="AA25" s="10">
        <f>$C$25*$C$26*'SYCamp# &amp; Expenses'!AA32</f>
        <v>0</v>
      </c>
      <c r="AB25" s="10">
        <f>$C$25*$C$26*'SYCamp# &amp; Expenses'!AB32</f>
        <v>0</v>
      </c>
      <c r="AC25" s="10">
        <f>$C$25*$C$26*'SYCamp# &amp; Expenses'!AC32</f>
        <v>0</v>
      </c>
      <c r="AD25" s="10">
        <f>$C$25*$C$26*'SYCamp# &amp; Expenses'!AD32</f>
        <v>0</v>
      </c>
      <c r="AE25" s="10">
        <f>$C$25*$C$26*'SYCamp# &amp; Expenses'!AE32</f>
        <v>0</v>
      </c>
      <c r="AF25" s="10">
        <f>$C$25*$C$26*'SYCamp# &amp; Expenses'!AF32</f>
        <v>330</v>
      </c>
      <c r="AG25" s="10">
        <f>$C$25*$C$26*'SYCamp# &amp; Expenses'!AG32</f>
        <v>0</v>
      </c>
      <c r="AH25" s="10">
        <f>$C$25*$C$26*'SYCamp# &amp; Expenses'!AH32</f>
        <v>0</v>
      </c>
      <c r="AI25" s="10">
        <f>$C$25*$C$26*'SYCamp# &amp; Expenses'!AI32</f>
        <v>0</v>
      </c>
      <c r="AJ25" s="71">
        <f>SUM(E25:AI25)</f>
        <v>9180</v>
      </c>
      <c r="AK25" s="10">
        <f>$C$25*$C$26*'SYCamp# &amp; Expenses'!AK32</f>
        <v>0</v>
      </c>
      <c r="AL25" s="10">
        <f>$C$25*$C$26*'SYCamp# &amp; Expenses'!AL32</f>
        <v>60</v>
      </c>
      <c r="AM25" s="10">
        <f>$C$25*$C$26*'SYCamp# &amp; Expenses'!AM32</f>
        <v>120</v>
      </c>
      <c r="AN25" s="10">
        <f>$C$25*$C$26*'SYCamp# &amp; Expenses'!AN32</f>
        <v>180</v>
      </c>
      <c r="AO25" s="10">
        <f>$C$25*$C$26*'SYCamp# &amp; Expenses'!AO32</f>
        <v>240</v>
      </c>
      <c r="AP25" s="10">
        <f>$C$25*$C$26*'SYCamp# &amp; Expenses'!AP32</f>
        <v>300</v>
      </c>
      <c r="AQ25" s="10">
        <f>$C$25*$C$26*'SYCamp# &amp; Expenses'!AQ32</f>
        <v>360</v>
      </c>
      <c r="AR25" s="10">
        <f>$C$25*$C$26*'SYCamp# &amp; Expenses'!AR32</f>
        <v>420</v>
      </c>
      <c r="AS25" s="10">
        <f>$C$25*$C$26*'SYCamp# &amp; Expenses'!AS32</f>
        <v>480</v>
      </c>
      <c r="AT25" s="10">
        <f>$C$25*$C$26*'SYCamp# &amp; Expenses'!AT32</f>
        <v>540</v>
      </c>
      <c r="AU25" s="10">
        <f>$C$25*$C$26*'SYCamp# &amp; Expenses'!AU32</f>
        <v>600</v>
      </c>
      <c r="AV25" s="10">
        <f>$C$25*$C$26*'SYCamp# &amp; Expenses'!AV32</f>
        <v>660</v>
      </c>
      <c r="AW25" s="10">
        <f>$C$25*$C$26*'SYCamp# &amp; Expenses'!AW32</f>
        <v>720</v>
      </c>
      <c r="AX25" s="10">
        <f>$C$25*$C$26*'SYCamp# &amp; Expenses'!AX32</f>
        <v>780</v>
      </c>
      <c r="AY25" s="10">
        <f>$C$25*$C$26*'SYCamp# &amp; Expenses'!AY32</f>
        <v>840</v>
      </c>
      <c r="AZ25" s="10">
        <f>$C$25*$C$26*'SYCamp# &amp; Expenses'!AZ32</f>
        <v>900</v>
      </c>
      <c r="BA25" s="10">
        <f>$C$25*$C$26*'SYCamp# &amp; Expenses'!BA32</f>
        <v>960</v>
      </c>
      <c r="BB25" s="10">
        <f>$C$25*$C$26*'SYCamp# &amp; Expenses'!BB32</f>
        <v>1020</v>
      </c>
      <c r="BC25" s="10">
        <f>$C$25*$C$26*'SYCamp# &amp; Expenses'!BC32</f>
        <v>1080</v>
      </c>
      <c r="BD25" s="10">
        <f>$C$25*$C$26*'SYCamp# &amp; Expenses'!BD32</f>
        <v>1140</v>
      </c>
      <c r="BE25" s="10">
        <f>$C$25*$C$26*'SYCamp# &amp; Expenses'!BE32</f>
        <v>1200</v>
      </c>
      <c r="BF25" s="10">
        <f>$C$25*$C$26*'SYCamp# &amp; Expenses'!BF32</f>
        <v>1260</v>
      </c>
      <c r="BG25" s="10">
        <f>$C$25*$C$26*'SYCamp# &amp; Expenses'!BG32</f>
        <v>1320</v>
      </c>
      <c r="BH25" s="10">
        <f>$C$25*$C$26*'SYCamp# &amp; Expenses'!BH32</f>
        <v>1380</v>
      </c>
      <c r="BI25" s="71">
        <f>SUM(AK25:BH25)</f>
        <v>16560</v>
      </c>
      <c r="BJ25" s="68">
        <f>BI25+AJ25</f>
        <v>25740</v>
      </c>
    </row>
    <row r="26" spans="1:62" x14ac:dyDescent="0.3">
      <c r="A26" s="21"/>
      <c r="B26" s="22"/>
      <c r="C26" s="527">
        <v>0.3</v>
      </c>
      <c r="D26" s="9" t="s">
        <v>103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72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72"/>
      <c r="BJ26" s="68" t="s">
        <v>0</v>
      </c>
    </row>
    <row r="27" spans="1:62" x14ac:dyDescent="0.3">
      <c r="A27" s="21" t="str">
        <f>"Total "&amp;A23</f>
        <v>Total Materials Fee - 450008</v>
      </c>
      <c r="B27" s="22"/>
      <c r="C27" s="22"/>
      <c r="D27" s="21"/>
      <c r="E27" s="27">
        <f t="shared" ref="E27:AI27" si="9">E25</f>
        <v>4530</v>
      </c>
      <c r="F27" s="27">
        <f t="shared" si="9"/>
        <v>0</v>
      </c>
      <c r="G27" s="27">
        <f t="shared" si="9"/>
        <v>1020</v>
      </c>
      <c r="H27" s="27">
        <f t="shared" si="9"/>
        <v>0</v>
      </c>
      <c r="I27" s="27">
        <f t="shared" si="9"/>
        <v>0</v>
      </c>
      <c r="J27" s="27">
        <f t="shared" si="9"/>
        <v>0</v>
      </c>
      <c r="K27" s="27">
        <f t="shared" si="9"/>
        <v>1320</v>
      </c>
      <c r="L27" s="27">
        <f t="shared" si="9"/>
        <v>0</v>
      </c>
      <c r="M27" s="27">
        <f t="shared" si="9"/>
        <v>0</v>
      </c>
      <c r="N27" s="27">
        <f t="shared" si="9"/>
        <v>0</v>
      </c>
      <c r="O27" s="27">
        <f t="shared" si="9"/>
        <v>0</v>
      </c>
      <c r="P27" s="27">
        <f t="shared" si="9"/>
        <v>0</v>
      </c>
      <c r="Q27" s="27">
        <f t="shared" si="9"/>
        <v>0</v>
      </c>
      <c r="R27" s="27">
        <f t="shared" si="9"/>
        <v>630</v>
      </c>
      <c r="S27" s="27">
        <f t="shared" si="9"/>
        <v>0</v>
      </c>
      <c r="T27" s="27">
        <f t="shared" si="9"/>
        <v>0</v>
      </c>
      <c r="U27" s="27">
        <f t="shared" si="9"/>
        <v>0</v>
      </c>
      <c r="V27" s="27">
        <f t="shared" si="9"/>
        <v>0</v>
      </c>
      <c r="W27" s="27">
        <f t="shared" si="9"/>
        <v>0</v>
      </c>
      <c r="X27" s="27">
        <f t="shared" si="9"/>
        <v>0</v>
      </c>
      <c r="Y27" s="27">
        <f t="shared" si="9"/>
        <v>1350</v>
      </c>
      <c r="Z27" s="27">
        <f t="shared" si="9"/>
        <v>0</v>
      </c>
      <c r="AA27" s="27">
        <f t="shared" si="9"/>
        <v>0</v>
      </c>
      <c r="AB27" s="27">
        <f t="shared" si="9"/>
        <v>0</v>
      </c>
      <c r="AC27" s="27">
        <f t="shared" si="9"/>
        <v>0</v>
      </c>
      <c r="AD27" s="27">
        <f t="shared" si="9"/>
        <v>0</v>
      </c>
      <c r="AE27" s="27">
        <f t="shared" si="9"/>
        <v>0</v>
      </c>
      <c r="AF27" s="27">
        <f t="shared" si="9"/>
        <v>330</v>
      </c>
      <c r="AG27" s="27">
        <f t="shared" si="9"/>
        <v>0</v>
      </c>
      <c r="AH27" s="27">
        <f t="shared" si="9"/>
        <v>0</v>
      </c>
      <c r="AI27" s="27">
        <f t="shared" si="9"/>
        <v>0</v>
      </c>
      <c r="AJ27" s="73">
        <f>SUM(E27:AI27)</f>
        <v>9180</v>
      </c>
      <c r="AK27" s="27">
        <f t="shared" ref="AK27:BH27" si="10">AK25</f>
        <v>0</v>
      </c>
      <c r="AL27" s="27">
        <f t="shared" si="10"/>
        <v>60</v>
      </c>
      <c r="AM27" s="27">
        <f t="shared" si="10"/>
        <v>120</v>
      </c>
      <c r="AN27" s="27">
        <f t="shared" si="10"/>
        <v>180</v>
      </c>
      <c r="AO27" s="27">
        <f t="shared" si="10"/>
        <v>240</v>
      </c>
      <c r="AP27" s="27">
        <f t="shared" si="10"/>
        <v>300</v>
      </c>
      <c r="AQ27" s="27">
        <f t="shared" si="10"/>
        <v>360</v>
      </c>
      <c r="AR27" s="27">
        <f t="shared" si="10"/>
        <v>420</v>
      </c>
      <c r="AS27" s="27">
        <f t="shared" si="10"/>
        <v>480</v>
      </c>
      <c r="AT27" s="27">
        <f t="shared" si="10"/>
        <v>540</v>
      </c>
      <c r="AU27" s="27">
        <f t="shared" si="10"/>
        <v>600</v>
      </c>
      <c r="AV27" s="27">
        <f t="shared" si="10"/>
        <v>660</v>
      </c>
      <c r="AW27" s="27">
        <f t="shared" si="10"/>
        <v>720</v>
      </c>
      <c r="AX27" s="27">
        <f t="shared" si="10"/>
        <v>780</v>
      </c>
      <c r="AY27" s="27">
        <f t="shared" si="10"/>
        <v>840</v>
      </c>
      <c r="AZ27" s="27">
        <f t="shared" si="10"/>
        <v>900</v>
      </c>
      <c r="BA27" s="27">
        <f t="shared" si="10"/>
        <v>960</v>
      </c>
      <c r="BB27" s="27">
        <f t="shared" si="10"/>
        <v>1020</v>
      </c>
      <c r="BC27" s="27">
        <f t="shared" si="10"/>
        <v>1080</v>
      </c>
      <c r="BD27" s="27">
        <f t="shared" si="10"/>
        <v>1140</v>
      </c>
      <c r="BE27" s="27">
        <f t="shared" si="10"/>
        <v>1200</v>
      </c>
      <c r="BF27" s="27">
        <f t="shared" si="10"/>
        <v>1260</v>
      </c>
      <c r="BG27" s="27">
        <f t="shared" si="10"/>
        <v>1320</v>
      </c>
      <c r="BH27" s="27">
        <f t="shared" si="10"/>
        <v>1380</v>
      </c>
      <c r="BI27" s="73">
        <f>SUM(AK27:BH27)</f>
        <v>16560</v>
      </c>
      <c r="BJ27" s="69">
        <f>BI27+AJ27</f>
        <v>25740</v>
      </c>
    </row>
    <row r="28" spans="1:62" x14ac:dyDescent="0.3">
      <c r="A28" s="21"/>
      <c r="B28" s="22"/>
      <c r="C28" s="22"/>
      <c r="D28" s="21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72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72"/>
      <c r="BJ28" s="68"/>
    </row>
    <row r="29" spans="1:62" x14ac:dyDescent="0.3">
      <c r="A29" s="21" t="s">
        <v>105</v>
      </c>
      <c r="B29" s="22"/>
      <c r="C29" s="22"/>
      <c r="D29" s="21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72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72"/>
      <c r="BJ29" s="68"/>
    </row>
    <row r="30" spans="1:62" x14ac:dyDescent="0.3">
      <c r="A30" s="21"/>
      <c r="B30" s="22"/>
      <c r="C30" s="22"/>
      <c r="D30" s="21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72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72"/>
      <c r="BJ30" s="68"/>
    </row>
    <row r="31" spans="1:62" x14ac:dyDescent="0.3">
      <c r="A31" s="3" t="s">
        <v>106</v>
      </c>
      <c r="B31" s="7" t="s">
        <v>107</v>
      </c>
      <c r="C31" s="8">
        <v>260</v>
      </c>
      <c r="D31" s="21"/>
      <c r="E31" s="4">
        <f>$C$31*'SYCamp# &amp; Expenses'!E14</f>
        <v>20540</v>
      </c>
      <c r="F31" s="4">
        <f>$C$31*'SYCamp# &amp; Expenses'!F14</f>
        <v>0</v>
      </c>
      <c r="G31" s="4">
        <f>$C$31*'SYCamp# &amp; Expenses'!G14</f>
        <v>8840</v>
      </c>
      <c r="H31" s="4">
        <f>$C$31*'SYCamp# &amp; Expenses'!H14</f>
        <v>0</v>
      </c>
      <c r="I31" s="4">
        <f>$C$31*'SYCamp# &amp; Expenses'!I14</f>
        <v>0</v>
      </c>
      <c r="J31" s="4">
        <f>$C$31*'SYCamp# &amp; Expenses'!J14</f>
        <v>0</v>
      </c>
      <c r="K31" s="4">
        <f>$C$31*'SYCamp# &amp; Expenses'!K14</f>
        <v>10400</v>
      </c>
      <c r="L31" s="4">
        <f>$C$31*'SYCamp# &amp; Expenses'!L14</f>
        <v>0</v>
      </c>
      <c r="M31" s="4">
        <f>$C$31*'SYCamp# &amp; Expenses'!M14</f>
        <v>0</v>
      </c>
      <c r="N31" s="4">
        <f>$C$31*'SYCamp# &amp; Expenses'!N14</f>
        <v>0</v>
      </c>
      <c r="O31" s="4">
        <f>$C$31*'SYCamp# &amp; Expenses'!O14</f>
        <v>0</v>
      </c>
      <c r="P31" s="4">
        <f>$C$31*'SYCamp# &amp; Expenses'!P14</f>
        <v>0</v>
      </c>
      <c r="Q31" s="4">
        <f>$C$31*'SYCamp# &amp; Expenses'!Q14</f>
        <v>0</v>
      </c>
      <c r="R31" s="4">
        <f>$C$31*'SYCamp# &amp; Expenses'!R14</f>
        <v>2340</v>
      </c>
      <c r="S31" s="4">
        <f>$C$31*'SYCamp# &amp; Expenses'!S14</f>
        <v>0</v>
      </c>
      <c r="T31" s="4">
        <f>$C$31*'SYCamp# &amp; Expenses'!T14</f>
        <v>0</v>
      </c>
      <c r="U31" s="4">
        <f>$C$31*'SYCamp# &amp; Expenses'!U14</f>
        <v>0</v>
      </c>
      <c r="V31" s="4">
        <f>$C$31*'SYCamp# &amp; Expenses'!V14</f>
        <v>0</v>
      </c>
      <c r="W31" s="4">
        <f>$C$31*'SYCamp# &amp; Expenses'!W14</f>
        <v>0</v>
      </c>
      <c r="X31" s="4">
        <f>$C$31*'SYCamp# &amp; Expenses'!X14</f>
        <v>0</v>
      </c>
      <c r="Y31" s="4">
        <f>$C$31*'SYCamp# &amp; Expenses'!Y14</f>
        <v>10140</v>
      </c>
      <c r="Z31" s="4">
        <f>$C$31*'SYCamp# &amp; Expenses'!Z14</f>
        <v>0</v>
      </c>
      <c r="AA31" s="4">
        <f>$C$31*'SYCamp# &amp; Expenses'!AA14</f>
        <v>0</v>
      </c>
      <c r="AB31" s="4">
        <f>$C$31*'SYCamp# &amp; Expenses'!AB14</f>
        <v>0</v>
      </c>
      <c r="AC31" s="4">
        <f>$C$31*'SYCamp# &amp; Expenses'!AC14</f>
        <v>0</v>
      </c>
      <c r="AD31" s="4">
        <f>$C$31*'SYCamp# &amp; Expenses'!AD14</f>
        <v>0</v>
      </c>
      <c r="AE31" s="4">
        <f>$C$31*'SYCamp# &amp; Expenses'!AE14</f>
        <v>0</v>
      </c>
      <c r="AF31" s="4">
        <f>$C$31*'SYCamp# &amp; Expenses'!AF14</f>
        <v>2860</v>
      </c>
      <c r="AG31" s="4">
        <f>$C$31*'SYCamp# &amp; Expenses'!AG14</f>
        <v>0</v>
      </c>
      <c r="AH31" s="4">
        <f>$C$31*'SYCamp# &amp; Expenses'!AH14</f>
        <v>0</v>
      </c>
      <c r="AI31" s="4">
        <f>$C$31*'SYCamp# &amp; Expenses'!AI14</f>
        <v>0</v>
      </c>
      <c r="AJ31" s="71">
        <f>SUM(E31:AI31)</f>
        <v>55120</v>
      </c>
      <c r="AK31" s="4">
        <f>$C$31*'SYCamp# &amp; Expenses'!AK14</f>
        <v>0</v>
      </c>
      <c r="AL31" s="4">
        <f>$C$31*'SYCamp# &amp; Expenses'!AL14</f>
        <v>0</v>
      </c>
      <c r="AM31" s="4">
        <f>$C$31*'SYCamp# &amp; Expenses'!AM14</f>
        <v>0</v>
      </c>
      <c r="AN31" s="4">
        <f>$C$31*'SYCamp# &amp; Expenses'!AN14</f>
        <v>0</v>
      </c>
      <c r="AO31" s="4">
        <f>$C$31*'SYCamp# &amp; Expenses'!AO14</f>
        <v>0</v>
      </c>
      <c r="AP31" s="4">
        <f>$C$31*'SYCamp# &amp; Expenses'!AP14</f>
        <v>0</v>
      </c>
      <c r="AQ31" s="4">
        <f>$C$31*'SYCamp# &amp; Expenses'!AQ14</f>
        <v>0</v>
      </c>
      <c r="AR31" s="4">
        <f>$C$31*'SYCamp# &amp; Expenses'!AR14</f>
        <v>0</v>
      </c>
      <c r="AS31" s="4">
        <f>$C$31*'SYCamp# &amp; Expenses'!AS14</f>
        <v>0</v>
      </c>
      <c r="AT31" s="4">
        <f>$C$31*'SYCamp# &amp; Expenses'!AT14</f>
        <v>0</v>
      </c>
      <c r="AU31" s="4">
        <f>$C$31*'SYCamp# &amp; Expenses'!AU14</f>
        <v>0</v>
      </c>
      <c r="AV31" s="4">
        <f>$C$31*'SYCamp# &amp; Expenses'!AV14</f>
        <v>0</v>
      </c>
      <c r="AW31" s="4">
        <f>$C$31*'SYCamp# &amp; Expenses'!AW14</f>
        <v>0</v>
      </c>
      <c r="AX31" s="4">
        <f>$C$31*'SYCamp# &amp; Expenses'!AX14</f>
        <v>0</v>
      </c>
      <c r="AY31" s="4">
        <f>$C$31*'SYCamp# &amp; Expenses'!AY14</f>
        <v>0</v>
      </c>
      <c r="AZ31" s="4">
        <f>$C$31*'SYCamp# &amp; Expenses'!AZ14</f>
        <v>0</v>
      </c>
      <c r="BA31" s="4">
        <f>$C$31*'SYCamp# &amp; Expenses'!BA14</f>
        <v>0</v>
      </c>
      <c r="BB31" s="4">
        <f>$C$31*'SYCamp# &amp; Expenses'!BB14</f>
        <v>0</v>
      </c>
      <c r="BC31" s="4">
        <f>$C$31*'SYCamp# &amp; Expenses'!BC14</f>
        <v>0</v>
      </c>
      <c r="BD31" s="4">
        <f>$C$31*'SYCamp# &amp; Expenses'!BD14</f>
        <v>0</v>
      </c>
      <c r="BE31" s="4">
        <f>$C$31*'SYCamp# &amp; Expenses'!BE14</f>
        <v>0</v>
      </c>
      <c r="BF31" s="4">
        <f>$C$31*'SYCamp# &amp; Expenses'!BF14</f>
        <v>0</v>
      </c>
      <c r="BG31" s="4">
        <f>$C$31*'SYCamp# &amp; Expenses'!BG14</f>
        <v>0</v>
      </c>
      <c r="BH31" s="4">
        <f>$C$31*'SYCamp# &amp; Expenses'!BH14</f>
        <v>0</v>
      </c>
      <c r="BI31" s="71">
        <f>SUM(AK31:BH31)</f>
        <v>0</v>
      </c>
      <c r="BJ31" s="68">
        <f>BI31+AJ31</f>
        <v>55120</v>
      </c>
    </row>
    <row r="32" spans="1:62" x14ac:dyDescent="0.3">
      <c r="A32" s="3" t="s">
        <v>108</v>
      </c>
      <c r="B32" s="7" t="s">
        <v>109</v>
      </c>
      <c r="C32" s="8">
        <v>40</v>
      </c>
      <c r="D32" s="9" t="s">
        <v>0</v>
      </c>
      <c r="E32" s="10">
        <f>'SYCamp# &amp; Expenses'!E16*$C$32</f>
        <v>3160</v>
      </c>
      <c r="F32" s="10">
        <f>'SYCamp# &amp; Expenses'!F16*$C$32</f>
        <v>3160</v>
      </c>
      <c r="G32" s="10">
        <f>'SYCamp# &amp; Expenses'!G16*$C$32</f>
        <v>4520</v>
      </c>
      <c r="H32" s="10">
        <f>'SYCamp# &amp; Expenses'!H16*$C$32</f>
        <v>4520</v>
      </c>
      <c r="I32" s="10">
        <f>'SYCamp# &amp; Expenses'!I16*$C$32</f>
        <v>4520</v>
      </c>
      <c r="J32" s="10">
        <f>'SYCamp# &amp; Expenses'!J16*$C$32</f>
        <v>4520</v>
      </c>
      <c r="K32" s="10">
        <f>'SYCamp# &amp; Expenses'!K16*$C$32</f>
        <v>6120</v>
      </c>
      <c r="L32" s="10">
        <f>'SYCamp# &amp; Expenses'!L16*$C$32</f>
        <v>6120</v>
      </c>
      <c r="M32" s="10">
        <f>'SYCamp# &amp; Expenses'!M16*$C$32</f>
        <v>6120</v>
      </c>
      <c r="N32" s="10">
        <f>'SYCamp# &amp; Expenses'!N16*$C$32</f>
        <v>6120</v>
      </c>
      <c r="O32" s="10">
        <f>'SYCamp# &amp; Expenses'!O16*$C$32</f>
        <v>6120</v>
      </c>
      <c r="P32" s="10">
        <f>'SYCamp# &amp; Expenses'!P16*$C$32</f>
        <v>5840</v>
      </c>
      <c r="Q32" s="10">
        <f>'SYCamp# &amp; Expenses'!Q16*$C$32</f>
        <v>5840</v>
      </c>
      <c r="R32" s="10">
        <f>'SYCamp# &amp; Expenses'!R16*$C$32</f>
        <v>6200</v>
      </c>
      <c r="S32" s="10">
        <f>'SYCamp# &amp; Expenses'!S16*$C$32</f>
        <v>6200</v>
      </c>
      <c r="T32" s="10">
        <f>'SYCamp# &amp; Expenses'!T16*$C$32</f>
        <v>6200</v>
      </c>
      <c r="U32" s="10">
        <f>'SYCamp# &amp; Expenses'!U16*$C$32</f>
        <v>6200</v>
      </c>
      <c r="V32" s="10">
        <f>'SYCamp# &amp; Expenses'!V16*$C$32</f>
        <v>6200</v>
      </c>
      <c r="W32" s="10">
        <f>'SYCamp# &amp; Expenses'!W16*$C$32</f>
        <v>6200</v>
      </c>
      <c r="X32" s="10">
        <f>'SYCamp# &amp; Expenses'!X16*$C$32</f>
        <v>6200</v>
      </c>
      <c r="Y32" s="10">
        <f>'SYCamp# &amp; Expenses'!Y16*$C$32</f>
        <v>5960</v>
      </c>
      <c r="Z32" s="10">
        <f>'SYCamp# &amp; Expenses'!Z16*$C$32</f>
        <v>5960</v>
      </c>
      <c r="AA32" s="10">
        <f>'SYCamp# &amp; Expenses'!AA16*$C$32</f>
        <v>5960</v>
      </c>
      <c r="AB32" s="10">
        <f>'SYCamp# &amp; Expenses'!AB16*$C$32</f>
        <v>5960</v>
      </c>
      <c r="AC32" s="10">
        <f>'SYCamp# &amp; Expenses'!AC16*$C$32</f>
        <v>5960</v>
      </c>
      <c r="AD32" s="10">
        <f>'SYCamp# &amp; Expenses'!AD16*$C$32</f>
        <v>5960</v>
      </c>
      <c r="AE32" s="10">
        <f>'SYCamp# &amp; Expenses'!AE16*$C$32</f>
        <v>5960</v>
      </c>
      <c r="AF32" s="10">
        <f>'SYCamp# &amp; Expenses'!AF16*$C$32</f>
        <v>6400</v>
      </c>
      <c r="AG32" s="10">
        <f>'SYCamp# &amp; Expenses'!AG16*$C$32</f>
        <v>6400</v>
      </c>
      <c r="AH32" s="10">
        <f>'SYCamp# &amp; Expenses'!AH16*$C$32</f>
        <v>6400</v>
      </c>
      <c r="AI32" s="10">
        <f>'SYCamp# &amp; Expenses'!AI16*$C$32</f>
        <v>5040</v>
      </c>
      <c r="AJ32" s="71">
        <f>SUM(E32:AI32)</f>
        <v>176040</v>
      </c>
      <c r="AK32" s="10">
        <f>'SYCamp# &amp; Expenses'!AK16*$C$32</f>
        <v>5040</v>
      </c>
      <c r="AL32" s="10">
        <f>'SYCamp# &amp; Expenses'!AL16*$C$32</f>
        <v>5040</v>
      </c>
      <c r="AM32" s="10">
        <f>'SYCamp# &amp; Expenses'!AM16*$C$32</f>
        <v>5040</v>
      </c>
      <c r="AN32" s="10">
        <f>'SYCamp# &amp; Expenses'!AN16*$C$32</f>
        <v>5040</v>
      </c>
      <c r="AO32" s="10">
        <f>'SYCamp# &amp; Expenses'!AO16*$C$32</f>
        <v>5040</v>
      </c>
      <c r="AP32" s="10">
        <f>'SYCamp# &amp; Expenses'!AP16*$C$32</f>
        <v>5040</v>
      </c>
      <c r="AQ32" s="10">
        <f>'SYCamp# &amp; Expenses'!AQ16*$C$32</f>
        <v>5040</v>
      </c>
      <c r="AR32" s="10">
        <f>'SYCamp# &amp; Expenses'!AR16*$C$32</f>
        <v>5040</v>
      </c>
      <c r="AS32" s="10">
        <f>'SYCamp# &amp; Expenses'!AS16*$C$32</f>
        <v>5040</v>
      </c>
      <c r="AT32" s="10">
        <f>'SYCamp# &amp; Expenses'!AT16*$C$32</f>
        <v>5040</v>
      </c>
      <c r="AU32" s="10">
        <f>'SYCamp# &amp; Expenses'!AU16*$C$32</f>
        <v>5040</v>
      </c>
      <c r="AV32" s="10">
        <f>'SYCamp# &amp; Expenses'!AV16*$C$32</f>
        <v>5040</v>
      </c>
      <c r="AW32" s="10">
        <f>'SYCamp# &amp; Expenses'!AW16*$C$32</f>
        <v>5040</v>
      </c>
      <c r="AX32" s="10">
        <f>'SYCamp# &amp; Expenses'!AX16*$C$32</f>
        <v>5040</v>
      </c>
      <c r="AY32" s="10">
        <f>'SYCamp# &amp; Expenses'!AY16*$C$32</f>
        <v>5040</v>
      </c>
      <c r="AZ32" s="10">
        <f>'SYCamp# &amp; Expenses'!AZ16*$C$32</f>
        <v>5040</v>
      </c>
      <c r="BA32" s="10">
        <f>'SYCamp# &amp; Expenses'!BA16*$C$32</f>
        <v>5040</v>
      </c>
      <c r="BB32" s="10">
        <f>'SYCamp# &amp; Expenses'!BB16*$C$32</f>
        <v>5040</v>
      </c>
      <c r="BC32" s="10">
        <f>'SYCamp# &amp; Expenses'!BC16*$C$32</f>
        <v>5040</v>
      </c>
      <c r="BD32" s="10">
        <f>'SYCamp# &amp; Expenses'!BD16*$C$32</f>
        <v>5040</v>
      </c>
      <c r="BE32" s="10">
        <f>'SYCamp# &amp; Expenses'!BE16*$C$32</f>
        <v>5040</v>
      </c>
      <c r="BF32" s="10">
        <f>'SYCamp# &amp; Expenses'!BF16*$C$32</f>
        <v>5040</v>
      </c>
      <c r="BG32" s="10">
        <f>'SYCamp# &amp; Expenses'!BG16*$C$32</f>
        <v>5040</v>
      </c>
      <c r="BH32" s="10">
        <f>'SYCamp# &amp; Expenses'!BH16*$C$32</f>
        <v>5040</v>
      </c>
      <c r="BI32" s="71">
        <f>SUM(AK32:BH32)</f>
        <v>120960</v>
      </c>
      <c r="BJ32" s="68">
        <f>BI32+AJ32</f>
        <v>297000</v>
      </c>
    </row>
    <row r="33" spans="1:62" x14ac:dyDescent="0.3">
      <c r="A33" s="21"/>
      <c r="B33" s="22"/>
      <c r="C33" s="22"/>
      <c r="D33" s="21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72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72"/>
      <c r="BJ33" s="68" t="s">
        <v>0</v>
      </c>
    </row>
    <row r="34" spans="1:62" x14ac:dyDescent="0.3">
      <c r="A34" s="21" t="str">
        <f>"Total "&amp;A29</f>
        <v>Total Homestay Fees  - 450000</v>
      </c>
      <c r="B34" s="22"/>
      <c r="C34" s="22"/>
      <c r="D34" s="21"/>
      <c r="E34" s="27">
        <f t="shared" ref="E34:AI34" si="11">SUM(E31:E33)</f>
        <v>23700</v>
      </c>
      <c r="F34" s="27">
        <f t="shared" si="11"/>
        <v>3160</v>
      </c>
      <c r="G34" s="27">
        <f t="shared" si="11"/>
        <v>13360</v>
      </c>
      <c r="H34" s="27">
        <f t="shared" si="11"/>
        <v>4520</v>
      </c>
      <c r="I34" s="27">
        <f t="shared" si="11"/>
        <v>4520</v>
      </c>
      <c r="J34" s="27">
        <f t="shared" si="11"/>
        <v>4520</v>
      </c>
      <c r="K34" s="27">
        <f t="shared" si="11"/>
        <v>16520</v>
      </c>
      <c r="L34" s="27">
        <f t="shared" si="11"/>
        <v>6120</v>
      </c>
      <c r="M34" s="27">
        <f t="shared" si="11"/>
        <v>6120</v>
      </c>
      <c r="N34" s="27">
        <f t="shared" si="11"/>
        <v>6120</v>
      </c>
      <c r="O34" s="27">
        <f t="shared" si="11"/>
        <v>6120</v>
      </c>
      <c r="P34" s="27">
        <f t="shared" si="11"/>
        <v>5840</v>
      </c>
      <c r="Q34" s="27">
        <f t="shared" si="11"/>
        <v>5840</v>
      </c>
      <c r="R34" s="27">
        <f t="shared" si="11"/>
        <v>8540</v>
      </c>
      <c r="S34" s="27">
        <f t="shared" si="11"/>
        <v>6200</v>
      </c>
      <c r="T34" s="27">
        <f t="shared" si="11"/>
        <v>6200</v>
      </c>
      <c r="U34" s="27">
        <f t="shared" si="11"/>
        <v>6200</v>
      </c>
      <c r="V34" s="27">
        <f t="shared" si="11"/>
        <v>6200</v>
      </c>
      <c r="W34" s="27">
        <f t="shared" si="11"/>
        <v>6200</v>
      </c>
      <c r="X34" s="27">
        <f t="shared" si="11"/>
        <v>6200</v>
      </c>
      <c r="Y34" s="27">
        <f t="shared" si="11"/>
        <v>16100</v>
      </c>
      <c r="Z34" s="27">
        <f t="shared" si="11"/>
        <v>5960</v>
      </c>
      <c r="AA34" s="27">
        <f t="shared" si="11"/>
        <v>5960</v>
      </c>
      <c r="AB34" s="27">
        <f t="shared" si="11"/>
        <v>5960</v>
      </c>
      <c r="AC34" s="27">
        <f t="shared" si="11"/>
        <v>5960</v>
      </c>
      <c r="AD34" s="27">
        <f t="shared" si="11"/>
        <v>5960</v>
      </c>
      <c r="AE34" s="27">
        <f t="shared" si="11"/>
        <v>5960</v>
      </c>
      <c r="AF34" s="27">
        <f t="shared" si="11"/>
        <v>9260</v>
      </c>
      <c r="AG34" s="27">
        <f t="shared" si="11"/>
        <v>6400</v>
      </c>
      <c r="AH34" s="27">
        <f t="shared" si="11"/>
        <v>6400</v>
      </c>
      <c r="AI34" s="27">
        <f t="shared" si="11"/>
        <v>5040</v>
      </c>
      <c r="AJ34" s="73">
        <f>SUM(E34:AI34)</f>
        <v>231160</v>
      </c>
      <c r="AK34" s="27">
        <f t="shared" ref="AK34:BH34" si="12">SUM(AK31:AK33)</f>
        <v>5040</v>
      </c>
      <c r="AL34" s="27">
        <f t="shared" si="12"/>
        <v>5040</v>
      </c>
      <c r="AM34" s="27">
        <f t="shared" si="12"/>
        <v>5040</v>
      </c>
      <c r="AN34" s="27">
        <f t="shared" si="12"/>
        <v>5040</v>
      </c>
      <c r="AO34" s="27">
        <f t="shared" si="12"/>
        <v>5040</v>
      </c>
      <c r="AP34" s="27">
        <f t="shared" si="12"/>
        <v>5040</v>
      </c>
      <c r="AQ34" s="27">
        <f t="shared" si="12"/>
        <v>5040</v>
      </c>
      <c r="AR34" s="27">
        <f t="shared" si="12"/>
        <v>5040</v>
      </c>
      <c r="AS34" s="27">
        <f t="shared" si="12"/>
        <v>5040</v>
      </c>
      <c r="AT34" s="27">
        <f t="shared" si="12"/>
        <v>5040</v>
      </c>
      <c r="AU34" s="27">
        <f t="shared" si="12"/>
        <v>5040</v>
      </c>
      <c r="AV34" s="27">
        <f t="shared" si="12"/>
        <v>5040</v>
      </c>
      <c r="AW34" s="27">
        <f t="shared" si="12"/>
        <v>5040</v>
      </c>
      <c r="AX34" s="27">
        <f t="shared" si="12"/>
        <v>5040</v>
      </c>
      <c r="AY34" s="27">
        <f t="shared" si="12"/>
        <v>5040</v>
      </c>
      <c r="AZ34" s="27">
        <f t="shared" si="12"/>
        <v>5040</v>
      </c>
      <c r="BA34" s="27">
        <f t="shared" si="12"/>
        <v>5040</v>
      </c>
      <c r="BB34" s="27">
        <f t="shared" si="12"/>
        <v>5040</v>
      </c>
      <c r="BC34" s="27">
        <f t="shared" si="12"/>
        <v>5040</v>
      </c>
      <c r="BD34" s="27">
        <f t="shared" si="12"/>
        <v>5040</v>
      </c>
      <c r="BE34" s="27">
        <f t="shared" si="12"/>
        <v>5040</v>
      </c>
      <c r="BF34" s="27">
        <f t="shared" si="12"/>
        <v>5040</v>
      </c>
      <c r="BG34" s="27">
        <f t="shared" si="12"/>
        <v>5040</v>
      </c>
      <c r="BH34" s="27">
        <f t="shared" si="12"/>
        <v>5040</v>
      </c>
      <c r="BI34" s="73">
        <f>SUM(AK34:BH34)</f>
        <v>120960</v>
      </c>
      <c r="BJ34" s="69">
        <f>BI34+AJ34</f>
        <v>352120</v>
      </c>
    </row>
    <row r="35" spans="1:62" x14ac:dyDescent="0.3">
      <c r="A35" s="21"/>
      <c r="B35" s="22"/>
      <c r="C35" s="22"/>
      <c r="D35" s="21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72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72"/>
      <c r="BJ35" s="68"/>
    </row>
    <row r="36" spans="1:62" x14ac:dyDescent="0.3">
      <c r="A36" s="21" t="s">
        <v>589</v>
      </c>
      <c r="B36" s="22"/>
      <c r="C36" s="22"/>
      <c r="D36" s="21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72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72"/>
      <c r="BJ36" s="68"/>
    </row>
    <row r="37" spans="1:62" x14ac:dyDescent="0.3">
      <c r="A37" s="21"/>
      <c r="B37" s="22"/>
      <c r="C37" s="22"/>
      <c r="D37" s="21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72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72"/>
      <c r="BJ37" s="68"/>
    </row>
    <row r="38" spans="1:62" x14ac:dyDescent="0.3">
      <c r="A38" s="3" t="s">
        <v>590</v>
      </c>
      <c r="B38" s="7" t="s">
        <v>107</v>
      </c>
      <c r="C38" s="8">
        <v>50</v>
      </c>
      <c r="D38" s="21"/>
      <c r="E38" s="4">
        <f>$C$38*'SYCamp# &amp; Expenses'!E26</f>
        <v>2950</v>
      </c>
      <c r="F38" s="4">
        <f>$C$38*'SYCamp# &amp; Expenses'!F26</f>
        <v>0</v>
      </c>
      <c r="G38" s="4">
        <f>$C$38*'SYCamp# &amp; Expenses'!G26</f>
        <v>0</v>
      </c>
      <c r="H38" s="4">
        <f>$C$38*'SYCamp# &amp; Expenses'!H26</f>
        <v>0</v>
      </c>
      <c r="I38" s="4">
        <f>$C$38*'SYCamp# &amp; Expenses'!I26</f>
        <v>0</v>
      </c>
      <c r="J38" s="4">
        <f>$C$38*'SYCamp# &amp; Expenses'!J26</f>
        <v>0</v>
      </c>
      <c r="K38" s="4">
        <f>$C$38*'SYCamp# &amp; Expenses'!K26</f>
        <v>0</v>
      </c>
      <c r="L38" s="4">
        <f>$C$38*'SYCamp# &amp; Expenses'!L26</f>
        <v>0</v>
      </c>
      <c r="M38" s="4">
        <f>$C$38*'SYCamp# &amp; Expenses'!M26</f>
        <v>0</v>
      </c>
      <c r="N38" s="4">
        <f>$C$38*'SYCamp# &amp; Expenses'!N26</f>
        <v>0</v>
      </c>
      <c r="O38" s="4">
        <f>$C$38*'SYCamp# &amp; Expenses'!O26</f>
        <v>0</v>
      </c>
      <c r="P38" s="4">
        <f>$C$38*'SYCamp# &amp; Expenses'!P26</f>
        <v>0</v>
      </c>
      <c r="Q38" s="4">
        <f>$C$38*'SYCamp# &amp; Expenses'!Q26</f>
        <v>0</v>
      </c>
      <c r="R38" s="4">
        <f>$C$38*'SYCamp# &amp; Expenses'!R26</f>
        <v>300</v>
      </c>
      <c r="S38" s="4">
        <f>$C$38*'SYCamp# &amp; Expenses'!S26</f>
        <v>0</v>
      </c>
      <c r="T38" s="4">
        <f>$C$38*'SYCamp# &amp; Expenses'!T26</f>
        <v>0</v>
      </c>
      <c r="U38" s="4">
        <f>$C$38*'SYCamp# &amp; Expenses'!U26</f>
        <v>0</v>
      </c>
      <c r="V38" s="4">
        <f>$C$38*'SYCamp# &amp; Expenses'!V26</f>
        <v>0</v>
      </c>
      <c r="W38" s="4">
        <f>$C$38*'SYCamp# &amp; Expenses'!W26</f>
        <v>0</v>
      </c>
      <c r="X38" s="4">
        <f>$C$38*'SYCamp# &amp; Expenses'!X26</f>
        <v>0</v>
      </c>
      <c r="Y38" s="4">
        <f>$C$38*'SYCamp# &amp; Expenses'!Y26</f>
        <v>150</v>
      </c>
      <c r="Z38" s="4">
        <f>$C$38*'SYCamp# &amp; Expenses'!Z26</f>
        <v>0</v>
      </c>
      <c r="AA38" s="4">
        <f>$C$38*'SYCamp# &amp; Expenses'!AA26</f>
        <v>0</v>
      </c>
      <c r="AB38" s="4">
        <f>$C$38*'SYCamp# &amp; Expenses'!AB26</f>
        <v>0</v>
      </c>
      <c r="AC38" s="4">
        <f>$C$38*'SYCamp# &amp; Expenses'!AC26</f>
        <v>0</v>
      </c>
      <c r="AD38" s="4">
        <f>$C$38*'SYCamp# &amp; Expenses'!AD26</f>
        <v>0</v>
      </c>
      <c r="AE38" s="4">
        <f>$C$38*'SYCamp# &amp; Expenses'!AE26</f>
        <v>0</v>
      </c>
      <c r="AF38" s="4">
        <f>$C$38*'SYCamp# &amp; Expenses'!AF26</f>
        <v>0</v>
      </c>
      <c r="AG38" s="4">
        <f>$C$38*'SYCamp# &amp; Expenses'!AG26</f>
        <v>0</v>
      </c>
      <c r="AH38" s="4">
        <f>$C$38*'SYCamp# &amp; Expenses'!AH26</f>
        <v>0</v>
      </c>
      <c r="AI38" s="4">
        <f>$C$38*'SYCamp# &amp; Expenses'!AI26</f>
        <v>0</v>
      </c>
      <c r="AJ38" s="71">
        <f>SUM(E38:AI38)</f>
        <v>3400</v>
      </c>
      <c r="AK38" s="4">
        <f>$C$38*'SYCamp# &amp; Expenses'!AK26</f>
        <v>0</v>
      </c>
      <c r="AL38" s="4">
        <f>$C$38*'SYCamp# &amp; Expenses'!AL26</f>
        <v>50</v>
      </c>
      <c r="AM38" s="4">
        <f>$C$38*'SYCamp# &amp; Expenses'!AM26</f>
        <v>100</v>
      </c>
      <c r="AN38" s="4">
        <f>$C$38*'SYCamp# &amp; Expenses'!AN26</f>
        <v>150</v>
      </c>
      <c r="AO38" s="4">
        <f>$C$38*'SYCamp# &amp; Expenses'!AO26</f>
        <v>200</v>
      </c>
      <c r="AP38" s="4">
        <f>$C$38*'SYCamp# &amp; Expenses'!AP26</f>
        <v>250</v>
      </c>
      <c r="AQ38" s="4">
        <f>$C$38*'SYCamp# &amp; Expenses'!AQ26</f>
        <v>300</v>
      </c>
      <c r="AR38" s="4">
        <f>$C$38*'SYCamp# &amp; Expenses'!AR26</f>
        <v>350</v>
      </c>
      <c r="AS38" s="4">
        <f>$C$38*'SYCamp# &amp; Expenses'!AS26</f>
        <v>400</v>
      </c>
      <c r="AT38" s="4">
        <f>$C$38*'SYCamp# &amp; Expenses'!AT26</f>
        <v>450</v>
      </c>
      <c r="AU38" s="4">
        <f>$C$38*'SYCamp# &amp; Expenses'!AU26</f>
        <v>500</v>
      </c>
      <c r="AV38" s="4">
        <f>$C$38*'SYCamp# &amp; Expenses'!AV26</f>
        <v>550</v>
      </c>
      <c r="AW38" s="4">
        <f>$C$38*'SYCamp# &amp; Expenses'!AW26</f>
        <v>600</v>
      </c>
      <c r="AX38" s="4">
        <f>$C$38*'SYCamp# &amp; Expenses'!AX26</f>
        <v>650</v>
      </c>
      <c r="AY38" s="4">
        <f>$C$38*'SYCamp# &amp; Expenses'!AY26</f>
        <v>700</v>
      </c>
      <c r="AZ38" s="4">
        <f>$C$38*'SYCamp# &amp; Expenses'!AZ26</f>
        <v>750</v>
      </c>
      <c r="BA38" s="4">
        <f>$C$38*'SYCamp# &amp; Expenses'!BA26</f>
        <v>800</v>
      </c>
      <c r="BB38" s="4">
        <f>$C$38*'SYCamp# &amp; Expenses'!BB26</f>
        <v>850</v>
      </c>
      <c r="BC38" s="4">
        <f>$C$38*'SYCamp# &amp; Expenses'!BC26</f>
        <v>900</v>
      </c>
      <c r="BD38" s="4">
        <f>$C$38*'SYCamp# &amp; Expenses'!BD26</f>
        <v>950</v>
      </c>
      <c r="BE38" s="4">
        <f>$C$38*'SYCamp# &amp; Expenses'!BE26</f>
        <v>1000</v>
      </c>
      <c r="BF38" s="4">
        <f>$C$38*'SYCamp# &amp; Expenses'!BF26</f>
        <v>1050</v>
      </c>
      <c r="BG38" s="4">
        <f>$C$38*'SYCamp# &amp; Expenses'!BG26</f>
        <v>1100</v>
      </c>
      <c r="BH38" s="4">
        <f>$C$38*'SYCamp# &amp; Expenses'!BH26</f>
        <v>1150</v>
      </c>
      <c r="BI38" s="71">
        <f>SUM(AK38:BH38)</f>
        <v>13800</v>
      </c>
      <c r="BJ38" s="68">
        <f>BI45+AJ45</f>
        <v>15900</v>
      </c>
    </row>
    <row r="39" spans="1:62" x14ac:dyDescent="0.3">
      <c r="A39" s="3" t="s">
        <v>591</v>
      </c>
      <c r="B39" s="7" t="s">
        <v>109</v>
      </c>
      <c r="C39" s="8">
        <v>65</v>
      </c>
      <c r="D39" s="9" t="s">
        <v>0</v>
      </c>
      <c r="E39" s="10">
        <f>'SYCamp# &amp; Expenses'!E28*$C$39</f>
        <v>3835</v>
      </c>
      <c r="F39" s="10">
        <f>'SYCamp# &amp; Expenses'!F28*$C$39</f>
        <v>3835</v>
      </c>
      <c r="G39" s="10">
        <f ca="1">'SYCamp# &amp; Expenses'!G28*$C$39</f>
        <v>3835</v>
      </c>
      <c r="H39" s="10">
        <f ca="1">'SYCamp# &amp; Expenses'!H28*$C$39</f>
        <v>3835</v>
      </c>
      <c r="I39" s="10">
        <f ca="1">'SYCamp# &amp; Expenses'!I28*$C$39</f>
        <v>3835</v>
      </c>
      <c r="J39" s="10">
        <f ca="1">'SYCamp# &amp; Expenses'!J28*$C$39</f>
        <v>3835</v>
      </c>
      <c r="K39" s="10">
        <f ca="1">'SYCamp# &amp; Expenses'!K28*$C$39</f>
        <v>3835</v>
      </c>
      <c r="L39" s="10">
        <f ca="1">'SYCamp# &amp; Expenses'!L28*$C$39</f>
        <v>3835</v>
      </c>
      <c r="M39" s="10">
        <f ca="1">'SYCamp# &amp; Expenses'!M28*$C$39</f>
        <v>3835</v>
      </c>
      <c r="N39" s="10">
        <f ca="1">'SYCamp# &amp; Expenses'!N28*$C$39</f>
        <v>3835</v>
      </c>
      <c r="O39" s="10">
        <f ca="1">'SYCamp# &amp; Expenses'!O28*$C$39</f>
        <v>3835</v>
      </c>
      <c r="P39" s="10">
        <f ca="1">'SYCamp# &amp; Expenses'!P28*$C$39</f>
        <v>3835</v>
      </c>
      <c r="Q39" s="10">
        <f ca="1">'SYCamp# &amp; Expenses'!Q28*$C$39</f>
        <v>3835</v>
      </c>
      <c r="R39" s="10">
        <f ca="1">'SYCamp# &amp; Expenses'!R28*$C$39</f>
        <v>4225</v>
      </c>
      <c r="S39" s="10">
        <f ca="1">'SYCamp# &amp; Expenses'!S28*$C$39</f>
        <v>4225</v>
      </c>
      <c r="T39" s="10">
        <f ca="1">'SYCamp# &amp; Expenses'!T28*$C$39</f>
        <v>4225</v>
      </c>
      <c r="U39" s="10">
        <f ca="1">'SYCamp# &amp; Expenses'!U28*$C$39</f>
        <v>4225</v>
      </c>
      <c r="V39" s="10">
        <f ca="1">'SYCamp# &amp; Expenses'!V28*$C$39</f>
        <v>390</v>
      </c>
      <c r="W39" s="10">
        <f ca="1">'SYCamp# &amp; Expenses'!W28*$C$39</f>
        <v>390</v>
      </c>
      <c r="X39" s="10">
        <f ca="1">'SYCamp# &amp; Expenses'!X28*$C$39</f>
        <v>390</v>
      </c>
      <c r="Y39" s="10">
        <f ca="1">'SYCamp# &amp; Expenses'!Y28*$C$39</f>
        <v>195</v>
      </c>
      <c r="Z39" s="10">
        <f ca="1">'SYCamp# &amp; Expenses'!Z28*$C$39</f>
        <v>195</v>
      </c>
      <c r="AA39" s="10">
        <f ca="1">'SYCamp# &amp; Expenses'!AA28*$C$39</f>
        <v>195</v>
      </c>
      <c r="AB39" s="10">
        <f ca="1">'SYCamp# &amp; Expenses'!AB28*$C$39</f>
        <v>195</v>
      </c>
      <c r="AC39" s="10">
        <f ca="1">'SYCamp# &amp; Expenses'!AC28*$C$39</f>
        <v>195</v>
      </c>
      <c r="AD39" s="10">
        <f ca="1">'SYCamp# &amp; Expenses'!AD28*$C$39</f>
        <v>195</v>
      </c>
      <c r="AE39" s="10">
        <f ca="1">'SYCamp# &amp; Expenses'!AE28*$C$39</f>
        <v>195</v>
      </c>
      <c r="AF39" s="10">
        <f ca="1">'SYCamp# &amp; Expenses'!AF28*$C$39</f>
        <v>195</v>
      </c>
      <c r="AG39" s="10">
        <f ca="1">'SYCamp# &amp; Expenses'!AG28*$C$39</f>
        <v>195</v>
      </c>
      <c r="AH39" s="10">
        <f ca="1">'SYCamp# &amp; Expenses'!AH28*$C$39</f>
        <v>195</v>
      </c>
      <c r="AI39" s="10">
        <f ca="1">'SYCamp# &amp; Expenses'!AI28*$C$39</f>
        <v>195</v>
      </c>
      <c r="AJ39" s="71">
        <f ca="1">SUM(E39:AI39)</f>
        <v>70070</v>
      </c>
      <c r="AK39" s="10">
        <f ca="1">'SYCamp# &amp; Expenses'!AK28*$C$39</f>
        <v>195</v>
      </c>
      <c r="AL39" s="10">
        <f ca="1">'SYCamp# &amp; Expenses'!AL28*$C$39</f>
        <v>260</v>
      </c>
      <c r="AM39" s="10">
        <f ca="1">'SYCamp# &amp; Expenses'!AM28*$C$39</f>
        <v>390</v>
      </c>
      <c r="AN39" s="10">
        <f ca="1">'SYCamp# &amp; Expenses'!AN28*$C$39</f>
        <v>585</v>
      </c>
      <c r="AO39" s="10">
        <f ca="1">'SYCamp# &amp; Expenses'!AO28*$C$39</f>
        <v>845</v>
      </c>
      <c r="AP39" s="10">
        <f ca="1">'SYCamp# &amp; Expenses'!AP28*$C$39</f>
        <v>1170</v>
      </c>
      <c r="AQ39" s="10">
        <f ca="1">'SYCamp# &amp; Expenses'!AQ28*$C$39</f>
        <v>1560</v>
      </c>
      <c r="AR39" s="10">
        <f ca="1">'SYCamp# &amp; Expenses'!AR28*$C$39</f>
        <v>2015</v>
      </c>
      <c r="AS39" s="10">
        <f ca="1">'SYCamp# &amp; Expenses'!AS28*$C$39</f>
        <v>2535</v>
      </c>
      <c r="AT39" s="10">
        <f ca="1">'SYCamp# &amp; Expenses'!AT28*$C$39</f>
        <v>3120</v>
      </c>
      <c r="AU39" s="10">
        <f ca="1">'SYCamp# &amp; Expenses'!AU28*$C$39</f>
        <v>3770</v>
      </c>
      <c r="AV39" s="10">
        <f ca="1">'SYCamp# &amp; Expenses'!AV28*$C$39</f>
        <v>4485</v>
      </c>
      <c r="AW39" s="10">
        <f ca="1">'SYCamp# &amp; Expenses'!AW28*$C$39</f>
        <v>5265</v>
      </c>
      <c r="AX39" s="10">
        <f ca="1">'SYCamp# &amp; Expenses'!AX28*$C$39</f>
        <v>6110</v>
      </c>
      <c r="AY39" s="10">
        <f ca="1">'SYCamp# &amp; Expenses'!AY28*$C$39</f>
        <v>7020</v>
      </c>
      <c r="AZ39" s="10">
        <f ca="1">'SYCamp# &amp; Expenses'!AZ28*$C$39</f>
        <v>7995</v>
      </c>
      <c r="BA39" s="10">
        <f ca="1">'SYCamp# &amp; Expenses'!BA28*$C$39</f>
        <v>9035</v>
      </c>
      <c r="BB39" s="10">
        <f ca="1">'SYCamp# &amp; Expenses'!BB28*$C$39</f>
        <v>10140</v>
      </c>
      <c r="BC39" s="10">
        <f ca="1">'SYCamp# &amp; Expenses'!BC28*$C$39</f>
        <v>11310</v>
      </c>
      <c r="BD39" s="10">
        <f ca="1">'SYCamp# &amp; Expenses'!BD28*$C$39</f>
        <v>12545</v>
      </c>
      <c r="BE39" s="10">
        <f ca="1">'SYCamp# &amp; Expenses'!BE28*$C$39</f>
        <v>13845</v>
      </c>
      <c r="BF39" s="10">
        <f ca="1">'SYCamp# &amp; Expenses'!BF28*$C$39</f>
        <v>15210</v>
      </c>
      <c r="BG39" s="10">
        <f ca="1">'SYCamp# &amp; Expenses'!BG28*$C$39</f>
        <v>16640</v>
      </c>
      <c r="BH39" s="10">
        <f ca="1">'SYCamp# &amp; Expenses'!BH28*$C$39</f>
        <v>18135</v>
      </c>
      <c r="BI39" s="71">
        <f ca="1">SUM(AK39:BH39)</f>
        <v>154180</v>
      </c>
      <c r="BJ39" s="68" t="s">
        <v>0</v>
      </c>
    </row>
    <row r="40" spans="1:62" x14ac:dyDescent="0.3">
      <c r="A40" s="21"/>
      <c r="B40" s="22"/>
      <c r="C40" s="22"/>
      <c r="D40" s="21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72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72"/>
      <c r="BJ40" s="69">
        <f>BI47+AJ47</f>
        <v>15900</v>
      </c>
    </row>
    <row r="41" spans="1:62" x14ac:dyDescent="0.3">
      <c r="A41" s="21" t="str">
        <f>"Total "&amp;A36</f>
        <v xml:space="preserve">Total Hotel Fees  </v>
      </c>
      <c r="B41" s="22"/>
      <c r="C41" s="22"/>
      <c r="D41" s="21"/>
      <c r="E41" s="27">
        <f t="shared" ref="E41:AI41" si="13">SUM(E38:E40)</f>
        <v>6785</v>
      </c>
      <c r="F41" s="27">
        <f t="shared" si="13"/>
        <v>3835</v>
      </c>
      <c r="G41" s="27">
        <f t="shared" ca="1" si="13"/>
        <v>3835</v>
      </c>
      <c r="H41" s="27">
        <f t="shared" ca="1" si="13"/>
        <v>3835</v>
      </c>
      <c r="I41" s="27">
        <f t="shared" ca="1" si="13"/>
        <v>3835</v>
      </c>
      <c r="J41" s="27">
        <f t="shared" ca="1" si="13"/>
        <v>3835</v>
      </c>
      <c r="K41" s="27">
        <f t="shared" ca="1" si="13"/>
        <v>3835</v>
      </c>
      <c r="L41" s="27">
        <f t="shared" ca="1" si="13"/>
        <v>3835</v>
      </c>
      <c r="M41" s="27">
        <f t="shared" ca="1" si="13"/>
        <v>3835</v>
      </c>
      <c r="N41" s="27">
        <f t="shared" ca="1" si="13"/>
        <v>3835</v>
      </c>
      <c r="O41" s="27">
        <f t="shared" ca="1" si="13"/>
        <v>3835</v>
      </c>
      <c r="P41" s="27">
        <f t="shared" ca="1" si="13"/>
        <v>3835</v>
      </c>
      <c r="Q41" s="27">
        <f t="shared" ca="1" si="13"/>
        <v>3835</v>
      </c>
      <c r="R41" s="27">
        <f t="shared" ca="1" si="13"/>
        <v>4525</v>
      </c>
      <c r="S41" s="27">
        <f t="shared" ca="1" si="13"/>
        <v>4225</v>
      </c>
      <c r="T41" s="27">
        <f t="shared" ca="1" si="13"/>
        <v>4225</v>
      </c>
      <c r="U41" s="27">
        <f t="shared" ca="1" si="13"/>
        <v>4225</v>
      </c>
      <c r="V41" s="27">
        <f t="shared" ca="1" si="13"/>
        <v>390</v>
      </c>
      <c r="W41" s="27">
        <f t="shared" ca="1" si="13"/>
        <v>390</v>
      </c>
      <c r="X41" s="27">
        <f t="shared" ca="1" si="13"/>
        <v>390</v>
      </c>
      <c r="Y41" s="27">
        <f t="shared" ca="1" si="13"/>
        <v>345</v>
      </c>
      <c r="Z41" s="27">
        <f t="shared" ca="1" si="13"/>
        <v>195</v>
      </c>
      <c r="AA41" s="27">
        <f t="shared" ca="1" si="13"/>
        <v>195</v>
      </c>
      <c r="AB41" s="27">
        <f t="shared" ca="1" si="13"/>
        <v>195</v>
      </c>
      <c r="AC41" s="27">
        <f t="shared" ca="1" si="13"/>
        <v>195</v>
      </c>
      <c r="AD41" s="27">
        <f t="shared" ca="1" si="13"/>
        <v>195</v>
      </c>
      <c r="AE41" s="27">
        <f t="shared" ca="1" si="13"/>
        <v>195</v>
      </c>
      <c r="AF41" s="27">
        <f t="shared" ca="1" si="13"/>
        <v>195</v>
      </c>
      <c r="AG41" s="27">
        <f t="shared" ca="1" si="13"/>
        <v>195</v>
      </c>
      <c r="AH41" s="27">
        <f t="shared" ca="1" si="13"/>
        <v>195</v>
      </c>
      <c r="AI41" s="27">
        <f t="shared" ca="1" si="13"/>
        <v>195</v>
      </c>
      <c r="AJ41" s="73">
        <f ca="1">SUM(E41:AI41)</f>
        <v>73470</v>
      </c>
      <c r="AK41" s="27">
        <f t="shared" ref="AK41:BH41" ca="1" si="14">SUM(AK38:AK40)</f>
        <v>195</v>
      </c>
      <c r="AL41" s="27">
        <f t="shared" ca="1" si="14"/>
        <v>310</v>
      </c>
      <c r="AM41" s="27">
        <f t="shared" ca="1" si="14"/>
        <v>490</v>
      </c>
      <c r="AN41" s="27">
        <f t="shared" ca="1" si="14"/>
        <v>735</v>
      </c>
      <c r="AO41" s="27">
        <f t="shared" ca="1" si="14"/>
        <v>1045</v>
      </c>
      <c r="AP41" s="27">
        <f t="shared" ca="1" si="14"/>
        <v>1420</v>
      </c>
      <c r="AQ41" s="27">
        <f t="shared" ca="1" si="14"/>
        <v>1860</v>
      </c>
      <c r="AR41" s="27">
        <f t="shared" ca="1" si="14"/>
        <v>2365</v>
      </c>
      <c r="AS41" s="27">
        <f t="shared" ca="1" si="14"/>
        <v>2935</v>
      </c>
      <c r="AT41" s="27">
        <f t="shared" ca="1" si="14"/>
        <v>3570</v>
      </c>
      <c r="AU41" s="27">
        <f t="shared" ca="1" si="14"/>
        <v>4270</v>
      </c>
      <c r="AV41" s="27">
        <f t="shared" ca="1" si="14"/>
        <v>5035</v>
      </c>
      <c r="AW41" s="27">
        <f t="shared" ca="1" si="14"/>
        <v>5865</v>
      </c>
      <c r="AX41" s="27">
        <f t="shared" ca="1" si="14"/>
        <v>6760</v>
      </c>
      <c r="AY41" s="27">
        <f t="shared" ca="1" si="14"/>
        <v>7720</v>
      </c>
      <c r="AZ41" s="27">
        <f t="shared" ca="1" si="14"/>
        <v>8745</v>
      </c>
      <c r="BA41" s="27">
        <f t="shared" ca="1" si="14"/>
        <v>9835</v>
      </c>
      <c r="BB41" s="27">
        <f t="shared" ca="1" si="14"/>
        <v>10990</v>
      </c>
      <c r="BC41" s="27">
        <f t="shared" ca="1" si="14"/>
        <v>12210</v>
      </c>
      <c r="BD41" s="27">
        <f t="shared" ca="1" si="14"/>
        <v>13495</v>
      </c>
      <c r="BE41" s="27">
        <f t="shared" ca="1" si="14"/>
        <v>14845</v>
      </c>
      <c r="BF41" s="27">
        <f t="shared" ca="1" si="14"/>
        <v>16260</v>
      </c>
      <c r="BG41" s="27">
        <f t="shared" ca="1" si="14"/>
        <v>17740</v>
      </c>
      <c r="BH41" s="27">
        <f t="shared" ca="1" si="14"/>
        <v>19285</v>
      </c>
      <c r="BI41" s="73">
        <f ca="1">SUM(AK41:BH41)</f>
        <v>167980</v>
      </c>
      <c r="BJ41" s="68"/>
    </row>
    <row r="42" spans="1:62" x14ac:dyDescent="0.3">
      <c r="A42" s="21"/>
      <c r="B42" s="22"/>
      <c r="C42" s="22"/>
      <c r="D42" s="21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73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73"/>
      <c r="BJ42" s="68"/>
    </row>
    <row r="43" spans="1:62" x14ac:dyDescent="0.3">
      <c r="A43" s="21" t="s">
        <v>110</v>
      </c>
      <c r="B43" s="22"/>
      <c r="C43" s="22"/>
      <c r="D43" s="21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72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72"/>
      <c r="BJ43" s="68"/>
    </row>
    <row r="44" spans="1:62" x14ac:dyDescent="0.3">
      <c r="A44" s="21"/>
      <c r="B44" s="22"/>
      <c r="C44" s="22"/>
      <c r="D44" s="21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72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72"/>
      <c r="BJ44" s="68"/>
    </row>
    <row r="45" spans="1:62" x14ac:dyDescent="0.3">
      <c r="A45" s="98" t="s">
        <v>111</v>
      </c>
      <c r="B45" s="7">
        <v>75</v>
      </c>
      <c r="C45" s="8">
        <v>230</v>
      </c>
      <c r="D45" s="9"/>
      <c r="E45" s="10">
        <f>$B$45*'SYCamp# &amp; Expenses'!E14</f>
        <v>5925</v>
      </c>
      <c r="F45" s="10">
        <f>$B$45*'SYCamp# &amp; Expenses'!F14</f>
        <v>0</v>
      </c>
      <c r="G45" s="10">
        <f>$B$45*'SYCamp# &amp; Expenses'!G14</f>
        <v>2550</v>
      </c>
      <c r="H45" s="10">
        <f>$B$45*'SYCamp# &amp; Expenses'!H14</f>
        <v>0</v>
      </c>
      <c r="I45" s="10">
        <f>$B$45*'SYCamp# &amp; Expenses'!I14</f>
        <v>0</v>
      </c>
      <c r="J45" s="10">
        <f>$B$45*'SYCamp# &amp; Expenses'!J14</f>
        <v>0</v>
      </c>
      <c r="K45" s="10">
        <f>$B$45*'SYCamp# &amp; Expenses'!K14</f>
        <v>3000</v>
      </c>
      <c r="L45" s="10">
        <f>$B$45*'SYCamp# &amp; Expenses'!L14</f>
        <v>0</v>
      </c>
      <c r="M45" s="10">
        <f>$B$45*'SYCamp# &amp; Expenses'!M14</f>
        <v>0</v>
      </c>
      <c r="N45" s="10">
        <f>$B$45*'SYCamp# &amp; Expenses'!N14</f>
        <v>0</v>
      </c>
      <c r="O45" s="10">
        <f>$B$45*'SYCamp# &amp; Expenses'!O14</f>
        <v>0</v>
      </c>
      <c r="P45" s="10">
        <f>$B$45*'SYCamp# &amp; Expenses'!P14</f>
        <v>0</v>
      </c>
      <c r="Q45" s="10">
        <f>$B$45*'SYCamp# &amp; Expenses'!Q14</f>
        <v>0</v>
      </c>
      <c r="R45" s="10">
        <f>$B$45*'SYCamp# &amp; Expenses'!R14</f>
        <v>675</v>
      </c>
      <c r="S45" s="10">
        <f>$B$45*'SYCamp# &amp; Expenses'!S14</f>
        <v>0</v>
      </c>
      <c r="T45" s="10">
        <f>$B$45*'SYCamp# &amp; Expenses'!T14</f>
        <v>0</v>
      </c>
      <c r="U45" s="10">
        <f>$B$45*'SYCamp# &amp; Expenses'!U14</f>
        <v>0</v>
      </c>
      <c r="V45" s="10">
        <f>$B$45*'SYCamp# &amp; Expenses'!V14</f>
        <v>0</v>
      </c>
      <c r="W45" s="10">
        <f>$B$45*'SYCamp# &amp; Expenses'!W14</f>
        <v>0</v>
      </c>
      <c r="X45" s="10">
        <f>$B$45*'SYCamp# &amp; Expenses'!X14</f>
        <v>0</v>
      </c>
      <c r="Y45" s="10">
        <f>$B$45*'SYCamp# &amp; Expenses'!Y14</f>
        <v>2925</v>
      </c>
      <c r="Z45" s="10">
        <f>$B$45*'SYCamp# &amp; Expenses'!Z14</f>
        <v>0</v>
      </c>
      <c r="AA45" s="10">
        <f>$B$45*'SYCamp# &amp; Expenses'!AA14</f>
        <v>0</v>
      </c>
      <c r="AB45" s="10">
        <f>$B$45*'SYCamp# &amp; Expenses'!AB14</f>
        <v>0</v>
      </c>
      <c r="AC45" s="10">
        <f>$B$45*'SYCamp# &amp; Expenses'!AC14</f>
        <v>0</v>
      </c>
      <c r="AD45" s="10">
        <f>$B$45*'SYCamp# &amp; Expenses'!AD14</f>
        <v>0</v>
      </c>
      <c r="AE45" s="10">
        <f>$B$45*'SYCamp# &amp; Expenses'!AE14</f>
        <v>0</v>
      </c>
      <c r="AF45" s="10">
        <f>$B$45*'SYCamp# &amp; Expenses'!AF14</f>
        <v>825</v>
      </c>
      <c r="AG45" s="10">
        <f>$B$45*'SYCamp# &amp; Expenses'!AG14</f>
        <v>0</v>
      </c>
      <c r="AH45" s="10">
        <f>$B$45*'SYCamp# &amp; Expenses'!AH14</f>
        <v>0</v>
      </c>
      <c r="AI45" s="10">
        <f>$B$45*'SYCamp# &amp; Expenses'!AI14</f>
        <v>0</v>
      </c>
      <c r="AJ45" s="71">
        <f>SUM(E45:AI45)</f>
        <v>15900</v>
      </c>
      <c r="AK45" s="10">
        <f>$B$45*'SYCamp# &amp; Expenses'!AK14</f>
        <v>0</v>
      </c>
      <c r="AL45" s="10">
        <f>$B$45*'SYCamp# &amp; Expenses'!AL14</f>
        <v>0</v>
      </c>
      <c r="AM45" s="10">
        <f>$B$45*'SYCamp# &amp; Expenses'!AM14</f>
        <v>0</v>
      </c>
      <c r="AN45" s="10">
        <f>$B$45*'SYCamp# &amp; Expenses'!AN14</f>
        <v>0</v>
      </c>
      <c r="AO45" s="10">
        <f>$B$45*'SYCamp# &amp; Expenses'!AO14</f>
        <v>0</v>
      </c>
      <c r="AP45" s="10">
        <f>$B$45*'SYCamp# &amp; Expenses'!AP14</f>
        <v>0</v>
      </c>
      <c r="AQ45" s="10">
        <f>$B$45*'SYCamp# &amp; Expenses'!AQ14</f>
        <v>0</v>
      </c>
      <c r="AR45" s="10">
        <f>$B$45*'SYCamp# &amp; Expenses'!AR14</f>
        <v>0</v>
      </c>
      <c r="AS45" s="10">
        <f>$B$45*'SYCamp# &amp; Expenses'!AS14</f>
        <v>0</v>
      </c>
      <c r="AT45" s="10">
        <f>$B$45*'SYCamp# &amp; Expenses'!AT14</f>
        <v>0</v>
      </c>
      <c r="AU45" s="10">
        <f>$B$45*'SYCamp# &amp; Expenses'!AU14</f>
        <v>0</v>
      </c>
      <c r="AV45" s="10">
        <f>$B$45*'SYCamp# &amp; Expenses'!AV14</f>
        <v>0</v>
      </c>
      <c r="AW45" s="10">
        <f>$B$45*'SYCamp# &amp; Expenses'!AW14</f>
        <v>0</v>
      </c>
      <c r="AX45" s="10">
        <f>$B$45*'SYCamp# &amp; Expenses'!AX14</f>
        <v>0</v>
      </c>
      <c r="AY45" s="10">
        <f>$B$45*'SYCamp# &amp; Expenses'!AY14</f>
        <v>0</v>
      </c>
      <c r="AZ45" s="10">
        <f>$B$45*'SYCamp# &amp; Expenses'!AZ14</f>
        <v>0</v>
      </c>
      <c r="BA45" s="10">
        <f>$B$45*'SYCamp# &amp; Expenses'!BA14</f>
        <v>0</v>
      </c>
      <c r="BB45" s="10">
        <f>$B$45*'SYCamp# &amp; Expenses'!BB14</f>
        <v>0</v>
      </c>
      <c r="BC45" s="10">
        <f>$B$45*'SYCamp# &amp; Expenses'!BC14</f>
        <v>0</v>
      </c>
      <c r="BD45" s="10">
        <f>$B$45*'SYCamp# &amp; Expenses'!BD14</f>
        <v>0</v>
      </c>
      <c r="BE45" s="10">
        <f>$B$45*'SYCamp# &amp; Expenses'!BE14</f>
        <v>0</v>
      </c>
      <c r="BF45" s="10">
        <f>$B$45*'SYCamp# &amp; Expenses'!BF14</f>
        <v>0</v>
      </c>
      <c r="BG45" s="10">
        <f>$B$45*'SYCamp# &amp; Expenses'!BG14</f>
        <v>0</v>
      </c>
      <c r="BH45" s="10">
        <f>$B$45*'SYCamp# &amp; Expenses'!BH14</f>
        <v>0</v>
      </c>
      <c r="BI45" s="71">
        <f>SUM(AK45:BH45)</f>
        <v>0</v>
      </c>
      <c r="BJ45" s="68"/>
    </row>
    <row r="46" spans="1:62" x14ac:dyDescent="0.3">
      <c r="A46" s="98"/>
      <c r="B46" s="22"/>
      <c r="C46" s="22"/>
      <c r="D46" s="21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72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72"/>
      <c r="BJ46" s="68">
        <f>BI52+AJ52</f>
        <v>11925</v>
      </c>
    </row>
    <row r="47" spans="1:62" x14ac:dyDescent="0.3">
      <c r="A47" s="21" t="str">
        <f>"Total "&amp;A43</f>
        <v>Total Airport Transfer Fees - 452007</v>
      </c>
      <c r="B47" s="22"/>
      <c r="C47" s="22"/>
      <c r="D47" s="21"/>
      <c r="E47" s="27">
        <f t="shared" ref="E47:AI47" si="15">E45</f>
        <v>5925</v>
      </c>
      <c r="F47" s="27">
        <f t="shared" si="15"/>
        <v>0</v>
      </c>
      <c r="G47" s="27">
        <f t="shared" si="15"/>
        <v>2550</v>
      </c>
      <c r="H47" s="27">
        <f t="shared" si="15"/>
        <v>0</v>
      </c>
      <c r="I47" s="27">
        <f t="shared" si="15"/>
        <v>0</v>
      </c>
      <c r="J47" s="27">
        <f t="shared" si="15"/>
        <v>0</v>
      </c>
      <c r="K47" s="27">
        <f t="shared" si="15"/>
        <v>3000</v>
      </c>
      <c r="L47" s="27">
        <f t="shared" si="15"/>
        <v>0</v>
      </c>
      <c r="M47" s="27">
        <f t="shared" si="15"/>
        <v>0</v>
      </c>
      <c r="N47" s="27">
        <f t="shared" si="15"/>
        <v>0</v>
      </c>
      <c r="O47" s="27">
        <f t="shared" si="15"/>
        <v>0</v>
      </c>
      <c r="P47" s="27">
        <f t="shared" si="15"/>
        <v>0</v>
      </c>
      <c r="Q47" s="27">
        <f t="shared" si="15"/>
        <v>0</v>
      </c>
      <c r="R47" s="27">
        <f t="shared" si="15"/>
        <v>675</v>
      </c>
      <c r="S47" s="27">
        <f t="shared" si="15"/>
        <v>0</v>
      </c>
      <c r="T47" s="27">
        <f t="shared" si="15"/>
        <v>0</v>
      </c>
      <c r="U47" s="27">
        <f t="shared" si="15"/>
        <v>0</v>
      </c>
      <c r="V47" s="27">
        <f t="shared" si="15"/>
        <v>0</v>
      </c>
      <c r="W47" s="27">
        <f t="shared" si="15"/>
        <v>0</v>
      </c>
      <c r="X47" s="27">
        <f t="shared" si="15"/>
        <v>0</v>
      </c>
      <c r="Y47" s="27">
        <f t="shared" si="15"/>
        <v>2925</v>
      </c>
      <c r="Z47" s="27">
        <f t="shared" si="15"/>
        <v>0</v>
      </c>
      <c r="AA47" s="27">
        <f t="shared" si="15"/>
        <v>0</v>
      </c>
      <c r="AB47" s="27">
        <f t="shared" si="15"/>
        <v>0</v>
      </c>
      <c r="AC47" s="27">
        <f t="shared" si="15"/>
        <v>0</v>
      </c>
      <c r="AD47" s="27">
        <f t="shared" si="15"/>
        <v>0</v>
      </c>
      <c r="AE47" s="27">
        <f t="shared" si="15"/>
        <v>0</v>
      </c>
      <c r="AF47" s="27">
        <f t="shared" si="15"/>
        <v>825</v>
      </c>
      <c r="AG47" s="27">
        <f t="shared" si="15"/>
        <v>0</v>
      </c>
      <c r="AH47" s="27">
        <f t="shared" si="15"/>
        <v>0</v>
      </c>
      <c r="AI47" s="27">
        <f t="shared" si="15"/>
        <v>0</v>
      </c>
      <c r="AJ47" s="73">
        <f>SUM(E47:AI47)</f>
        <v>15900</v>
      </c>
      <c r="AK47" s="27">
        <f t="shared" ref="AK47:BH47" si="16">AK45</f>
        <v>0</v>
      </c>
      <c r="AL47" s="27">
        <f t="shared" si="16"/>
        <v>0</v>
      </c>
      <c r="AM47" s="27">
        <f t="shared" si="16"/>
        <v>0</v>
      </c>
      <c r="AN47" s="27">
        <f t="shared" si="16"/>
        <v>0</v>
      </c>
      <c r="AO47" s="27">
        <f t="shared" si="16"/>
        <v>0</v>
      </c>
      <c r="AP47" s="27">
        <f t="shared" si="16"/>
        <v>0</v>
      </c>
      <c r="AQ47" s="27">
        <f t="shared" si="16"/>
        <v>0</v>
      </c>
      <c r="AR47" s="27">
        <f t="shared" si="16"/>
        <v>0</v>
      </c>
      <c r="AS47" s="27">
        <f t="shared" si="16"/>
        <v>0</v>
      </c>
      <c r="AT47" s="27">
        <f t="shared" si="16"/>
        <v>0</v>
      </c>
      <c r="AU47" s="27">
        <f t="shared" si="16"/>
        <v>0</v>
      </c>
      <c r="AV47" s="27">
        <f t="shared" si="16"/>
        <v>0</v>
      </c>
      <c r="AW47" s="27">
        <f t="shared" si="16"/>
        <v>0</v>
      </c>
      <c r="AX47" s="27">
        <f t="shared" si="16"/>
        <v>0</v>
      </c>
      <c r="AY47" s="27">
        <f t="shared" si="16"/>
        <v>0</v>
      </c>
      <c r="AZ47" s="27">
        <f t="shared" si="16"/>
        <v>0</v>
      </c>
      <c r="BA47" s="27">
        <f t="shared" si="16"/>
        <v>0</v>
      </c>
      <c r="BB47" s="27">
        <f t="shared" si="16"/>
        <v>0</v>
      </c>
      <c r="BC47" s="27">
        <f t="shared" si="16"/>
        <v>0</v>
      </c>
      <c r="BD47" s="27">
        <f t="shared" si="16"/>
        <v>0</v>
      </c>
      <c r="BE47" s="27">
        <f t="shared" si="16"/>
        <v>0</v>
      </c>
      <c r="BF47" s="27">
        <f t="shared" si="16"/>
        <v>0</v>
      </c>
      <c r="BG47" s="27">
        <f t="shared" si="16"/>
        <v>0</v>
      </c>
      <c r="BH47" s="27">
        <f t="shared" si="16"/>
        <v>0</v>
      </c>
      <c r="BI47" s="73">
        <f>SUM(AK47:BH47)</f>
        <v>0</v>
      </c>
      <c r="BJ47" s="68" t="s">
        <v>0</v>
      </c>
    </row>
    <row r="48" spans="1:62" x14ac:dyDescent="0.3">
      <c r="A48" s="21"/>
      <c r="B48" s="22"/>
      <c r="C48" s="22"/>
      <c r="D48" s="21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72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72"/>
      <c r="BJ48" s="69">
        <f>BI54+AJ54</f>
        <v>11925</v>
      </c>
    </row>
    <row r="49" spans="1:62" x14ac:dyDescent="0.3">
      <c r="A49" s="21" t="s">
        <v>23</v>
      </c>
      <c r="B49" s="22"/>
      <c r="C49" s="22"/>
      <c r="D49" s="21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72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72"/>
      <c r="BJ49" s="68"/>
    </row>
    <row r="50" spans="1:62" x14ac:dyDescent="0.3">
      <c r="A50" s="21"/>
      <c r="B50" s="7" t="s">
        <v>112</v>
      </c>
      <c r="C50" s="28">
        <v>0.75</v>
      </c>
      <c r="D50" s="21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72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72"/>
      <c r="BJ50" s="68"/>
    </row>
    <row r="51" spans="1:62" x14ac:dyDescent="0.3">
      <c r="A51" s="21"/>
      <c r="B51" s="151" t="s">
        <v>113</v>
      </c>
      <c r="D51" s="21"/>
      <c r="E51" s="27">
        <f>'SYCamp# &amp; Expenses'!E14*$C$50</f>
        <v>59.25</v>
      </c>
      <c r="F51" s="27">
        <f>'SYCamp# &amp; Expenses'!F14*$C$50</f>
        <v>0</v>
      </c>
      <c r="G51" s="27">
        <f>'SYCamp# &amp; Expenses'!G14*$C$50</f>
        <v>25.5</v>
      </c>
      <c r="H51" s="27">
        <f>'SYCamp# &amp; Expenses'!H14*$C$50</f>
        <v>0</v>
      </c>
      <c r="I51" s="27">
        <f>'SYCamp# &amp; Expenses'!I14*$C$50</f>
        <v>0</v>
      </c>
      <c r="J51" s="27">
        <f>'SYCamp# &amp; Expenses'!J14*$C$50</f>
        <v>0</v>
      </c>
      <c r="K51" s="27">
        <f>'SYCamp# &amp; Expenses'!K14*$C$50</f>
        <v>30</v>
      </c>
      <c r="L51" s="27">
        <f>'SYCamp# &amp; Expenses'!L14*$C$50</f>
        <v>0</v>
      </c>
      <c r="M51" s="27">
        <f>'SYCamp# &amp; Expenses'!M14*$C$50</f>
        <v>0</v>
      </c>
      <c r="N51" s="27">
        <f>'SYCamp# &amp; Expenses'!N14*$C$50</f>
        <v>0</v>
      </c>
      <c r="O51" s="27">
        <f>'SYCamp# &amp; Expenses'!O14*$C$50</f>
        <v>0</v>
      </c>
      <c r="P51" s="27">
        <f>'SYCamp# &amp; Expenses'!P14*$C$50</f>
        <v>0</v>
      </c>
      <c r="Q51" s="27">
        <f>'SYCamp# &amp; Expenses'!Q14*$C$50</f>
        <v>0</v>
      </c>
      <c r="R51" s="27">
        <f>'SYCamp# &amp; Expenses'!R14*$C$50</f>
        <v>6.75</v>
      </c>
      <c r="S51" s="27">
        <f>'SYCamp# &amp; Expenses'!S14*$C$50</f>
        <v>0</v>
      </c>
      <c r="T51" s="27">
        <f>'SYCamp# &amp; Expenses'!T14*$C$50</f>
        <v>0</v>
      </c>
      <c r="U51" s="27">
        <f>'SYCamp# &amp; Expenses'!U14*$C$50</f>
        <v>0</v>
      </c>
      <c r="V51" s="27">
        <f>'SYCamp# &amp; Expenses'!V14*$C$50</f>
        <v>0</v>
      </c>
      <c r="W51" s="27">
        <f>'SYCamp# &amp; Expenses'!W14*$C$50</f>
        <v>0</v>
      </c>
      <c r="X51" s="27">
        <f>'SYCamp# &amp; Expenses'!X14*$C$50</f>
        <v>0</v>
      </c>
      <c r="Y51" s="27">
        <f>'SYCamp# &amp; Expenses'!Y14*$C$50</f>
        <v>29.25</v>
      </c>
      <c r="Z51" s="27">
        <f>'SYCamp# &amp; Expenses'!Z14*$C$50</f>
        <v>0</v>
      </c>
      <c r="AA51" s="27">
        <f>'SYCamp# &amp; Expenses'!AA14*$C$50</f>
        <v>0</v>
      </c>
      <c r="AB51" s="27">
        <f>'SYCamp# &amp; Expenses'!AB14*$C$50</f>
        <v>0</v>
      </c>
      <c r="AC51" s="27">
        <f>'SYCamp# &amp; Expenses'!AC14*$C$50</f>
        <v>0</v>
      </c>
      <c r="AD51" s="27">
        <f>'SYCamp# &amp; Expenses'!AD14*$C$50</f>
        <v>0</v>
      </c>
      <c r="AE51" s="27">
        <f>'SYCamp# &amp; Expenses'!AE14*$C$50</f>
        <v>0</v>
      </c>
      <c r="AF51" s="27">
        <f>'SYCamp# &amp; Expenses'!AF14*$C$50</f>
        <v>8.25</v>
      </c>
      <c r="AG51" s="27">
        <f>'SYCamp# &amp; Expenses'!AG14*$C$50</f>
        <v>0</v>
      </c>
      <c r="AH51" s="27">
        <f>'SYCamp# &amp; Expenses'!AH14*$C$50</f>
        <v>0</v>
      </c>
      <c r="AI51" s="27">
        <f>'SYCamp# &amp; Expenses'!AI14*$C$50</f>
        <v>0</v>
      </c>
      <c r="AJ51" s="72"/>
      <c r="AK51" s="27">
        <f>'SYCamp# &amp; Expenses'!AK14*$C$50</f>
        <v>0</v>
      </c>
      <c r="AL51" s="27">
        <f>'SYCamp# &amp; Expenses'!AL14*$C$50</f>
        <v>0</v>
      </c>
      <c r="AM51" s="27">
        <f>'SYCamp# &amp; Expenses'!AM14*$C$50</f>
        <v>0</v>
      </c>
      <c r="AN51" s="27">
        <f>'SYCamp# &amp; Expenses'!AN14*$C$50</f>
        <v>0</v>
      </c>
      <c r="AO51" s="27">
        <f>'SYCamp# &amp; Expenses'!AO14*$C$50</f>
        <v>0</v>
      </c>
      <c r="AP51" s="27">
        <f>'SYCamp# &amp; Expenses'!AP14*$C$50</f>
        <v>0</v>
      </c>
      <c r="AQ51" s="27">
        <f>'SYCamp# &amp; Expenses'!AQ14*$C$50</f>
        <v>0</v>
      </c>
      <c r="AR51" s="27">
        <f>'SYCamp# &amp; Expenses'!AR14*$C$50</f>
        <v>0</v>
      </c>
      <c r="AS51" s="27">
        <f>'SYCamp# &amp; Expenses'!AS14*$C$50</f>
        <v>0</v>
      </c>
      <c r="AT51" s="27">
        <f>'SYCamp# &amp; Expenses'!AT14*$C$50</f>
        <v>0</v>
      </c>
      <c r="AU51" s="27">
        <f>'SYCamp# &amp; Expenses'!AU14*$C$50</f>
        <v>0</v>
      </c>
      <c r="AV51" s="27">
        <f>'SYCamp# &amp; Expenses'!AV14*$C$50</f>
        <v>0</v>
      </c>
      <c r="AW51" s="27">
        <f>'SYCamp# &amp; Expenses'!AW14*$C$50</f>
        <v>0</v>
      </c>
      <c r="AX51" s="27">
        <f>'SYCamp# &amp; Expenses'!AX14*$C$50</f>
        <v>0</v>
      </c>
      <c r="AY51" s="27">
        <f>'SYCamp# &amp; Expenses'!AY14*$C$50</f>
        <v>0</v>
      </c>
      <c r="AZ51" s="27">
        <f>'SYCamp# &amp; Expenses'!AZ14*$C$50</f>
        <v>0</v>
      </c>
      <c r="BA51" s="27">
        <f>'SYCamp# &amp; Expenses'!BA14*$C$50</f>
        <v>0</v>
      </c>
      <c r="BB51" s="27">
        <f>'SYCamp# &amp; Expenses'!BB14*$C$50</f>
        <v>0</v>
      </c>
      <c r="BC51" s="27">
        <f>'SYCamp# &amp; Expenses'!BC14*$C$50</f>
        <v>0</v>
      </c>
      <c r="BD51" s="27">
        <f>'SYCamp# &amp; Expenses'!BD14*$C$50</f>
        <v>0</v>
      </c>
      <c r="BE51" s="27">
        <f>'SYCamp# &amp; Expenses'!BE14*$C$50</f>
        <v>0</v>
      </c>
      <c r="BF51" s="27">
        <f>'SYCamp# &amp; Expenses'!BF14*$C$50</f>
        <v>0</v>
      </c>
      <c r="BG51" s="27">
        <f>'SYCamp# &amp; Expenses'!BG14*$C$50</f>
        <v>0</v>
      </c>
      <c r="BH51" s="27">
        <f>'SYCamp# &amp; Expenses'!BH14*$C$50</f>
        <v>0</v>
      </c>
      <c r="BI51" s="72"/>
      <c r="BJ51" s="68"/>
    </row>
    <row r="52" spans="1:62" x14ac:dyDescent="0.3">
      <c r="A52" s="3" t="s">
        <v>0</v>
      </c>
      <c r="B52" s="7" t="s">
        <v>114</v>
      </c>
      <c r="C52" s="8">
        <v>75</v>
      </c>
      <c r="D52" s="9"/>
      <c r="E52" s="10">
        <f>E51*$C$52</f>
        <v>4443.75</v>
      </c>
      <c r="F52" s="10">
        <f t="shared" ref="F52:AI52" si="17">F51*$C$52</f>
        <v>0</v>
      </c>
      <c r="G52" s="10">
        <f t="shared" si="17"/>
        <v>1912.5</v>
      </c>
      <c r="H52" s="10">
        <f t="shared" si="17"/>
        <v>0</v>
      </c>
      <c r="I52" s="10">
        <f t="shared" si="17"/>
        <v>0</v>
      </c>
      <c r="J52" s="10">
        <f t="shared" si="17"/>
        <v>0</v>
      </c>
      <c r="K52" s="10">
        <f t="shared" si="17"/>
        <v>2250</v>
      </c>
      <c r="L52" s="10">
        <f t="shared" si="17"/>
        <v>0</v>
      </c>
      <c r="M52" s="10">
        <f t="shared" si="17"/>
        <v>0</v>
      </c>
      <c r="N52" s="10">
        <f t="shared" si="17"/>
        <v>0</v>
      </c>
      <c r="O52" s="10">
        <f t="shared" si="17"/>
        <v>0</v>
      </c>
      <c r="P52" s="10">
        <f t="shared" si="17"/>
        <v>0</v>
      </c>
      <c r="Q52" s="10">
        <f t="shared" si="17"/>
        <v>0</v>
      </c>
      <c r="R52" s="10">
        <f t="shared" si="17"/>
        <v>506.25</v>
      </c>
      <c r="S52" s="10">
        <f t="shared" si="17"/>
        <v>0</v>
      </c>
      <c r="T52" s="10">
        <f t="shared" si="17"/>
        <v>0</v>
      </c>
      <c r="U52" s="10">
        <f t="shared" si="17"/>
        <v>0</v>
      </c>
      <c r="V52" s="10">
        <f t="shared" si="17"/>
        <v>0</v>
      </c>
      <c r="W52" s="10">
        <f t="shared" si="17"/>
        <v>0</v>
      </c>
      <c r="X52" s="10">
        <f t="shared" si="17"/>
        <v>0</v>
      </c>
      <c r="Y52" s="10">
        <f t="shared" si="17"/>
        <v>2193.75</v>
      </c>
      <c r="Z52" s="10">
        <f t="shared" si="17"/>
        <v>0</v>
      </c>
      <c r="AA52" s="10">
        <f t="shared" si="17"/>
        <v>0</v>
      </c>
      <c r="AB52" s="10">
        <f t="shared" si="17"/>
        <v>0</v>
      </c>
      <c r="AC52" s="10">
        <f t="shared" si="17"/>
        <v>0</v>
      </c>
      <c r="AD52" s="10">
        <f t="shared" si="17"/>
        <v>0</v>
      </c>
      <c r="AE52" s="10">
        <f t="shared" si="17"/>
        <v>0</v>
      </c>
      <c r="AF52" s="10">
        <f t="shared" si="17"/>
        <v>618.75</v>
      </c>
      <c r="AG52" s="10">
        <f t="shared" si="17"/>
        <v>0</v>
      </c>
      <c r="AH52" s="10">
        <f t="shared" si="17"/>
        <v>0</v>
      </c>
      <c r="AI52" s="10">
        <f t="shared" si="17"/>
        <v>0</v>
      </c>
      <c r="AJ52" s="71">
        <f>SUM(E52:AI52)</f>
        <v>11925</v>
      </c>
      <c r="AK52" s="10">
        <f>$C52*'SYCamp# &amp; Expenses'!AK14*$C50</f>
        <v>0</v>
      </c>
      <c r="AL52" s="10">
        <f>$C52*'SYCamp# &amp; Expenses'!AL14*$C50</f>
        <v>0</v>
      </c>
      <c r="AM52" s="10">
        <f>$C52*'SYCamp# &amp; Expenses'!AM14*$C50</f>
        <v>0</v>
      </c>
      <c r="AN52" s="10">
        <f>$C52*'SYCamp# &amp; Expenses'!AN14*$C50</f>
        <v>0</v>
      </c>
      <c r="AO52" s="10">
        <f>$C52*'SYCamp# &amp; Expenses'!AO14*$C50</f>
        <v>0</v>
      </c>
      <c r="AP52" s="10">
        <f>$C52*'SYCamp# &amp; Expenses'!AP14*$C50</f>
        <v>0</v>
      </c>
      <c r="AQ52" s="10">
        <f>$C52*'SYCamp# &amp; Expenses'!AQ14*$C50</f>
        <v>0</v>
      </c>
      <c r="AR52" s="10">
        <f>$C52*'SYCamp# &amp; Expenses'!AR14*$C50</f>
        <v>0</v>
      </c>
      <c r="AS52" s="10">
        <f>$C52*'SYCamp# &amp; Expenses'!AS14*$C50</f>
        <v>0</v>
      </c>
      <c r="AT52" s="10">
        <f>$C52*'SYCamp# &amp; Expenses'!AT14*$C50</f>
        <v>0</v>
      </c>
      <c r="AU52" s="10">
        <f>$C52*'SYCamp# &amp; Expenses'!AU14*$C50</f>
        <v>0</v>
      </c>
      <c r="AV52" s="10">
        <f>$C52*'SYCamp# &amp; Expenses'!AV14*$C50</f>
        <v>0</v>
      </c>
      <c r="AW52" s="10">
        <f>$C52*'SYCamp# &amp; Expenses'!AW14*$C50</f>
        <v>0</v>
      </c>
      <c r="AX52" s="10">
        <f>$C52*'SYCamp# &amp; Expenses'!AX14*$C50</f>
        <v>0</v>
      </c>
      <c r="AY52" s="10">
        <f>$C52*'SYCamp# &amp; Expenses'!AY14*$C50</f>
        <v>0</v>
      </c>
      <c r="AZ52" s="10">
        <f>$C52*'SYCamp# &amp; Expenses'!AZ14*$C50</f>
        <v>0</v>
      </c>
      <c r="BA52" s="10">
        <f>$C52*'SYCamp# &amp; Expenses'!BA14*$C50</f>
        <v>0</v>
      </c>
      <c r="BB52" s="10">
        <f>$C52*'SYCamp# &amp; Expenses'!BB14*$C50</f>
        <v>0</v>
      </c>
      <c r="BC52" s="10">
        <f>$C52*'SYCamp# &amp; Expenses'!BC14*$C50</f>
        <v>0</v>
      </c>
      <c r="BD52" s="10">
        <f>$C52*'SYCamp# &amp; Expenses'!BD14*$C50</f>
        <v>0</v>
      </c>
      <c r="BE52" s="10">
        <f>$C52*'SYCamp# &amp; Expenses'!BE14*$C50</f>
        <v>0</v>
      </c>
      <c r="BF52" s="10">
        <f>$C52*'SYCamp# &amp; Expenses'!BF14*$C50</f>
        <v>0</v>
      </c>
      <c r="BG52" s="10">
        <f>$C52*'SYCamp# &amp; Expenses'!BG14*$C50</f>
        <v>0</v>
      </c>
      <c r="BH52" s="10">
        <f>$C52*'SYCamp# &amp; Expenses'!BH14*$C50</f>
        <v>0</v>
      </c>
      <c r="BI52" s="71">
        <f>SUM(AK52:BH52)</f>
        <v>0</v>
      </c>
      <c r="BJ52" s="68"/>
    </row>
    <row r="53" spans="1:62" x14ac:dyDescent="0.3">
      <c r="A53" s="21"/>
      <c r="B53" s="7"/>
      <c r="C53" s="28"/>
      <c r="D53" s="21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72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72"/>
      <c r="BJ53" s="68">
        <f>BI59+AJ59</f>
        <v>1590</v>
      </c>
    </row>
    <row r="54" spans="1:62" x14ac:dyDescent="0.3">
      <c r="A54" s="21" t="str">
        <f>"Total "&amp;A49</f>
        <v>Total Guardian Ship Letter - 451000</v>
      </c>
      <c r="B54" s="22"/>
      <c r="C54" s="22"/>
      <c r="D54" s="21"/>
      <c r="E54" s="27">
        <f t="shared" ref="E54:AI54" si="18">SUM(E52:E52)</f>
        <v>4443.75</v>
      </c>
      <c r="F54" s="27">
        <f t="shared" si="18"/>
        <v>0</v>
      </c>
      <c r="G54" s="27">
        <f t="shared" si="18"/>
        <v>1912.5</v>
      </c>
      <c r="H54" s="27">
        <f t="shared" si="18"/>
        <v>0</v>
      </c>
      <c r="I54" s="27">
        <f t="shared" si="18"/>
        <v>0</v>
      </c>
      <c r="J54" s="27">
        <f t="shared" si="18"/>
        <v>0</v>
      </c>
      <c r="K54" s="27">
        <f t="shared" si="18"/>
        <v>2250</v>
      </c>
      <c r="L54" s="27">
        <f t="shared" si="18"/>
        <v>0</v>
      </c>
      <c r="M54" s="27">
        <f t="shared" si="18"/>
        <v>0</v>
      </c>
      <c r="N54" s="27">
        <f t="shared" si="18"/>
        <v>0</v>
      </c>
      <c r="O54" s="27">
        <f t="shared" si="18"/>
        <v>0</v>
      </c>
      <c r="P54" s="27">
        <f t="shared" si="18"/>
        <v>0</v>
      </c>
      <c r="Q54" s="27">
        <f t="shared" si="18"/>
        <v>0</v>
      </c>
      <c r="R54" s="27">
        <f t="shared" si="18"/>
        <v>506.25</v>
      </c>
      <c r="S54" s="27">
        <f t="shared" si="18"/>
        <v>0</v>
      </c>
      <c r="T54" s="27">
        <f t="shared" si="18"/>
        <v>0</v>
      </c>
      <c r="U54" s="27">
        <f t="shared" si="18"/>
        <v>0</v>
      </c>
      <c r="V54" s="27">
        <f t="shared" si="18"/>
        <v>0</v>
      </c>
      <c r="W54" s="27">
        <f t="shared" si="18"/>
        <v>0</v>
      </c>
      <c r="X54" s="27">
        <f t="shared" si="18"/>
        <v>0</v>
      </c>
      <c r="Y54" s="27">
        <f t="shared" si="18"/>
        <v>2193.75</v>
      </c>
      <c r="Z54" s="27">
        <f t="shared" si="18"/>
        <v>0</v>
      </c>
      <c r="AA54" s="27">
        <f t="shared" si="18"/>
        <v>0</v>
      </c>
      <c r="AB54" s="27">
        <f t="shared" si="18"/>
        <v>0</v>
      </c>
      <c r="AC54" s="27">
        <f t="shared" si="18"/>
        <v>0</v>
      </c>
      <c r="AD54" s="27">
        <f t="shared" si="18"/>
        <v>0</v>
      </c>
      <c r="AE54" s="27">
        <f t="shared" si="18"/>
        <v>0</v>
      </c>
      <c r="AF54" s="27">
        <f t="shared" si="18"/>
        <v>618.75</v>
      </c>
      <c r="AG54" s="27">
        <f t="shared" si="18"/>
        <v>0</v>
      </c>
      <c r="AH54" s="27">
        <f t="shared" si="18"/>
        <v>0</v>
      </c>
      <c r="AI54" s="27">
        <f t="shared" si="18"/>
        <v>0</v>
      </c>
      <c r="AJ54" s="73">
        <f>SUM(E54:AI54)</f>
        <v>11925</v>
      </c>
      <c r="AK54" s="27">
        <f t="shared" ref="AK54:BH54" si="19">SUM(AK52:AK52)</f>
        <v>0</v>
      </c>
      <c r="AL54" s="27">
        <f t="shared" si="19"/>
        <v>0</v>
      </c>
      <c r="AM54" s="27">
        <f t="shared" si="19"/>
        <v>0</v>
      </c>
      <c r="AN54" s="27">
        <f t="shared" si="19"/>
        <v>0</v>
      </c>
      <c r="AO54" s="27">
        <f t="shared" si="19"/>
        <v>0</v>
      </c>
      <c r="AP54" s="27">
        <f t="shared" si="19"/>
        <v>0</v>
      </c>
      <c r="AQ54" s="27">
        <f t="shared" si="19"/>
        <v>0</v>
      </c>
      <c r="AR54" s="27">
        <f t="shared" si="19"/>
        <v>0</v>
      </c>
      <c r="AS54" s="27">
        <f t="shared" si="19"/>
        <v>0</v>
      </c>
      <c r="AT54" s="27">
        <f t="shared" si="19"/>
        <v>0</v>
      </c>
      <c r="AU54" s="27">
        <f t="shared" si="19"/>
        <v>0</v>
      </c>
      <c r="AV54" s="27">
        <f t="shared" si="19"/>
        <v>0</v>
      </c>
      <c r="AW54" s="27">
        <f t="shared" si="19"/>
        <v>0</v>
      </c>
      <c r="AX54" s="27">
        <f t="shared" si="19"/>
        <v>0</v>
      </c>
      <c r="AY54" s="27">
        <f t="shared" si="19"/>
        <v>0</v>
      </c>
      <c r="AZ54" s="27">
        <f t="shared" si="19"/>
        <v>0</v>
      </c>
      <c r="BA54" s="27">
        <f t="shared" si="19"/>
        <v>0</v>
      </c>
      <c r="BB54" s="27">
        <f t="shared" si="19"/>
        <v>0</v>
      </c>
      <c r="BC54" s="27">
        <f t="shared" si="19"/>
        <v>0</v>
      </c>
      <c r="BD54" s="27">
        <f t="shared" si="19"/>
        <v>0</v>
      </c>
      <c r="BE54" s="27">
        <f t="shared" si="19"/>
        <v>0</v>
      </c>
      <c r="BF54" s="27">
        <f t="shared" si="19"/>
        <v>0</v>
      </c>
      <c r="BG54" s="27">
        <f t="shared" si="19"/>
        <v>0</v>
      </c>
      <c r="BH54" s="27">
        <f t="shared" si="19"/>
        <v>0</v>
      </c>
      <c r="BI54" s="73">
        <f>SUM(AK54:BH54)</f>
        <v>0</v>
      </c>
      <c r="BJ54" s="68" t="s">
        <v>0</v>
      </c>
    </row>
    <row r="55" spans="1:62" x14ac:dyDescent="0.3">
      <c r="A55" s="21"/>
      <c r="B55" s="22"/>
      <c r="C55" s="22"/>
      <c r="D55" s="21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72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72"/>
      <c r="BJ55" s="69">
        <f>BI61+AJ61</f>
        <v>1590</v>
      </c>
    </row>
    <row r="56" spans="1:62" x14ac:dyDescent="0.3">
      <c r="A56" s="21" t="s">
        <v>24</v>
      </c>
      <c r="B56" s="22"/>
      <c r="C56" s="22"/>
      <c r="D56" s="21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72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72"/>
      <c r="BJ56" s="68"/>
    </row>
    <row r="57" spans="1:62" x14ac:dyDescent="0.3">
      <c r="A57" s="21"/>
      <c r="B57" s="7" t="s">
        <v>112</v>
      </c>
      <c r="C57" s="28">
        <v>0.1</v>
      </c>
      <c r="D57" s="21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72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72"/>
      <c r="BJ57" s="68"/>
    </row>
    <row r="58" spans="1:62" x14ac:dyDescent="0.3">
      <c r="A58" s="21"/>
      <c r="B58" s="151" t="s">
        <v>113</v>
      </c>
      <c r="D58" s="21"/>
      <c r="E58" s="27">
        <f>'SYCamp# &amp; Expenses'!E14*$C$57</f>
        <v>7.9</v>
      </c>
      <c r="F58" s="27">
        <f>'SYCamp# &amp; Expenses'!F14*$C$57</f>
        <v>0</v>
      </c>
      <c r="G58" s="27">
        <f>'SYCamp# &amp; Expenses'!G14*$C$57</f>
        <v>3.4000000000000004</v>
      </c>
      <c r="H58" s="27">
        <f>'SYCamp# &amp; Expenses'!H14*$C$57</f>
        <v>0</v>
      </c>
      <c r="I58" s="27">
        <f>'SYCamp# &amp; Expenses'!I14*$C$57</f>
        <v>0</v>
      </c>
      <c r="J58" s="27">
        <f>'SYCamp# &amp; Expenses'!J14*$C$57</f>
        <v>0</v>
      </c>
      <c r="K58" s="27">
        <f>'SYCamp# &amp; Expenses'!K14*$C$57</f>
        <v>4</v>
      </c>
      <c r="L58" s="27">
        <f>'SYCamp# &amp; Expenses'!L14*$C$57</f>
        <v>0</v>
      </c>
      <c r="M58" s="27">
        <f>'SYCamp# &amp; Expenses'!M14*$C$57</f>
        <v>0</v>
      </c>
      <c r="N58" s="27">
        <f>'SYCamp# &amp; Expenses'!N14*$C$57</f>
        <v>0</v>
      </c>
      <c r="O58" s="27">
        <f>'SYCamp# &amp; Expenses'!O14*$C$57</f>
        <v>0</v>
      </c>
      <c r="P58" s="27">
        <f>'SYCamp# &amp; Expenses'!P14*$C$57</f>
        <v>0</v>
      </c>
      <c r="Q58" s="27">
        <f>'SYCamp# &amp; Expenses'!Q14*$C$57</f>
        <v>0</v>
      </c>
      <c r="R58" s="27">
        <f>'SYCamp# &amp; Expenses'!R14*$C$57</f>
        <v>0.9</v>
      </c>
      <c r="S58" s="27">
        <f>'SYCamp# &amp; Expenses'!S14*$C$57</f>
        <v>0</v>
      </c>
      <c r="T58" s="27">
        <f>'SYCamp# &amp; Expenses'!T14*$C$57</f>
        <v>0</v>
      </c>
      <c r="U58" s="27">
        <f>'SYCamp# &amp; Expenses'!U14*$C$57</f>
        <v>0</v>
      </c>
      <c r="V58" s="27">
        <f>'SYCamp# &amp; Expenses'!V14*$C$57</f>
        <v>0</v>
      </c>
      <c r="W58" s="27">
        <f>'SYCamp# &amp; Expenses'!W14*$C$57</f>
        <v>0</v>
      </c>
      <c r="X58" s="27">
        <f>'SYCamp# &amp; Expenses'!X14*$C$57</f>
        <v>0</v>
      </c>
      <c r="Y58" s="27">
        <f>'SYCamp# &amp; Expenses'!Y14*$C$57</f>
        <v>3.9000000000000004</v>
      </c>
      <c r="Z58" s="27">
        <f>'SYCamp# &amp; Expenses'!Z14*$C$57</f>
        <v>0</v>
      </c>
      <c r="AA58" s="27">
        <f>'SYCamp# &amp; Expenses'!AA14*$C$57</f>
        <v>0</v>
      </c>
      <c r="AB58" s="27">
        <f>'SYCamp# &amp; Expenses'!AB14*$C$57</f>
        <v>0</v>
      </c>
      <c r="AC58" s="27">
        <f>'SYCamp# &amp; Expenses'!AC14*$C$57</f>
        <v>0</v>
      </c>
      <c r="AD58" s="27">
        <f>'SYCamp# &amp; Expenses'!AD14*$C$57</f>
        <v>0</v>
      </c>
      <c r="AE58" s="27">
        <f>'SYCamp# &amp; Expenses'!AE14*$C$57</f>
        <v>0</v>
      </c>
      <c r="AF58" s="27">
        <f>'SYCamp# &amp; Expenses'!AF14*$C$57</f>
        <v>1.1000000000000001</v>
      </c>
      <c r="AG58" s="27">
        <f>'SYCamp# &amp; Expenses'!AG14*$C$57</f>
        <v>0</v>
      </c>
      <c r="AH58" s="27">
        <f>'SYCamp# &amp; Expenses'!AH14*$C$57</f>
        <v>0</v>
      </c>
      <c r="AI58" s="27">
        <f>'SYCamp# &amp; Expenses'!AI14*$C$57</f>
        <v>0</v>
      </c>
      <c r="AJ58" s="72"/>
      <c r="AK58" s="27">
        <f>'SYCamp# &amp; Expenses'!AK14*$C$57</f>
        <v>0</v>
      </c>
      <c r="AL58" s="27">
        <f>'SYCamp# &amp; Expenses'!AL14*$C$57</f>
        <v>0</v>
      </c>
      <c r="AM58" s="27">
        <f>'SYCamp# &amp; Expenses'!AM14*$C$57</f>
        <v>0</v>
      </c>
      <c r="AN58" s="27">
        <f>'SYCamp# &amp; Expenses'!AN14*$C$57</f>
        <v>0</v>
      </c>
      <c r="AO58" s="27">
        <f>'SYCamp# &amp; Expenses'!AO14*$C$57</f>
        <v>0</v>
      </c>
      <c r="AP58" s="27">
        <f>'SYCamp# &amp; Expenses'!AP14*$C$57</f>
        <v>0</v>
      </c>
      <c r="AQ58" s="27">
        <f>'SYCamp# &amp; Expenses'!AQ14*$C$57</f>
        <v>0</v>
      </c>
      <c r="AR58" s="27">
        <f>'SYCamp# &amp; Expenses'!AR14*$C$57</f>
        <v>0</v>
      </c>
      <c r="AS58" s="27">
        <f>'SYCamp# &amp; Expenses'!AS14*$C$57</f>
        <v>0</v>
      </c>
      <c r="AT58" s="27">
        <f>'SYCamp# &amp; Expenses'!AT14*$C$57</f>
        <v>0</v>
      </c>
      <c r="AU58" s="27">
        <f>'SYCamp# &amp; Expenses'!AU14*$C$57</f>
        <v>0</v>
      </c>
      <c r="AV58" s="27">
        <f>'SYCamp# &amp; Expenses'!AV14*$C$57</f>
        <v>0</v>
      </c>
      <c r="AW58" s="27">
        <f>'SYCamp# &amp; Expenses'!AW14*$C$57</f>
        <v>0</v>
      </c>
      <c r="AX58" s="27">
        <f>'SYCamp# &amp; Expenses'!AX14*$C$57</f>
        <v>0</v>
      </c>
      <c r="AY58" s="27">
        <f>'SYCamp# &amp; Expenses'!AY14*$C$57</f>
        <v>0</v>
      </c>
      <c r="AZ58" s="27">
        <f>'SYCamp# &amp; Expenses'!AZ14*$C$57</f>
        <v>0</v>
      </c>
      <c r="BA58" s="27">
        <f>'SYCamp# &amp; Expenses'!BA14*$C$57</f>
        <v>0</v>
      </c>
      <c r="BB58" s="27">
        <f>'SYCamp# &amp; Expenses'!BB14*$C$57</f>
        <v>0</v>
      </c>
      <c r="BC58" s="27">
        <f>'SYCamp# &amp; Expenses'!BC14*$C$57</f>
        <v>0</v>
      </c>
      <c r="BD58" s="27">
        <f>'SYCamp# &amp; Expenses'!BD14*$C$57</f>
        <v>0</v>
      </c>
      <c r="BE58" s="27">
        <f>'SYCamp# &amp; Expenses'!BE14*$C$57</f>
        <v>0</v>
      </c>
      <c r="BF58" s="27">
        <f>'SYCamp# &amp; Expenses'!BF14*$C$57</f>
        <v>0</v>
      </c>
      <c r="BG58" s="27">
        <f>'SYCamp# &amp; Expenses'!BG14*$C$57</f>
        <v>0</v>
      </c>
      <c r="BH58" s="27">
        <f>'SYCamp# &amp; Expenses'!BH14*$C$57</f>
        <v>0</v>
      </c>
      <c r="BI58" s="72"/>
      <c r="BJ58" s="68"/>
    </row>
    <row r="59" spans="1:62" x14ac:dyDescent="0.3">
      <c r="A59" s="3" t="str">
        <f>A52</f>
        <v xml:space="preserve"> </v>
      </c>
      <c r="B59" s="7" t="s">
        <v>114</v>
      </c>
      <c r="C59" s="8">
        <v>75</v>
      </c>
      <c r="D59" s="9"/>
      <c r="E59" s="10">
        <f>E58*$C$59</f>
        <v>592.5</v>
      </c>
      <c r="F59" s="10">
        <f t="shared" ref="F59:AI59" si="20">F58*$C$59</f>
        <v>0</v>
      </c>
      <c r="G59" s="10">
        <f t="shared" si="20"/>
        <v>255.00000000000003</v>
      </c>
      <c r="H59" s="10">
        <f t="shared" si="20"/>
        <v>0</v>
      </c>
      <c r="I59" s="10">
        <f t="shared" si="20"/>
        <v>0</v>
      </c>
      <c r="J59" s="10">
        <f t="shared" si="20"/>
        <v>0</v>
      </c>
      <c r="K59" s="10">
        <f t="shared" si="20"/>
        <v>300</v>
      </c>
      <c r="L59" s="10">
        <f t="shared" si="20"/>
        <v>0</v>
      </c>
      <c r="M59" s="10">
        <f t="shared" si="20"/>
        <v>0</v>
      </c>
      <c r="N59" s="10">
        <f t="shared" si="20"/>
        <v>0</v>
      </c>
      <c r="O59" s="10">
        <f t="shared" si="20"/>
        <v>0</v>
      </c>
      <c r="P59" s="10">
        <f t="shared" si="20"/>
        <v>0</v>
      </c>
      <c r="Q59" s="10">
        <f t="shared" si="20"/>
        <v>0</v>
      </c>
      <c r="R59" s="10">
        <f t="shared" si="20"/>
        <v>67.5</v>
      </c>
      <c r="S59" s="10">
        <f t="shared" si="20"/>
        <v>0</v>
      </c>
      <c r="T59" s="10">
        <f t="shared" si="20"/>
        <v>0</v>
      </c>
      <c r="U59" s="10">
        <f t="shared" si="20"/>
        <v>0</v>
      </c>
      <c r="V59" s="10">
        <f t="shared" si="20"/>
        <v>0</v>
      </c>
      <c r="W59" s="10">
        <f t="shared" si="20"/>
        <v>0</v>
      </c>
      <c r="X59" s="10">
        <f t="shared" si="20"/>
        <v>0</v>
      </c>
      <c r="Y59" s="10">
        <f t="shared" si="20"/>
        <v>292.5</v>
      </c>
      <c r="Z59" s="10">
        <f t="shared" si="20"/>
        <v>0</v>
      </c>
      <c r="AA59" s="10">
        <f t="shared" si="20"/>
        <v>0</v>
      </c>
      <c r="AB59" s="10">
        <f t="shared" si="20"/>
        <v>0</v>
      </c>
      <c r="AC59" s="10">
        <f t="shared" si="20"/>
        <v>0</v>
      </c>
      <c r="AD59" s="10">
        <f t="shared" si="20"/>
        <v>0</v>
      </c>
      <c r="AE59" s="10">
        <f t="shared" si="20"/>
        <v>0</v>
      </c>
      <c r="AF59" s="10">
        <f t="shared" si="20"/>
        <v>82.5</v>
      </c>
      <c r="AG59" s="10">
        <f t="shared" si="20"/>
        <v>0</v>
      </c>
      <c r="AH59" s="10">
        <f t="shared" si="20"/>
        <v>0</v>
      </c>
      <c r="AI59" s="10">
        <f t="shared" si="20"/>
        <v>0</v>
      </c>
      <c r="AJ59" s="73">
        <f>SUM(E59:AI59)</f>
        <v>1590</v>
      </c>
      <c r="AK59" s="10">
        <f t="shared" ref="AK59:BH59" si="21">AK58*$C$59</f>
        <v>0</v>
      </c>
      <c r="AL59" s="10">
        <f t="shared" si="21"/>
        <v>0</v>
      </c>
      <c r="AM59" s="10">
        <f t="shared" si="21"/>
        <v>0</v>
      </c>
      <c r="AN59" s="10">
        <f t="shared" si="21"/>
        <v>0</v>
      </c>
      <c r="AO59" s="10">
        <f t="shared" si="21"/>
        <v>0</v>
      </c>
      <c r="AP59" s="10">
        <f t="shared" si="21"/>
        <v>0</v>
      </c>
      <c r="AQ59" s="10">
        <f t="shared" si="21"/>
        <v>0</v>
      </c>
      <c r="AR59" s="10">
        <f t="shared" si="21"/>
        <v>0</v>
      </c>
      <c r="AS59" s="10">
        <f t="shared" si="21"/>
        <v>0</v>
      </c>
      <c r="AT59" s="10">
        <f t="shared" si="21"/>
        <v>0</v>
      </c>
      <c r="AU59" s="10">
        <f t="shared" si="21"/>
        <v>0</v>
      </c>
      <c r="AV59" s="10">
        <f t="shared" si="21"/>
        <v>0</v>
      </c>
      <c r="AW59" s="10">
        <f t="shared" si="21"/>
        <v>0</v>
      </c>
      <c r="AX59" s="10">
        <f t="shared" si="21"/>
        <v>0</v>
      </c>
      <c r="AY59" s="10">
        <f t="shared" si="21"/>
        <v>0</v>
      </c>
      <c r="AZ59" s="10">
        <f t="shared" si="21"/>
        <v>0</v>
      </c>
      <c r="BA59" s="10">
        <f t="shared" si="21"/>
        <v>0</v>
      </c>
      <c r="BB59" s="10">
        <f t="shared" si="21"/>
        <v>0</v>
      </c>
      <c r="BC59" s="10">
        <f t="shared" si="21"/>
        <v>0</v>
      </c>
      <c r="BD59" s="10">
        <f t="shared" si="21"/>
        <v>0</v>
      </c>
      <c r="BE59" s="10">
        <f t="shared" si="21"/>
        <v>0</v>
      </c>
      <c r="BF59" s="10">
        <f t="shared" si="21"/>
        <v>0</v>
      </c>
      <c r="BG59" s="10">
        <f t="shared" si="21"/>
        <v>0</v>
      </c>
      <c r="BH59" s="10">
        <f t="shared" si="21"/>
        <v>0</v>
      </c>
      <c r="BI59" s="71">
        <f>SUM(AK59:BH59)</f>
        <v>0</v>
      </c>
      <c r="BJ59" s="175" t="s">
        <v>0</v>
      </c>
    </row>
    <row r="60" spans="1:62" x14ac:dyDescent="0.3">
      <c r="A60" s="21"/>
      <c r="B60" s="22"/>
      <c r="C60" s="22"/>
      <c r="D60" s="21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72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72"/>
      <c r="BJ60" s="175" t="s">
        <v>0</v>
      </c>
    </row>
    <row r="61" spans="1:62" x14ac:dyDescent="0.3">
      <c r="A61" s="21" t="str">
        <f>"Total "&amp;A56</f>
        <v>Total Unacommpanied Minor Fee -  451000</v>
      </c>
      <c r="B61" s="22"/>
      <c r="C61" s="22"/>
      <c r="D61" s="21"/>
      <c r="E61" s="27">
        <f>E59</f>
        <v>592.5</v>
      </c>
      <c r="F61" s="27">
        <f t="shared" ref="F61:AI61" si="22">F59</f>
        <v>0</v>
      </c>
      <c r="G61" s="27">
        <f t="shared" si="22"/>
        <v>255.00000000000003</v>
      </c>
      <c r="H61" s="27">
        <f t="shared" si="22"/>
        <v>0</v>
      </c>
      <c r="I61" s="27">
        <f t="shared" si="22"/>
        <v>0</v>
      </c>
      <c r="J61" s="27">
        <f t="shared" si="22"/>
        <v>0</v>
      </c>
      <c r="K61" s="27">
        <f t="shared" si="22"/>
        <v>300</v>
      </c>
      <c r="L61" s="27">
        <f t="shared" si="22"/>
        <v>0</v>
      </c>
      <c r="M61" s="27">
        <f t="shared" si="22"/>
        <v>0</v>
      </c>
      <c r="N61" s="27">
        <f t="shared" si="22"/>
        <v>0</v>
      </c>
      <c r="O61" s="27">
        <f t="shared" si="22"/>
        <v>0</v>
      </c>
      <c r="P61" s="27">
        <f t="shared" si="22"/>
        <v>0</v>
      </c>
      <c r="Q61" s="27">
        <f t="shared" si="22"/>
        <v>0</v>
      </c>
      <c r="R61" s="27">
        <f t="shared" si="22"/>
        <v>67.5</v>
      </c>
      <c r="S61" s="27">
        <f t="shared" si="22"/>
        <v>0</v>
      </c>
      <c r="T61" s="27">
        <f t="shared" si="22"/>
        <v>0</v>
      </c>
      <c r="U61" s="27">
        <f t="shared" si="22"/>
        <v>0</v>
      </c>
      <c r="V61" s="27">
        <f t="shared" si="22"/>
        <v>0</v>
      </c>
      <c r="W61" s="27">
        <f t="shared" si="22"/>
        <v>0</v>
      </c>
      <c r="X61" s="27">
        <f t="shared" si="22"/>
        <v>0</v>
      </c>
      <c r="Y61" s="27">
        <f t="shared" si="22"/>
        <v>292.5</v>
      </c>
      <c r="Z61" s="27">
        <f t="shared" si="22"/>
        <v>0</v>
      </c>
      <c r="AA61" s="27">
        <f t="shared" si="22"/>
        <v>0</v>
      </c>
      <c r="AB61" s="27">
        <f t="shared" si="22"/>
        <v>0</v>
      </c>
      <c r="AC61" s="27">
        <f t="shared" si="22"/>
        <v>0</v>
      </c>
      <c r="AD61" s="27">
        <f t="shared" si="22"/>
        <v>0</v>
      </c>
      <c r="AE61" s="27">
        <f t="shared" si="22"/>
        <v>0</v>
      </c>
      <c r="AF61" s="27">
        <f t="shared" si="22"/>
        <v>82.5</v>
      </c>
      <c r="AG61" s="27">
        <f t="shared" si="22"/>
        <v>0</v>
      </c>
      <c r="AH61" s="27">
        <f t="shared" si="22"/>
        <v>0</v>
      </c>
      <c r="AI61" s="27">
        <f t="shared" si="22"/>
        <v>0</v>
      </c>
      <c r="AJ61" s="73">
        <f>SUM(E61:AI61)</f>
        <v>1590</v>
      </c>
      <c r="AK61" s="27">
        <f t="shared" ref="AK61:BH61" si="23">AK59</f>
        <v>0</v>
      </c>
      <c r="AL61" s="27">
        <f t="shared" si="23"/>
        <v>0</v>
      </c>
      <c r="AM61" s="27">
        <f t="shared" si="23"/>
        <v>0</v>
      </c>
      <c r="AN61" s="27">
        <f t="shared" si="23"/>
        <v>0</v>
      </c>
      <c r="AO61" s="27">
        <f t="shared" si="23"/>
        <v>0</v>
      </c>
      <c r="AP61" s="27">
        <f t="shared" si="23"/>
        <v>0</v>
      </c>
      <c r="AQ61" s="27">
        <f t="shared" si="23"/>
        <v>0</v>
      </c>
      <c r="AR61" s="27">
        <f t="shared" si="23"/>
        <v>0</v>
      </c>
      <c r="AS61" s="27">
        <f t="shared" si="23"/>
        <v>0</v>
      </c>
      <c r="AT61" s="27">
        <f t="shared" si="23"/>
        <v>0</v>
      </c>
      <c r="AU61" s="27">
        <f t="shared" si="23"/>
        <v>0</v>
      </c>
      <c r="AV61" s="27">
        <f t="shared" si="23"/>
        <v>0</v>
      </c>
      <c r="AW61" s="27">
        <f t="shared" si="23"/>
        <v>0</v>
      </c>
      <c r="AX61" s="27">
        <f t="shared" si="23"/>
        <v>0</v>
      </c>
      <c r="AY61" s="27">
        <f t="shared" si="23"/>
        <v>0</v>
      </c>
      <c r="AZ61" s="27">
        <f t="shared" si="23"/>
        <v>0</v>
      </c>
      <c r="BA61" s="27">
        <f t="shared" si="23"/>
        <v>0</v>
      </c>
      <c r="BB61" s="27">
        <f t="shared" si="23"/>
        <v>0</v>
      </c>
      <c r="BC61" s="27">
        <f t="shared" si="23"/>
        <v>0</v>
      </c>
      <c r="BD61" s="27">
        <f t="shared" si="23"/>
        <v>0</v>
      </c>
      <c r="BE61" s="27">
        <f t="shared" si="23"/>
        <v>0</v>
      </c>
      <c r="BF61" s="27">
        <f t="shared" si="23"/>
        <v>0</v>
      </c>
      <c r="BG61" s="27">
        <f t="shared" si="23"/>
        <v>0</v>
      </c>
      <c r="BH61" s="27">
        <f t="shared" si="23"/>
        <v>0</v>
      </c>
      <c r="BI61" s="73">
        <f>SUM(AK61:BH61)</f>
        <v>0</v>
      </c>
      <c r="BJ61" s="68" t="s">
        <v>0</v>
      </c>
    </row>
    <row r="62" spans="1:62" x14ac:dyDescent="0.3">
      <c r="A62" s="21"/>
      <c r="B62" s="22"/>
      <c r="C62" s="22"/>
      <c r="D62" s="21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72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72"/>
      <c r="BJ62" s="69">
        <f ca="1">BI68+AJ68</f>
        <v>251802.5</v>
      </c>
    </row>
    <row r="63" spans="1:62" x14ac:dyDescent="0.3">
      <c r="A63" s="21"/>
      <c r="B63" s="7" t="s">
        <v>0</v>
      </c>
      <c r="C63" s="29" t="s">
        <v>0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72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72"/>
      <c r="BJ63" s="68"/>
    </row>
    <row r="64" spans="1:62" x14ac:dyDescent="0.3">
      <c r="A64" s="21" t="s">
        <v>115</v>
      </c>
      <c r="B64" s="22" t="s">
        <v>0</v>
      </c>
      <c r="C64" s="30" t="s">
        <v>32</v>
      </c>
      <c r="D64" s="4"/>
      <c r="E64" s="4"/>
      <c r="F64" s="4"/>
      <c r="G64" s="4"/>
      <c r="H64" s="4"/>
      <c r="I64" s="4"/>
      <c r="J64" s="31" t="s">
        <v>63</v>
      </c>
      <c r="K64" s="31" t="s">
        <v>64</v>
      </c>
      <c r="L64" s="4"/>
      <c r="M64" s="4"/>
      <c r="N64" s="4"/>
      <c r="O64" s="4"/>
      <c r="P64" s="4"/>
      <c r="Q64" s="31" t="s">
        <v>65</v>
      </c>
      <c r="R64" s="31" t="s">
        <v>66</v>
      </c>
      <c r="S64" s="4"/>
      <c r="T64" s="4"/>
      <c r="U64" s="4"/>
      <c r="V64" s="31" t="s">
        <v>67</v>
      </c>
      <c r="W64" s="31" t="s">
        <v>67</v>
      </c>
      <c r="X64" s="31" t="s">
        <v>67</v>
      </c>
      <c r="Y64" s="31" t="s">
        <v>67</v>
      </c>
      <c r="Z64" s="4"/>
      <c r="AA64" s="4"/>
      <c r="AB64" s="4"/>
      <c r="AC64" s="4"/>
      <c r="AD64" s="4"/>
      <c r="AE64" s="31" t="s">
        <v>63</v>
      </c>
      <c r="AF64" s="31" t="s">
        <v>64</v>
      </c>
      <c r="AG64" s="4"/>
      <c r="AH64" s="4"/>
      <c r="AI64" s="4"/>
      <c r="AJ64" s="72"/>
      <c r="AK64" s="4"/>
      <c r="AL64" s="4"/>
      <c r="AM64" s="31" t="s">
        <v>65</v>
      </c>
      <c r="AN64" s="31" t="s">
        <v>116</v>
      </c>
      <c r="AO64" s="4"/>
      <c r="AP64" s="4"/>
      <c r="AQ64" s="4"/>
      <c r="AR64" s="31" t="s">
        <v>67</v>
      </c>
      <c r="AS64" s="31" t="s">
        <v>67</v>
      </c>
      <c r="AT64" s="31" t="s">
        <v>67</v>
      </c>
      <c r="AU64" s="31" t="s">
        <v>67</v>
      </c>
      <c r="AV64" s="4"/>
      <c r="AW64" s="4"/>
      <c r="AX64" s="4"/>
      <c r="AY64" s="4"/>
      <c r="AZ64" s="4"/>
      <c r="BA64" s="31" t="s">
        <v>68</v>
      </c>
      <c r="BB64" s="4"/>
      <c r="BC64" s="4"/>
      <c r="BD64" s="4"/>
      <c r="BE64" s="4"/>
      <c r="BF64" s="4"/>
      <c r="BG64" s="4"/>
      <c r="BH64" s="4"/>
      <c r="BI64" s="74"/>
      <c r="BJ64" s="68"/>
    </row>
    <row r="65" spans="1:63" x14ac:dyDescent="0.3">
      <c r="A65" s="3"/>
      <c r="B65" s="22" t="s">
        <v>0</v>
      </c>
      <c r="C65" s="30" t="s">
        <v>117</v>
      </c>
      <c r="D65" s="21"/>
      <c r="E65" s="4"/>
      <c r="F65" s="4"/>
      <c r="G65" s="4"/>
      <c r="H65" s="4"/>
      <c r="I65" s="4"/>
      <c r="J65" s="84">
        <v>160</v>
      </c>
      <c r="K65" s="84">
        <v>30</v>
      </c>
      <c r="L65" s="4"/>
      <c r="M65" s="4"/>
      <c r="N65" s="4"/>
      <c r="O65" s="4"/>
      <c r="P65" s="4"/>
      <c r="Q65" s="84">
        <v>270</v>
      </c>
      <c r="R65" s="84">
        <v>80</v>
      </c>
      <c r="S65" s="4"/>
      <c r="T65" s="4"/>
      <c r="U65" s="4"/>
      <c r="V65" s="84">
        <v>470</v>
      </c>
      <c r="W65" s="84">
        <v>0</v>
      </c>
      <c r="X65" s="84">
        <v>0</v>
      </c>
      <c r="Y65" s="84">
        <v>0</v>
      </c>
      <c r="Z65" s="4"/>
      <c r="AA65" s="4"/>
      <c r="AB65" s="4"/>
      <c r="AC65" s="4"/>
      <c r="AD65" s="4"/>
      <c r="AE65" s="84">
        <v>160</v>
      </c>
      <c r="AF65" s="84">
        <v>30</v>
      </c>
      <c r="AG65" s="4"/>
      <c r="AH65" s="4"/>
      <c r="AI65" s="4"/>
      <c r="AJ65" s="73" t="s">
        <v>0</v>
      </c>
      <c r="AK65" s="4"/>
      <c r="AL65" s="4"/>
      <c r="AM65" s="84">
        <v>270</v>
      </c>
      <c r="AN65" s="84">
        <v>80</v>
      </c>
      <c r="AO65" s="4"/>
      <c r="AP65" s="4"/>
      <c r="AQ65" s="4"/>
      <c r="AR65" s="84">
        <v>470</v>
      </c>
      <c r="AS65" s="84">
        <v>0</v>
      </c>
      <c r="AT65" s="84">
        <v>0</v>
      </c>
      <c r="AU65" s="84">
        <v>0</v>
      </c>
      <c r="AV65" s="4"/>
      <c r="AW65" s="4"/>
      <c r="AX65" s="4"/>
      <c r="AY65" s="4"/>
      <c r="AZ65" s="4"/>
      <c r="BA65" s="84">
        <v>40</v>
      </c>
      <c r="BB65" s="4"/>
      <c r="BC65" s="4"/>
      <c r="BD65" s="4"/>
      <c r="BE65" s="4"/>
      <c r="BF65" s="4"/>
      <c r="BG65" s="4"/>
      <c r="BH65" s="4"/>
      <c r="BI65" s="71" t="s">
        <v>0</v>
      </c>
      <c r="BJ65" s="68"/>
    </row>
    <row r="66" spans="1:63" x14ac:dyDescent="0.3">
      <c r="A66" s="3"/>
      <c r="B66" s="7" t="s">
        <v>118</v>
      </c>
      <c r="C66" s="32">
        <v>0.75</v>
      </c>
      <c r="D66" s="21"/>
      <c r="E66" s="4"/>
      <c r="F66" s="4"/>
      <c r="G66" s="4"/>
      <c r="H66" s="4"/>
      <c r="I66" s="4"/>
      <c r="J66" s="90">
        <f ca="1">'SYCamp# &amp; Expenses'!J34*$C$66</f>
        <v>138.75</v>
      </c>
      <c r="K66" s="90">
        <f ca="1">'SYCamp# &amp; Expenses'!K34*$C$66</f>
        <v>171.75</v>
      </c>
      <c r="L66" s="90"/>
      <c r="M66" s="90"/>
      <c r="N66" s="90"/>
      <c r="O66" s="90"/>
      <c r="P66" s="90"/>
      <c r="Q66" s="90">
        <f ca="1">'SYCamp# &amp; Expenses'!Q34*$C$66</f>
        <v>166.5</v>
      </c>
      <c r="R66" s="90">
        <f ca="1">'SYCamp# &amp; Expenses'!R34*$C$66</f>
        <v>182.25</v>
      </c>
      <c r="S66" s="90"/>
      <c r="T66" s="90"/>
      <c r="U66" s="90"/>
      <c r="V66" s="84">
        <f ca="1">'SYCamp# &amp; Expenses'!$V$34*0.5</f>
        <v>92</v>
      </c>
      <c r="W66" s="84">
        <f ca="1">'SYCamp# &amp; Expenses'!$V$34*0.5</f>
        <v>92</v>
      </c>
      <c r="X66" s="84">
        <f ca="1">'SYCamp# &amp; Expenses'!$V$34*0.5</f>
        <v>92</v>
      </c>
      <c r="Y66" s="84">
        <f ca="1">'SYCamp# &amp; Expenses'!$V$34*0.5</f>
        <v>92</v>
      </c>
      <c r="Z66" s="90"/>
      <c r="AA66" s="90"/>
      <c r="AB66" s="90"/>
      <c r="AC66" s="90"/>
      <c r="AD66" s="90"/>
      <c r="AE66" s="90">
        <f ca="1">'SYCamp# &amp; Expenses'!AE34*$C$66</f>
        <v>129</v>
      </c>
      <c r="AF66" s="90">
        <f ca="1">'SYCamp# &amp; Expenses'!AF34*$C$66</f>
        <v>137.25</v>
      </c>
      <c r="AG66" s="4"/>
      <c r="AH66" s="90"/>
      <c r="AI66" s="90"/>
      <c r="AJ66" s="176"/>
      <c r="AK66" s="90"/>
      <c r="AL66" s="90"/>
      <c r="AM66" s="90">
        <f ca="1">'SYCamp# &amp; Expenses'!AM34*$C$66</f>
        <v>116.25</v>
      </c>
      <c r="AN66" s="90">
        <f ca="1">'SYCamp# &amp; Expenses'!AN34*$C$66</f>
        <v>120.75</v>
      </c>
      <c r="AO66" s="90"/>
      <c r="AP66" s="90"/>
      <c r="AQ66" s="90"/>
      <c r="AR66" s="191">
        <f ca="1">'SYCamp# &amp; Expenses'!$V$34*0.5</f>
        <v>92</v>
      </c>
      <c r="AS66" s="90">
        <v>0</v>
      </c>
      <c r="AT66" s="90">
        <v>0</v>
      </c>
      <c r="AU66" s="90">
        <v>0</v>
      </c>
      <c r="AV66" s="90"/>
      <c r="AW66" s="90"/>
      <c r="AX66" s="90"/>
      <c r="AY66" s="90"/>
      <c r="AZ66" s="90"/>
      <c r="BA66" s="90">
        <f ca="1">'SYCamp# &amp; Expenses'!BA34*$C$66</f>
        <v>315.75</v>
      </c>
      <c r="BB66" s="90"/>
      <c r="BC66" s="90"/>
      <c r="BD66" s="90"/>
      <c r="BE66" s="90"/>
      <c r="BF66" s="90"/>
      <c r="BG66" s="90"/>
      <c r="BH66" s="90"/>
      <c r="BI66" s="74"/>
      <c r="BJ66" s="68"/>
    </row>
    <row r="67" spans="1:63" x14ac:dyDescent="0.3">
      <c r="A67" s="21"/>
      <c r="B67" s="22"/>
      <c r="C67" s="22"/>
      <c r="D67" s="21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72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74"/>
      <c r="BJ67" s="68"/>
    </row>
    <row r="68" spans="1:63" x14ac:dyDescent="0.3">
      <c r="A68" s="21" t="str">
        <f>"Total "&amp;A64</f>
        <v>Total Optional Weekend Activity Fees - 450000</v>
      </c>
      <c r="B68" s="22"/>
      <c r="C68" s="22"/>
      <c r="D68" s="21"/>
      <c r="E68" s="27">
        <f t="shared" ref="E68:AI68" si="24">E65*E66</f>
        <v>0</v>
      </c>
      <c r="F68" s="27">
        <f t="shared" si="24"/>
        <v>0</v>
      </c>
      <c r="G68" s="27">
        <f t="shared" si="24"/>
        <v>0</v>
      </c>
      <c r="H68" s="27">
        <f t="shared" si="24"/>
        <v>0</v>
      </c>
      <c r="I68" s="27">
        <f t="shared" si="24"/>
        <v>0</v>
      </c>
      <c r="J68" s="27">
        <f t="shared" ca="1" si="24"/>
        <v>22200</v>
      </c>
      <c r="K68" s="27">
        <f t="shared" ca="1" si="24"/>
        <v>5152.5</v>
      </c>
      <c r="L68" s="27">
        <f t="shared" si="24"/>
        <v>0</v>
      </c>
      <c r="M68" s="27">
        <f t="shared" si="24"/>
        <v>0</v>
      </c>
      <c r="N68" s="27">
        <f t="shared" si="24"/>
        <v>0</v>
      </c>
      <c r="O68" s="27">
        <f t="shared" si="24"/>
        <v>0</v>
      </c>
      <c r="P68" s="27">
        <f t="shared" si="24"/>
        <v>0</v>
      </c>
      <c r="Q68" s="27">
        <f t="shared" ca="1" si="24"/>
        <v>44955</v>
      </c>
      <c r="R68" s="27">
        <f t="shared" ca="1" si="24"/>
        <v>14580</v>
      </c>
      <c r="S68" s="27">
        <f t="shared" si="24"/>
        <v>0</v>
      </c>
      <c r="T68" s="27">
        <f t="shared" si="24"/>
        <v>0</v>
      </c>
      <c r="U68" s="27">
        <f t="shared" si="24"/>
        <v>0</v>
      </c>
      <c r="V68" s="27">
        <f t="shared" ca="1" si="24"/>
        <v>43240</v>
      </c>
      <c r="W68" s="27">
        <f t="shared" ca="1" si="24"/>
        <v>0</v>
      </c>
      <c r="X68" s="27">
        <f t="shared" ca="1" si="24"/>
        <v>0</v>
      </c>
      <c r="Y68" s="27">
        <f t="shared" ca="1" si="24"/>
        <v>0</v>
      </c>
      <c r="Z68" s="27">
        <f t="shared" si="24"/>
        <v>0</v>
      </c>
      <c r="AA68" s="27">
        <f t="shared" si="24"/>
        <v>0</v>
      </c>
      <c r="AB68" s="27">
        <f t="shared" si="24"/>
        <v>0</v>
      </c>
      <c r="AC68" s="27">
        <f t="shared" si="24"/>
        <v>0</v>
      </c>
      <c r="AD68" s="27">
        <f t="shared" si="24"/>
        <v>0</v>
      </c>
      <c r="AE68" s="27">
        <f t="shared" ca="1" si="24"/>
        <v>20640</v>
      </c>
      <c r="AF68" s="27">
        <f t="shared" ca="1" si="24"/>
        <v>4117.5</v>
      </c>
      <c r="AG68" s="27">
        <f t="shared" si="24"/>
        <v>0</v>
      </c>
      <c r="AH68" s="27">
        <f t="shared" si="24"/>
        <v>0</v>
      </c>
      <c r="AI68" s="27">
        <f t="shared" si="24"/>
        <v>0</v>
      </c>
      <c r="AJ68" s="73">
        <f ca="1">SUM(E68:AI68)</f>
        <v>154885</v>
      </c>
      <c r="AK68" s="27">
        <f t="shared" ref="AK68:BH68" si="25">AK65*AK66</f>
        <v>0</v>
      </c>
      <c r="AL68" s="27">
        <f t="shared" si="25"/>
        <v>0</v>
      </c>
      <c r="AM68" s="27">
        <f t="shared" ca="1" si="25"/>
        <v>31387.5</v>
      </c>
      <c r="AN68" s="27">
        <f t="shared" ca="1" si="25"/>
        <v>9660</v>
      </c>
      <c r="AO68" s="27">
        <f t="shared" si="25"/>
        <v>0</v>
      </c>
      <c r="AP68" s="27">
        <f t="shared" si="25"/>
        <v>0</v>
      </c>
      <c r="AQ68" s="27">
        <f t="shared" si="25"/>
        <v>0</v>
      </c>
      <c r="AR68" s="27">
        <f t="shared" ca="1" si="25"/>
        <v>43240</v>
      </c>
      <c r="AS68" s="27">
        <f t="shared" si="25"/>
        <v>0</v>
      </c>
      <c r="AT68" s="27">
        <f t="shared" si="25"/>
        <v>0</v>
      </c>
      <c r="AU68" s="27">
        <f t="shared" si="25"/>
        <v>0</v>
      </c>
      <c r="AV68" s="27">
        <f t="shared" si="25"/>
        <v>0</v>
      </c>
      <c r="AW68" s="27">
        <f t="shared" si="25"/>
        <v>0</v>
      </c>
      <c r="AX68" s="27">
        <f t="shared" si="25"/>
        <v>0</v>
      </c>
      <c r="AY68" s="27">
        <f t="shared" si="25"/>
        <v>0</v>
      </c>
      <c r="AZ68" s="27">
        <f t="shared" si="25"/>
        <v>0</v>
      </c>
      <c r="BA68" s="27">
        <f t="shared" ca="1" si="25"/>
        <v>12630</v>
      </c>
      <c r="BB68" s="27">
        <f t="shared" si="25"/>
        <v>0</v>
      </c>
      <c r="BC68" s="27">
        <f t="shared" si="25"/>
        <v>0</v>
      </c>
      <c r="BD68" s="27">
        <f t="shared" si="25"/>
        <v>0</v>
      </c>
      <c r="BE68" s="27">
        <f t="shared" si="25"/>
        <v>0</v>
      </c>
      <c r="BF68" s="27">
        <f t="shared" si="25"/>
        <v>0</v>
      </c>
      <c r="BG68" s="27">
        <f t="shared" si="25"/>
        <v>0</v>
      </c>
      <c r="BH68" s="27">
        <f t="shared" si="25"/>
        <v>0</v>
      </c>
      <c r="BI68" s="73">
        <f ca="1">SUM(AK68:BH68)</f>
        <v>96917.5</v>
      </c>
      <c r="BJ68" s="69">
        <f ca="1">BI74+AJ74</f>
        <v>7710</v>
      </c>
    </row>
    <row r="69" spans="1:63" x14ac:dyDescent="0.3">
      <c r="A69" s="21"/>
      <c r="B69" s="22"/>
      <c r="C69" s="22"/>
      <c r="D69" s="21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72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72"/>
      <c r="BJ69" s="68"/>
    </row>
    <row r="70" spans="1:63" ht="15" thickBot="1" x14ac:dyDescent="0.35">
      <c r="A70" s="21" t="s">
        <v>119</v>
      </c>
      <c r="B70" s="22"/>
      <c r="C70" s="22"/>
      <c r="D70" s="21"/>
      <c r="E70" s="27"/>
      <c r="F70" s="27"/>
      <c r="G70" s="27"/>
      <c r="H70" s="27"/>
      <c r="I70" s="27"/>
      <c r="J70" s="27"/>
      <c r="K70" s="27"/>
      <c r="L70" s="27"/>
      <c r="M70" s="31" t="s">
        <v>45</v>
      </c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31" t="s">
        <v>45</v>
      </c>
      <c r="AI70" s="27"/>
      <c r="AJ70" s="72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 t="s">
        <v>0</v>
      </c>
      <c r="AX70" s="27"/>
      <c r="AY70" s="31" t="s">
        <v>43</v>
      </c>
      <c r="AZ70" s="27"/>
      <c r="BA70" s="27"/>
      <c r="BB70" s="27"/>
      <c r="BC70" s="27"/>
      <c r="BD70" s="27"/>
      <c r="BE70" s="27"/>
      <c r="BF70" s="27"/>
      <c r="BG70" s="27"/>
      <c r="BH70" s="27"/>
      <c r="BI70" s="72"/>
      <c r="BJ70" s="70">
        <f ca="1">BI76+AJ76</f>
        <v>1965699.5</v>
      </c>
    </row>
    <row r="71" spans="1:63" s="99" customFormat="1" ht="15" thickTop="1" x14ac:dyDescent="0.3">
      <c r="A71" s="21"/>
      <c r="B71" s="22" t="s">
        <v>120</v>
      </c>
      <c r="C71" s="22"/>
      <c r="D71" s="21"/>
      <c r="E71" s="27"/>
      <c r="F71" s="27"/>
      <c r="G71" s="27"/>
      <c r="H71" s="27"/>
      <c r="I71" s="27"/>
      <c r="J71" s="27"/>
      <c r="K71" s="27"/>
      <c r="L71" s="27"/>
      <c r="M71" s="4">
        <v>20</v>
      </c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4">
        <v>20</v>
      </c>
      <c r="AI71" s="27"/>
      <c r="AJ71" s="72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4">
        <v>20</v>
      </c>
      <c r="AZ71" s="27"/>
      <c r="BA71" s="27"/>
      <c r="BB71" s="27"/>
      <c r="BC71" s="27"/>
      <c r="BD71" s="27"/>
      <c r="BE71" s="27"/>
      <c r="BF71" s="27"/>
      <c r="BG71" s="27"/>
      <c r="BH71" s="27"/>
      <c r="BI71" s="72"/>
      <c r="BJ71" s="132"/>
    </row>
    <row r="72" spans="1:63" s="99" customFormat="1" x14ac:dyDescent="0.3">
      <c r="A72" s="21"/>
      <c r="B72" s="7" t="s">
        <v>118</v>
      </c>
      <c r="C72" s="32">
        <v>0.5</v>
      </c>
      <c r="D72" s="21"/>
      <c r="E72" s="27"/>
      <c r="F72" s="27"/>
      <c r="G72" s="27"/>
      <c r="H72" s="27"/>
      <c r="I72" s="27"/>
      <c r="J72" s="27"/>
      <c r="K72" s="27"/>
      <c r="L72" s="27"/>
      <c r="M72" s="4">
        <f ca="1">'SYCamp# &amp; Expenses'!M34*$C$72</f>
        <v>114.5</v>
      </c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>
        <f ca="1">'SYCamp# &amp; Expenses'!AH34*$C$72</f>
        <v>91.5</v>
      </c>
      <c r="AI72" s="27"/>
      <c r="AJ72" s="73" t="s">
        <v>0</v>
      </c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4">
        <f ca="1">'SYCamp# &amp; Expenses'!AY34*$C$72</f>
        <v>179.5</v>
      </c>
      <c r="AZ72" s="27"/>
      <c r="BA72" s="27"/>
      <c r="BB72" s="27"/>
      <c r="BC72" s="27"/>
      <c r="BD72" s="27"/>
      <c r="BE72" s="27"/>
      <c r="BF72" s="27"/>
      <c r="BG72" s="27"/>
      <c r="BH72" s="27"/>
      <c r="BI72" s="72"/>
      <c r="BJ72" s="132"/>
    </row>
    <row r="73" spans="1:63" x14ac:dyDescent="0.3">
      <c r="A73" s="21"/>
      <c r="B73" s="7"/>
      <c r="C73" s="32"/>
      <c r="D73" s="21"/>
      <c r="E73" s="27"/>
      <c r="F73" s="27"/>
      <c r="G73" s="27"/>
      <c r="H73" s="27"/>
      <c r="I73" s="27"/>
      <c r="J73" s="27"/>
      <c r="K73" s="27"/>
      <c r="L73" s="27"/>
      <c r="M73" s="4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72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4"/>
      <c r="AZ73" s="27"/>
      <c r="BA73" s="27"/>
      <c r="BB73" s="27"/>
      <c r="BC73" s="27"/>
      <c r="BD73" s="27"/>
      <c r="BE73" s="27"/>
      <c r="BF73" s="27"/>
      <c r="BG73" s="27"/>
      <c r="BH73" s="27"/>
      <c r="BI73" s="72"/>
      <c r="BJ73" s="140">
        <f ca="1">BI79+AJ79</f>
        <v>380021.10000000003</v>
      </c>
      <c r="BK73" s="128" t="s">
        <v>0</v>
      </c>
    </row>
    <row r="74" spans="1:63" x14ac:dyDescent="0.3">
      <c r="A74" s="21" t="s">
        <v>119</v>
      </c>
      <c r="B74" s="7"/>
      <c r="C74" s="32"/>
      <c r="D74" s="21"/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f ca="1">M72*M71</f>
        <v>2290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f ca="1">AH72*AH71</f>
        <v>1830</v>
      </c>
      <c r="AI74" s="27">
        <v>0</v>
      </c>
      <c r="AJ74" s="73">
        <f ca="1">SUM(E74:AI74)</f>
        <v>4120</v>
      </c>
      <c r="AK74" s="27">
        <v>0</v>
      </c>
      <c r="AL74" s="27">
        <v>0</v>
      </c>
      <c r="AM74" s="27">
        <v>0</v>
      </c>
      <c r="AN74" s="27">
        <v>0</v>
      </c>
      <c r="AO74" s="27">
        <v>0</v>
      </c>
      <c r="AP74" s="27">
        <v>0</v>
      </c>
      <c r="AQ74" s="27">
        <v>0</v>
      </c>
      <c r="AR74" s="27">
        <v>0</v>
      </c>
      <c r="AS74" s="27">
        <v>0</v>
      </c>
      <c r="AT74" s="27">
        <v>0</v>
      </c>
      <c r="AU74" s="27">
        <v>0</v>
      </c>
      <c r="AV74" s="27">
        <v>0</v>
      </c>
      <c r="AW74" s="27">
        <v>0</v>
      </c>
      <c r="AX74" s="27">
        <v>0</v>
      </c>
      <c r="AY74" s="27">
        <f ca="1">AY72*AY71</f>
        <v>3590</v>
      </c>
      <c r="AZ74" s="27">
        <v>0</v>
      </c>
      <c r="BA74" s="27">
        <v>0</v>
      </c>
      <c r="BB74" s="27">
        <v>0</v>
      </c>
      <c r="BC74" s="27">
        <v>0</v>
      </c>
      <c r="BD74" s="27">
        <v>0</v>
      </c>
      <c r="BE74" s="27">
        <v>0</v>
      </c>
      <c r="BF74" s="27">
        <v>0</v>
      </c>
      <c r="BG74" s="27">
        <v>0</v>
      </c>
      <c r="BH74" s="27">
        <v>0</v>
      </c>
      <c r="BI74" s="72">
        <f ca="1">SUM(AK74:BH74)</f>
        <v>3590</v>
      </c>
      <c r="BK74" s="129"/>
    </row>
    <row r="75" spans="1:63" x14ac:dyDescent="0.3">
      <c r="A75" s="3"/>
      <c r="B75" s="7"/>
      <c r="C75" s="8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3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71"/>
    </row>
    <row r="76" spans="1:63" ht="15" thickBot="1" x14ac:dyDescent="0.35">
      <c r="A76" s="81" t="s">
        <v>121</v>
      </c>
      <c r="B76" s="12"/>
      <c r="C76" s="12"/>
      <c r="D76" s="11"/>
      <c r="E76" s="59">
        <f>E68+E61+E54+E47+E34+E27+E21+E15+E74</f>
        <v>58292.75</v>
      </c>
      <c r="F76" s="59">
        <f t="shared" ref="F76:BH76" si="26">F68+F61+F54+F47+F34+F27+F21+F15+F74</f>
        <v>16599</v>
      </c>
      <c r="G76" s="59">
        <f t="shared" ca="1" si="26"/>
        <v>36837.5</v>
      </c>
      <c r="H76" s="59">
        <f t="shared" ca="1" si="26"/>
        <v>20985</v>
      </c>
      <c r="I76" s="59">
        <f t="shared" ca="1" si="26"/>
        <v>20985</v>
      </c>
      <c r="J76" s="59">
        <f t="shared" ca="1" si="26"/>
        <v>43185</v>
      </c>
      <c r="K76" s="59">
        <f t="shared" ca="1" si="26"/>
        <v>50573.5</v>
      </c>
      <c r="L76" s="59">
        <f t="shared" ca="1" si="26"/>
        <v>26501</v>
      </c>
      <c r="M76" s="59">
        <f t="shared" ca="1" si="26"/>
        <v>28791</v>
      </c>
      <c r="N76" s="59">
        <f t="shared" ca="1" si="26"/>
        <v>26501</v>
      </c>
      <c r="O76" s="59">
        <f t="shared" ca="1" si="26"/>
        <v>26501</v>
      </c>
      <c r="P76" s="59">
        <f t="shared" ca="1" si="26"/>
        <v>25598</v>
      </c>
      <c r="Q76" s="59">
        <f t="shared" ca="1" si="26"/>
        <v>70553</v>
      </c>
      <c r="R76" s="59">
        <f t="shared" ca="1" si="26"/>
        <v>47413.25</v>
      </c>
      <c r="S76" s="59">
        <f t="shared" ca="1" si="26"/>
        <v>27827</v>
      </c>
      <c r="T76" s="59">
        <f t="shared" ca="1" si="26"/>
        <v>27827</v>
      </c>
      <c r="U76" s="59">
        <f t="shared" ca="1" si="26"/>
        <v>27827</v>
      </c>
      <c r="V76" s="59">
        <f t="shared" ca="1" si="26"/>
        <v>65816</v>
      </c>
      <c r="W76" s="59">
        <f t="shared" ca="1" si="26"/>
        <v>22576</v>
      </c>
      <c r="X76" s="59">
        <f t="shared" ca="1" si="26"/>
        <v>22576</v>
      </c>
      <c r="Y76" s="59">
        <f t="shared" ca="1" si="26"/>
        <v>39856.75</v>
      </c>
      <c r="Z76" s="59">
        <f t="shared" ca="1" si="26"/>
        <v>21268</v>
      </c>
      <c r="AA76" s="59">
        <f t="shared" ca="1" si="26"/>
        <v>21268</v>
      </c>
      <c r="AB76" s="59">
        <f t="shared" ca="1" si="26"/>
        <v>21268</v>
      </c>
      <c r="AC76" s="59">
        <f t="shared" ca="1" si="26"/>
        <v>21268</v>
      </c>
      <c r="AD76" s="59">
        <f t="shared" ca="1" si="26"/>
        <v>21268</v>
      </c>
      <c r="AE76" s="59">
        <f t="shared" ca="1" si="26"/>
        <v>41908</v>
      </c>
      <c r="AF76" s="59">
        <f t="shared" ca="1" si="26"/>
        <v>31933.25</v>
      </c>
      <c r="AG76" s="59">
        <f t="shared" ca="1" si="26"/>
        <v>22687</v>
      </c>
      <c r="AH76" s="59">
        <f t="shared" ca="1" si="26"/>
        <v>24517</v>
      </c>
      <c r="AI76" s="59">
        <f t="shared" ca="1" si="26"/>
        <v>18301</v>
      </c>
      <c r="AJ76" s="507">
        <f ca="1">SUM(E76:AI76)</f>
        <v>979308</v>
      </c>
      <c r="AK76" s="59">
        <f t="shared" ca="1" si="26"/>
        <v>18301</v>
      </c>
      <c r="AL76" s="59">
        <f t="shared" ca="1" si="26"/>
        <v>18614</v>
      </c>
      <c r="AM76" s="59">
        <f t="shared" ca="1" si="26"/>
        <v>50492.5</v>
      </c>
      <c r="AN76" s="59">
        <f t="shared" ca="1" si="26"/>
        <v>29434</v>
      </c>
      <c r="AO76" s="59">
        <f t="shared" ca="1" si="26"/>
        <v>20621</v>
      </c>
      <c r="AP76" s="59">
        <f t="shared" ca="1" si="26"/>
        <v>21646</v>
      </c>
      <c r="AQ76" s="59">
        <f t="shared" ca="1" si="26"/>
        <v>22849</v>
      </c>
      <c r="AR76" s="59">
        <f t="shared" ca="1" si="26"/>
        <v>67470</v>
      </c>
      <c r="AS76" s="59">
        <f t="shared" ca="1" si="26"/>
        <v>25789</v>
      </c>
      <c r="AT76" s="59">
        <f t="shared" ca="1" si="26"/>
        <v>27526</v>
      </c>
      <c r="AU76" s="59">
        <f t="shared" ca="1" si="26"/>
        <v>29441</v>
      </c>
      <c r="AV76" s="59">
        <f t="shared" ca="1" si="26"/>
        <v>31534</v>
      </c>
      <c r="AW76" s="59">
        <f t="shared" ca="1" si="26"/>
        <v>33805</v>
      </c>
      <c r="AX76" s="59">
        <f t="shared" ca="1" si="26"/>
        <v>36254</v>
      </c>
      <c r="AY76" s="59">
        <f t="shared" ca="1" si="26"/>
        <v>42471</v>
      </c>
      <c r="AZ76" s="59">
        <f t="shared" ca="1" si="26"/>
        <v>41686</v>
      </c>
      <c r="BA76" s="59">
        <f t="shared" ca="1" si="26"/>
        <v>57299</v>
      </c>
      <c r="BB76" s="59">
        <f t="shared" ca="1" si="26"/>
        <v>47830</v>
      </c>
      <c r="BC76" s="59">
        <f t="shared" ca="1" si="26"/>
        <v>51169</v>
      </c>
      <c r="BD76" s="59">
        <f t="shared" ca="1" si="26"/>
        <v>54686</v>
      </c>
      <c r="BE76" s="59">
        <f t="shared" ca="1" si="26"/>
        <v>58381</v>
      </c>
      <c r="BF76" s="59">
        <f t="shared" ca="1" si="26"/>
        <v>62254</v>
      </c>
      <c r="BG76" s="59">
        <f t="shared" ca="1" si="26"/>
        <v>66305</v>
      </c>
      <c r="BH76" s="59">
        <f t="shared" ca="1" si="26"/>
        <v>70534</v>
      </c>
      <c r="BI76" s="75">
        <f ca="1">SUM(AK76:BH76)</f>
        <v>986391.5</v>
      </c>
    </row>
    <row r="77" spans="1:63" ht="15" thickTop="1" x14ac:dyDescent="0.3">
      <c r="A77" s="41"/>
      <c r="B77" s="22"/>
      <c r="C77" s="22"/>
      <c r="D77" s="21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73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73"/>
    </row>
    <row r="78" spans="1:63" x14ac:dyDescent="0.3">
      <c r="A78" s="41"/>
      <c r="B78" s="22"/>
      <c r="C78" s="22"/>
      <c r="D78" s="21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73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73"/>
    </row>
    <row r="79" spans="1:63" x14ac:dyDescent="0.3">
      <c r="A79" s="133" t="s">
        <v>122</v>
      </c>
      <c r="B79" s="134">
        <v>0.3</v>
      </c>
      <c r="C79" s="135"/>
      <c r="D79" s="136"/>
      <c r="E79" s="172">
        <f>E15*$B$79</f>
        <v>4031.7</v>
      </c>
      <c r="F79" s="137">
        <f t="shared" ref="F79:AI79" si="27">F15*$B$79</f>
        <v>4031.7</v>
      </c>
      <c r="G79" s="137">
        <f t="shared" ca="1" si="27"/>
        <v>4939.5</v>
      </c>
      <c r="H79" s="137">
        <f t="shared" ca="1" si="27"/>
        <v>4939.5</v>
      </c>
      <c r="I79" s="137">
        <f t="shared" ca="1" si="27"/>
        <v>4939.5</v>
      </c>
      <c r="J79" s="137">
        <f t="shared" ca="1" si="27"/>
        <v>4939.5</v>
      </c>
      <c r="K79" s="137">
        <f t="shared" ca="1" si="27"/>
        <v>6114.3</v>
      </c>
      <c r="L79" s="137">
        <f t="shared" ca="1" si="27"/>
        <v>6114.3</v>
      </c>
      <c r="M79" s="137">
        <f t="shared" ca="1" si="27"/>
        <v>6114.3</v>
      </c>
      <c r="N79" s="137">
        <f t="shared" ca="1" si="27"/>
        <v>6114.3</v>
      </c>
      <c r="O79" s="137">
        <f t="shared" ca="1" si="27"/>
        <v>6114.3</v>
      </c>
      <c r="P79" s="137">
        <f t="shared" ca="1" si="27"/>
        <v>5927.4</v>
      </c>
      <c r="Q79" s="137">
        <f t="shared" ca="1" si="27"/>
        <v>5927.4</v>
      </c>
      <c r="R79" s="137">
        <f t="shared" ca="1" si="27"/>
        <v>6488.0999999999995</v>
      </c>
      <c r="S79" s="137">
        <f t="shared" ca="1" si="27"/>
        <v>6488.0999999999995</v>
      </c>
      <c r="T79" s="137">
        <f t="shared" ca="1" si="27"/>
        <v>6488.0999999999995</v>
      </c>
      <c r="U79" s="137">
        <f t="shared" ca="1" si="27"/>
        <v>6488.0999999999995</v>
      </c>
      <c r="V79" s="137">
        <f t="shared" ca="1" si="27"/>
        <v>4912.8</v>
      </c>
      <c r="W79" s="137">
        <f t="shared" ca="1" si="27"/>
        <v>4912.8</v>
      </c>
      <c r="X79" s="137">
        <f t="shared" ca="1" si="27"/>
        <v>4912.8</v>
      </c>
      <c r="Y79" s="137">
        <f t="shared" ca="1" si="27"/>
        <v>4592.3999999999996</v>
      </c>
      <c r="Z79" s="137">
        <f t="shared" ca="1" si="27"/>
        <v>4592.3999999999996</v>
      </c>
      <c r="AA79" s="137">
        <f t="shared" ca="1" si="27"/>
        <v>4592.3999999999996</v>
      </c>
      <c r="AB79" s="137">
        <f t="shared" ca="1" si="27"/>
        <v>4592.3999999999996</v>
      </c>
      <c r="AC79" s="137">
        <f t="shared" ca="1" si="27"/>
        <v>4592.3999999999996</v>
      </c>
      <c r="AD79" s="137">
        <f t="shared" ca="1" si="27"/>
        <v>4592.3999999999996</v>
      </c>
      <c r="AE79" s="137">
        <f t="shared" ca="1" si="27"/>
        <v>4592.3999999999996</v>
      </c>
      <c r="AF79" s="137">
        <f t="shared" ca="1" si="27"/>
        <v>4886.0999999999995</v>
      </c>
      <c r="AG79" s="172">
        <f t="shared" ca="1" si="27"/>
        <v>4886.0999999999995</v>
      </c>
      <c r="AH79" s="137">
        <f t="shared" ca="1" si="27"/>
        <v>4886.0999999999995</v>
      </c>
      <c r="AI79" s="137">
        <f t="shared" ca="1" si="27"/>
        <v>3978.2999999999997</v>
      </c>
      <c r="AJ79" s="138">
        <f ca="1">SUM(E79:AI79)</f>
        <v>161721.90000000002</v>
      </c>
      <c r="AK79" s="137">
        <f ca="1">AK15*$B$79</f>
        <v>3978.2999999999997</v>
      </c>
      <c r="AL79" s="137">
        <f t="shared" ref="AL79:BH79" ca="1" si="28">AL15*$B$79</f>
        <v>4031.7</v>
      </c>
      <c r="AM79" s="137">
        <f t="shared" ca="1" si="28"/>
        <v>4138.5</v>
      </c>
      <c r="AN79" s="137">
        <f t="shared" ca="1" si="28"/>
        <v>4298.7</v>
      </c>
      <c r="AO79" s="137">
        <f t="shared" ca="1" si="28"/>
        <v>4512.3</v>
      </c>
      <c r="AP79" s="137">
        <f t="shared" ca="1" si="28"/>
        <v>4779.3</v>
      </c>
      <c r="AQ79" s="137">
        <f t="shared" ca="1" si="28"/>
        <v>5099.7</v>
      </c>
      <c r="AR79" s="137">
        <f t="shared" ca="1" si="28"/>
        <v>5473.5</v>
      </c>
      <c r="AS79" s="137">
        <f t="shared" ca="1" si="28"/>
        <v>5900.7</v>
      </c>
      <c r="AT79" s="137">
        <f t="shared" ca="1" si="28"/>
        <v>6381.3</v>
      </c>
      <c r="AU79" s="137">
        <f t="shared" ca="1" si="28"/>
        <v>6915.3</v>
      </c>
      <c r="AV79" s="137">
        <f t="shared" ca="1" si="28"/>
        <v>7502.7</v>
      </c>
      <c r="AW79" s="137">
        <f t="shared" ca="1" si="28"/>
        <v>8143.5</v>
      </c>
      <c r="AX79" s="137">
        <f t="shared" ca="1" si="28"/>
        <v>8837.6999999999989</v>
      </c>
      <c r="AY79" s="137">
        <f t="shared" ca="1" si="28"/>
        <v>9585.2999999999993</v>
      </c>
      <c r="AZ79" s="137">
        <f t="shared" ca="1" si="28"/>
        <v>10386.299999999999</v>
      </c>
      <c r="BA79" s="137">
        <f t="shared" ca="1" si="28"/>
        <v>11240.699999999999</v>
      </c>
      <c r="BB79" s="137">
        <f t="shared" ca="1" si="28"/>
        <v>12148.5</v>
      </c>
      <c r="BC79" s="137">
        <f t="shared" ca="1" si="28"/>
        <v>13109.699999999999</v>
      </c>
      <c r="BD79" s="137">
        <f t="shared" ca="1" si="28"/>
        <v>14124.3</v>
      </c>
      <c r="BE79" s="137">
        <f t="shared" ca="1" si="28"/>
        <v>15192.3</v>
      </c>
      <c r="BF79" s="137">
        <f t="shared" ca="1" si="28"/>
        <v>16313.699999999999</v>
      </c>
      <c r="BG79" s="137">
        <f t="shared" ca="1" si="28"/>
        <v>17488.5</v>
      </c>
      <c r="BH79" s="172">
        <f t="shared" ca="1" si="28"/>
        <v>18716.7</v>
      </c>
      <c r="BI79" s="139">
        <f ca="1">SUM(AK79:BH79)</f>
        <v>218299.2</v>
      </c>
    </row>
    <row r="98" spans="1:62" x14ac:dyDescent="0.3">
      <c r="BJ98" s="94" t="s">
        <v>0</v>
      </c>
    </row>
    <row r="104" spans="1:62" x14ac:dyDescent="0.3">
      <c r="A104" s="60"/>
      <c r="B104" s="43"/>
      <c r="C104" s="43"/>
      <c r="D104" s="42"/>
      <c r="E104" s="174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174"/>
      <c r="AH104" s="43"/>
      <c r="AI104" s="43"/>
      <c r="AJ104" s="92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174"/>
      <c r="BI104" s="93"/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BJ560"/>
  <sheetViews>
    <sheetView topLeftCell="A59" zoomScale="83" zoomScaleNormal="83" workbookViewId="0">
      <pane xSplit="1" topLeftCell="AV1" activePane="topRight" state="frozen"/>
      <selection pane="topRight" activeCell="AZ59" sqref="AZ59"/>
    </sheetView>
  </sheetViews>
  <sheetFormatPr defaultColWidth="9.109375" defaultRowHeight="14.4" x14ac:dyDescent="0.3"/>
  <cols>
    <col min="1" max="1" width="41.6640625" style="13" customWidth="1"/>
    <col min="2" max="2" width="34" style="14" customWidth="1"/>
    <col min="3" max="3" width="23.6640625" style="14" customWidth="1"/>
    <col min="4" max="4" width="6.33203125" style="13" customWidth="1"/>
    <col min="5" max="5" width="16.44140625" style="13" bestFit="1" customWidth="1"/>
    <col min="6" max="9" width="14.33203125" style="13" bestFit="1" customWidth="1"/>
    <col min="10" max="10" width="16.33203125" style="13" customWidth="1"/>
    <col min="11" max="35" width="14.33203125" style="13" bestFit="1" customWidth="1"/>
    <col min="36" max="36" width="14.33203125" style="62" customWidth="1"/>
    <col min="37" max="60" width="14.33203125" style="13" bestFit="1" customWidth="1"/>
    <col min="61" max="61" width="16.5546875" style="13" customWidth="1"/>
    <col min="62" max="62" width="21.6640625" style="13" customWidth="1"/>
    <col min="63" max="16384" width="9.109375" style="13"/>
  </cols>
  <sheetData>
    <row r="1" spans="1:61" x14ac:dyDescent="0.3">
      <c r="E1" s="15">
        <f>DATE(YEAR(E3),MONTH(E3),1)</f>
        <v>43647</v>
      </c>
      <c r="F1" s="15">
        <f>DATE(YEAR(F3),MONTH(F3),1)</f>
        <v>43647</v>
      </c>
      <c r="G1" s="15">
        <f t="shared" ref="G1:BG1" si="0">DATE(YEAR(G3),MONTH(G3),1)</f>
        <v>43647</v>
      </c>
      <c r="H1" s="15">
        <f t="shared" si="0"/>
        <v>43647</v>
      </c>
      <c r="I1" s="15">
        <f t="shared" si="0"/>
        <v>43647</v>
      </c>
      <c r="J1" s="15">
        <f t="shared" si="0"/>
        <v>43647</v>
      </c>
      <c r="K1" s="15">
        <f t="shared" si="0"/>
        <v>43647</v>
      </c>
      <c r="L1" s="15">
        <f t="shared" si="0"/>
        <v>43647</v>
      </c>
      <c r="M1" s="15">
        <f t="shared" si="0"/>
        <v>43647</v>
      </c>
      <c r="N1" s="15">
        <f t="shared" si="0"/>
        <v>43647</v>
      </c>
      <c r="O1" s="15">
        <f t="shared" si="0"/>
        <v>43647</v>
      </c>
      <c r="P1" s="15">
        <f t="shared" si="0"/>
        <v>43647</v>
      </c>
      <c r="Q1" s="15">
        <f t="shared" si="0"/>
        <v>43647</v>
      </c>
      <c r="R1" s="15">
        <f t="shared" si="0"/>
        <v>43647</v>
      </c>
      <c r="S1" s="15">
        <f t="shared" si="0"/>
        <v>43647</v>
      </c>
      <c r="T1" s="15">
        <f t="shared" si="0"/>
        <v>43647</v>
      </c>
      <c r="U1" s="15">
        <f t="shared" si="0"/>
        <v>43647</v>
      </c>
      <c r="V1" s="15">
        <f t="shared" si="0"/>
        <v>43647</v>
      </c>
      <c r="W1" s="15">
        <f t="shared" si="0"/>
        <v>43647</v>
      </c>
      <c r="X1" s="15">
        <f t="shared" si="0"/>
        <v>43647</v>
      </c>
      <c r="Y1" s="15">
        <f t="shared" si="0"/>
        <v>43647</v>
      </c>
      <c r="Z1" s="15">
        <f t="shared" si="0"/>
        <v>43647</v>
      </c>
      <c r="AA1" s="15">
        <f t="shared" si="0"/>
        <v>43647</v>
      </c>
      <c r="AB1" s="15">
        <f t="shared" si="0"/>
        <v>43647</v>
      </c>
      <c r="AC1" s="15">
        <f t="shared" si="0"/>
        <v>43647</v>
      </c>
      <c r="AD1" s="15">
        <f t="shared" si="0"/>
        <v>43647</v>
      </c>
      <c r="AE1" s="15">
        <f t="shared" si="0"/>
        <v>43647</v>
      </c>
      <c r="AF1" s="15">
        <f t="shared" si="0"/>
        <v>43647</v>
      </c>
      <c r="AG1" s="15">
        <f t="shared" si="0"/>
        <v>43647</v>
      </c>
      <c r="AH1" s="15">
        <f t="shared" si="0"/>
        <v>43647</v>
      </c>
      <c r="AI1" s="15">
        <f t="shared" si="0"/>
        <v>43647</v>
      </c>
      <c r="AJ1" s="257"/>
      <c r="AK1" s="15">
        <f t="shared" si="0"/>
        <v>43678</v>
      </c>
      <c r="AL1" s="15">
        <f t="shared" si="0"/>
        <v>43678</v>
      </c>
      <c r="AM1" s="15">
        <f t="shared" si="0"/>
        <v>43678</v>
      </c>
      <c r="AN1" s="15">
        <f t="shared" si="0"/>
        <v>43678</v>
      </c>
      <c r="AO1" s="15">
        <f t="shared" si="0"/>
        <v>43678</v>
      </c>
      <c r="AP1" s="15">
        <f t="shared" si="0"/>
        <v>43678</v>
      </c>
      <c r="AQ1" s="15">
        <f t="shared" si="0"/>
        <v>43678</v>
      </c>
      <c r="AR1" s="15">
        <f t="shared" si="0"/>
        <v>43678</v>
      </c>
      <c r="AS1" s="15">
        <f t="shared" si="0"/>
        <v>43678</v>
      </c>
      <c r="AT1" s="15">
        <f t="shared" si="0"/>
        <v>43678</v>
      </c>
      <c r="AU1" s="15">
        <f t="shared" si="0"/>
        <v>43678</v>
      </c>
      <c r="AV1" s="15">
        <f t="shared" si="0"/>
        <v>43678</v>
      </c>
      <c r="AW1" s="15">
        <f t="shared" si="0"/>
        <v>43678</v>
      </c>
      <c r="AX1" s="15">
        <f t="shared" si="0"/>
        <v>43678</v>
      </c>
      <c r="AY1" s="15">
        <f t="shared" si="0"/>
        <v>43678</v>
      </c>
      <c r="AZ1" s="15">
        <f t="shared" si="0"/>
        <v>43678</v>
      </c>
      <c r="BA1" s="15">
        <f t="shared" si="0"/>
        <v>43678</v>
      </c>
      <c r="BB1" s="15">
        <f t="shared" si="0"/>
        <v>43678</v>
      </c>
      <c r="BC1" s="15">
        <f t="shared" si="0"/>
        <v>43678</v>
      </c>
      <c r="BD1" s="15">
        <f t="shared" si="0"/>
        <v>43678</v>
      </c>
      <c r="BE1" s="15">
        <f t="shared" si="0"/>
        <v>43678</v>
      </c>
      <c r="BF1" s="15">
        <f t="shared" si="0"/>
        <v>43678</v>
      </c>
      <c r="BG1" s="15">
        <f t="shared" si="0"/>
        <v>43678</v>
      </c>
      <c r="BH1" s="15">
        <f t="shared" ref="BH1" si="1">DATE(YEAR(BH3),MONTH(BH3),1)</f>
        <v>43678</v>
      </c>
      <c r="BI1" s="178"/>
    </row>
    <row r="2" spans="1:61" x14ac:dyDescent="0.3">
      <c r="E2" s="16">
        <f>ROUNDUP(E5/7,0)</f>
        <v>1</v>
      </c>
      <c r="F2" s="16">
        <f t="shared" ref="F2:BG2" si="2">ROUNDUP(F5/7,0)</f>
        <v>1</v>
      </c>
      <c r="G2" s="16">
        <f t="shared" si="2"/>
        <v>1</v>
      </c>
      <c r="H2" s="16">
        <f t="shared" si="2"/>
        <v>1</v>
      </c>
      <c r="I2" s="16">
        <f t="shared" si="2"/>
        <v>1</v>
      </c>
      <c r="J2" s="16">
        <f t="shared" si="2"/>
        <v>1</v>
      </c>
      <c r="K2" s="16">
        <f t="shared" si="2"/>
        <v>1</v>
      </c>
      <c r="L2" s="16">
        <f t="shared" si="2"/>
        <v>2</v>
      </c>
      <c r="M2" s="16">
        <f t="shared" si="2"/>
        <v>2</v>
      </c>
      <c r="N2" s="16">
        <f t="shared" si="2"/>
        <v>2</v>
      </c>
      <c r="O2" s="16">
        <f t="shared" si="2"/>
        <v>2</v>
      </c>
      <c r="P2" s="16">
        <f t="shared" si="2"/>
        <v>2</v>
      </c>
      <c r="Q2" s="16">
        <f t="shared" si="2"/>
        <v>2</v>
      </c>
      <c r="R2" s="16">
        <f t="shared" si="2"/>
        <v>2</v>
      </c>
      <c r="S2" s="16">
        <f t="shared" si="2"/>
        <v>3</v>
      </c>
      <c r="T2" s="16">
        <f t="shared" si="2"/>
        <v>3</v>
      </c>
      <c r="U2" s="16">
        <f t="shared" si="2"/>
        <v>3</v>
      </c>
      <c r="V2" s="16">
        <f t="shared" si="2"/>
        <v>3</v>
      </c>
      <c r="W2" s="16">
        <f t="shared" si="2"/>
        <v>3</v>
      </c>
      <c r="X2" s="16">
        <f t="shared" si="2"/>
        <v>3</v>
      </c>
      <c r="Y2" s="16">
        <f t="shared" si="2"/>
        <v>3</v>
      </c>
      <c r="Z2" s="16">
        <f t="shared" si="2"/>
        <v>4</v>
      </c>
      <c r="AA2" s="16">
        <f t="shared" si="2"/>
        <v>4</v>
      </c>
      <c r="AB2" s="16">
        <f t="shared" si="2"/>
        <v>4</v>
      </c>
      <c r="AC2" s="16">
        <f t="shared" si="2"/>
        <v>4</v>
      </c>
      <c r="AD2" s="16">
        <f t="shared" si="2"/>
        <v>4</v>
      </c>
      <c r="AE2" s="16">
        <f t="shared" si="2"/>
        <v>4</v>
      </c>
      <c r="AF2" s="16">
        <f t="shared" si="2"/>
        <v>4</v>
      </c>
      <c r="AG2" s="16">
        <f t="shared" si="2"/>
        <v>5</v>
      </c>
      <c r="AH2" s="16">
        <f t="shared" si="2"/>
        <v>5</v>
      </c>
      <c r="AI2" s="16">
        <f t="shared" si="2"/>
        <v>5</v>
      </c>
      <c r="AJ2" s="258"/>
      <c r="AK2" s="16">
        <f t="shared" si="2"/>
        <v>1</v>
      </c>
      <c r="AL2" s="16">
        <f t="shared" si="2"/>
        <v>1</v>
      </c>
      <c r="AM2" s="16">
        <f t="shared" si="2"/>
        <v>1</v>
      </c>
      <c r="AN2" s="16">
        <f t="shared" si="2"/>
        <v>1</v>
      </c>
      <c r="AO2" s="16">
        <f t="shared" si="2"/>
        <v>1</v>
      </c>
      <c r="AP2" s="16">
        <f t="shared" si="2"/>
        <v>1</v>
      </c>
      <c r="AQ2" s="16">
        <f t="shared" si="2"/>
        <v>1</v>
      </c>
      <c r="AR2" s="16">
        <f t="shared" si="2"/>
        <v>2</v>
      </c>
      <c r="AS2" s="16">
        <f t="shared" si="2"/>
        <v>2</v>
      </c>
      <c r="AT2" s="16">
        <f t="shared" si="2"/>
        <v>2</v>
      </c>
      <c r="AU2" s="16">
        <f t="shared" si="2"/>
        <v>2</v>
      </c>
      <c r="AV2" s="16">
        <f t="shared" si="2"/>
        <v>2</v>
      </c>
      <c r="AW2" s="16">
        <f t="shared" si="2"/>
        <v>2</v>
      </c>
      <c r="AX2" s="16">
        <f t="shared" si="2"/>
        <v>2</v>
      </c>
      <c r="AY2" s="16">
        <f t="shared" si="2"/>
        <v>3</v>
      </c>
      <c r="AZ2" s="16">
        <f t="shared" si="2"/>
        <v>3</v>
      </c>
      <c r="BA2" s="16">
        <f t="shared" si="2"/>
        <v>3</v>
      </c>
      <c r="BB2" s="16">
        <f t="shared" si="2"/>
        <v>3</v>
      </c>
      <c r="BC2" s="16">
        <f t="shared" si="2"/>
        <v>3</v>
      </c>
      <c r="BD2" s="16">
        <f t="shared" si="2"/>
        <v>3</v>
      </c>
      <c r="BE2" s="16">
        <f t="shared" si="2"/>
        <v>3</v>
      </c>
      <c r="BF2" s="16">
        <f t="shared" si="2"/>
        <v>4</v>
      </c>
      <c r="BG2" s="16">
        <f t="shared" si="2"/>
        <v>4</v>
      </c>
      <c r="BH2" s="16">
        <f t="shared" ref="BH2" si="3">ROUNDUP(BH5/7,0)</f>
        <v>4</v>
      </c>
      <c r="BI2" s="179"/>
    </row>
    <row r="3" spans="1:61" x14ac:dyDescent="0.3">
      <c r="E3" s="17">
        <v>43647</v>
      </c>
      <c r="F3" s="17">
        <f>E3+1</f>
        <v>43648</v>
      </c>
      <c r="G3" s="17">
        <f t="shared" ref="G3:BH3" si="4">F3+1</f>
        <v>43649</v>
      </c>
      <c r="H3" s="17">
        <f t="shared" si="4"/>
        <v>43650</v>
      </c>
      <c r="I3" s="17">
        <f t="shared" si="4"/>
        <v>43651</v>
      </c>
      <c r="J3" s="17">
        <f t="shared" si="4"/>
        <v>43652</v>
      </c>
      <c r="K3" s="17">
        <f t="shared" si="4"/>
        <v>43653</v>
      </c>
      <c r="L3" s="17">
        <f t="shared" si="4"/>
        <v>43654</v>
      </c>
      <c r="M3" s="17">
        <f t="shared" si="4"/>
        <v>43655</v>
      </c>
      <c r="N3" s="17">
        <f t="shared" si="4"/>
        <v>43656</v>
      </c>
      <c r="O3" s="17">
        <f t="shared" si="4"/>
        <v>43657</v>
      </c>
      <c r="P3" s="17">
        <f t="shared" si="4"/>
        <v>43658</v>
      </c>
      <c r="Q3" s="17">
        <f t="shared" si="4"/>
        <v>43659</v>
      </c>
      <c r="R3" s="17">
        <f t="shared" si="4"/>
        <v>43660</v>
      </c>
      <c r="S3" s="17">
        <f t="shared" si="4"/>
        <v>43661</v>
      </c>
      <c r="T3" s="17">
        <f t="shared" si="4"/>
        <v>43662</v>
      </c>
      <c r="U3" s="17">
        <f t="shared" si="4"/>
        <v>43663</v>
      </c>
      <c r="V3" s="17">
        <f t="shared" si="4"/>
        <v>43664</v>
      </c>
      <c r="W3" s="17">
        <f t="shared" si="4"/>
        <v>43665</v>
      </c>
      <c r="X3" s="17">
        <f t="shared" si="4"/>
        <v>43666</v>
      </c>
      <c r="Y3" s="17">
        <f t="shared" si="4"/>
        <v>43667</v>
      </c>
      <c r="Z3" s="17">
        <f t="shared" si="4"/>
        <v>43668</v>
      </c>
      <c r="AA3" s="17">
        <f t="shared" si="4"/>
        <v>43669</v>
      </c>
      <c r="AB3" s="17">
        <f t="shared" si="4"/>
        <v>43670</v>
      </c>
      <c r="AC3" s="17">
        <f t="shared" si="4"/>
        <v>43671</v>
      </c>
      <c r="AD3" s="17">
        <f t="shared" si="4"/>
        <v>43672</v>
      </c>
      <c r="AE3" s="17">
        <f t="shared" si="4"/>
        <v>43673</v>
      </c>
      <c r="AF3" s="17">
        <f t="shared" si="4"/>
        <v>43674</v>
      </c>
      <c r="AG3" s="17">
        <f t="shared" si="4"/>
        <v>43675</v>
      </c>
      <c r="AH3" s="17">
        <f t="shared" si="4"/>
        <v>43676</v>
      </c>
      <c r="AI3" s="17">
        <f t="shared" si="4"/>
        <v>43677</v>
      </c>
      <c r="AJ3" s="259"/>
      <c r="AK3" s="17">
        <f>AI3+1</f>
        <v>43678</v>
      </c>
      <c r="AL3" s="17">
        <f t="shared" si="4"/>
        <v>43679</v>
      </c>
      <c r="AM3" s="17">
        <f t="shared" si="4"/>
        <v>43680</v>
      </c>
      <c r="AN3" s="17">
        <f t="shared" si="4"/>
        <v>43681</v>
      </c>
      <c r="AO3" s="17">
        <f t="shared" si="4"/>
        <v>43682</v>
      </c>
      <c r="AP3" s="17">
        <f t="shared" si="4"/>
        <v>43683</v>
      </c>
      <c r="AQ3" s="17">
        <f t="shared" si="4"/>
        <v>43684</v>
      </c>
      <c r="AR3" s="17">
        <f t="shared" si="4"/>
        <v>43685</v>
      </c>
      <c r="AS3" s="17">
        <f t="shared" si="4"/>
        <v>43686</v>
      </c>
      <c r="AT3" s="17">
        <f t="shared" si="4"/>
        <v>43687</v>
      </c>
      <c r="AU3" s="17">
        <f t="shared" si="4"/>
        <v>43688</v>
      </c>
      <c r="AV3" s="17">
        <f t="shared" si="4"/>
        <v>43689</v>
      </c>
      <c r="AW3" s="17">
        <f t="shared" si="4"/>
        <v>43690</v>
      </c>
      <c r="AX3" s="17">
        <f t="shared" si="4"/>
        <v>43691</v>
      </c>
      <c r="AY3" s="17">
        <f t="shared" si="4"/>
        <v>43692</v>
      </c>
      <c r="AZ3" s="17">
        <f t="shared" si="4"/>
        <v>43693</v>
      </c>
      <c r="BA3" s="17">
        <f t="shared" si="4"/>
        <v>43694</v>
      </c>
      <c r="BB3" s="17">
        <f t="shared" si="4"/>
        <v>43695</v>
      </c>
      <c r="BC3" s="17">
        <f t="shared" si="4"/>
        <v>43696</v>
      </c>
      <c r="BD3" s="17">
        <f t="shared" si="4"/>
        <v>43697</v>
      </c>
      <c r="BE3" s="17">
        <f t="shared" si="4"/>
        <v>43698</v>
      </c>
      <c r="BF3" s="17">
        <f t="shared" si="4"/>
        <v>43699</v>
      </c>
      <c r="BG3" s="17">
        <f t="shared" si="4"/>
        <v>43700</v>
      </c>
      <c r="BH3" s="17">
        <f t="shared" si="4"/>
        <v>43701</v>
      </c>
      <c r="BI3" s="179"/>
    </row>
    <row r="4" spans="1:61" s="21" customFormat="1" x14ac:dyDescent="0.3">
      <c r="A4" s="18"/>
      <c r="B4" s="19"/>
      <c r="C4" s="19"/>
      <c r="D4" s="18"/>
      <c r="E4" s="20">
        <f>WEEKDAY(E3)</f>
        <v>2</v>
      </c>
      <c r="F4" s="20">
        <f>WEEKDAY(F3)</f>
        <v>3</v>
      </c>
      <c r="G4" s="20">
        <f t="shared" ref="G4:BG4" si="5">WEEKDAY(G3)</f>
        <v>4</v>
      </c>
      <c r="H4" s="20">
        <f t="shared" si="5"/>
        <v>5</v>
      </c>
      <c r="I4" s="20">
        <f t="shared" si="5"/>
        <v>6</v>
      </c>
      <c r="J4" s="20">
        <f t="shared" si="5"/>
        <v>7</v>
      </c>
      <c r="K4" s="20">
        <f t="shared" si="5"/>
        <v>1</v>
      </c>
      <c r="L4" s="20">
        <f t="shared" si="5"/>
        <v>2</v>
      </c>
      <c r="M4" s="20">
        <f t="shared" si="5"/>
        <v>3</v>
      </c>
      <c r="N4" s="20">
        <f t="shared" si="5"/>
        <v>4</v>
      </c>
      <c r="O4" s="20">
        <f t="shared" si="5"/>
        <v>5</v>
      </c>
      <c r="P4" s="20">
        <f t="shared" si="5"/>
        <v>6</v>
      </c>
      <c r="Q4" s="20">
        <f t="shared" si="5"/>
        <v>7</v>
      </c>
      <c r="R4" s="20">
        <f t="shared" si="5"/>
        <v>1</v>
      </c>
      <c r="S4" s="20">
        <f t="shared" si="5"/>
        <v>2</v>
      </c>
      <c r="T4" s="20">
        <f t="shared" si="5"/>
        <v>3</v>
      </c>
      <c r="U4" s="20">
        <f t="shared" si="5"/>
        <v>4</v>
      </c>
      <c r="V4" s="20">
        <f t="shared" si="5"/>
        <v>5</v>
      </c>
      <c r="W4" s="20">
        <f t="shared" si="5"/>
        <v>6</v>
      </c>
      <c r="X4" s="20">
        <f t="shared" si="5"/>
        <v>7</v>
      </c>
      <c r="Y4" s="20">
        <f t="shared" si="5"/>
        <v>1</v>
      </c>
      <c r="Z4" s="20">
        <f t="shared" si="5"/>
        <v>2</v>
      </c>
      <c r="AA4" s="20">
        <f t="shared" si="5"/>
        <v>3</v>
      </c>
      <c r="AB4" s="20">
        <f t="shared" si="5"/>
        <v>4</v>
      </c>
      <c r="AC4" s="20">
        <f t="shared" si="5"/>
        <v>5</v>
      </c>
      <c r="AD4" s="20">
        <f t="shared" si="5"/>
        <v>6</v>
      </c>
      <c r="AE4" s="20">
        <f t="shared" si="5"/>
        <v>7</v>
      </c>
      <c r="AF4" s="20">
        <f t="shared" si="5"/>
        <v>1</v>
      </c>
      <c r="AG4" s="20">
        <f t="shared" si="5"/>
        <v>2</v>
      </c>
      <c r="AH4" s="20">
        <f t="shared" si="5"/>
        <v>3</v>
      </c>
      <c r="AI4" s="20">
        <f t="shared" si="5"/>
        <v>4</v>
      </c>
      <c r="AJ4" s="260"/>
      <c r="AK4" s="20">
        <f t="shared" si="5"/>
        <v>5</v>
      </c>
      <c r="AL4" s="20">
        <f t="shared" si="5"/>
        <v>6</v>
      </c>
      <c r="AM4" s="20">
        <f t="shared" si="5"/>
        <v>7</v>
      </c>
      <c r="AN4" s="20">
        <f t="shared" si="5"/>
        <v>1</v>
      </c>
      <c r="AO4" s="20">
        <f t="shared" si="5"/>
        <v>2</v>
      </c>
      <c r="AP4" s="20">
        <f t="shared" si="5"/>
        <v>3</v>
      </c>
      <c r="AQ4" s="20">
        <f t="shared" si="5"/>
        <v>4</v>
      </c>
      <c r="AR4" s="20">
        <f t="shared" si="5"/>
        <v>5</v>
      </c>
      <c r="AS4" s="20">
        <f t="shared" si="5"/>
        <v>6</v>
      </c>
      <c r="AT4" s="20">
        <f t="shared" si="5"/>
        <v>7</v>
      </c>
      <c r="AU4" s="20">
        <f t="shared" si="5"/>
        <v>1</v>
      </c>
      <c r="AV4" s="20">
        <f t="shared" si="5"/>
        <v>2</v>
      </c>
      <c r="AW4" s="20">
        <f t="shared" si="5"/>
        <v>3</v>
      </c>
      <c r="AX4" s="20">
        <f t="shared" si="5"/>
        <v>4</v>
      </c>
      <c r="AY4" s="20">
        <f t="shared" si="5"/>
        <v>5</v>
      </c>
      <c r="AZ4" s="20">
        <f t="shared" si="5"/>
        <v>6</v>
      </c>
      <c r="BA4" s="20">
        <f t="shared" si="5"/>
        <v>7</v>
      </c>
      <c r="BB4" s="20">
        <f t="shared" si="5"/>
        <v>1</v>
      </c>
      <c r="BC4" s="20">
        <f t="shared" si="5"/>
        <v>2</v>
      </c>
      <c r="BD4" s="20">
        <f t="shared" si="5"/>
        <v>3</v>
      </c>
      <c r="BE4" s="20">
        <f t="shared" si="5"/>
        <v>4</v>
      </c>
      <c r="BF4" s="20">
        <f t="shared" si="5"/>
        <v>5</v>
      </c>
      <c r="BG4" s="20">
        <f t="shared" si="5"/>
        <v>6</v>
      </c>
      <c r="BH4" s="20">
        <f t="shared" ref="BH4" si="6">WEEKDAY(BH3)</f>
        <v>7</v>
      </c>
      <c r="BI4" s="180"/>
    </row>
    <row r="5" spans="1:61" s="21" customFormat="1" x14ac:dyDescent="0.3">
      <c r="A5" s="18"/>
      <c r="B5" s="19"/>
      <c r="C5" s="19"/>
      <c r="D5" s="18"/>
      <c r="E5" s="22">
        <v>1</v>
      </c>
      <c r="F5" s="22">
        <f>E5+1</f>
        <v>2</v>
      </c>
      <c r="G5" s="22">
        <f t="shared" ref="G5:BH5" si="7">F5+1</f>
        <v>3</v>
      </c>
      <c r="H5" s="22">
        <f t="shared" si="7"/>
        <v>4</v>
      </c>
      <c r="I5" s="22">
        <f t="shared" si="7"/>
        <v>5</v>
      </c>
      <c r="J5" s="22">
        <f t="shared" si="7"/>
        <v>6</v>
      </c>
      <c r="K5" s="22">
        <f t="shared" si="7"/>
        <v>7</v>
      </c>
      <c r="L5" s="22">
        <f t="shared" si="7"/>
        <v>8</v>
      </c>
      <c r="M5" s="22">
        <f t="shared" si="7"/>
        <v>9</v>
      </c>
      <c r="N5" s="22">
        <f t="shared" si="7"/>
        <v>10</v>
      </c>
      <c r="O5" s="22">
        <f t="shared" si="7"/>
        <v>11</v>
      </c>
      <c r="P5" s="22">
        <f t="shared" si="7"/>
        <v>12</v>
      </c>
      <c r="Q5" s="22">
        <f t="shared" si="7"/>
        <v>13</v>
      </c>
      <c r="R5" s="22">
        <f t="shared" si="7"/>
        <v>14</v>
      </c>
      <c r="S5" s="22">
        <f t="shared" si="7"/>
        <v>15</v>
      </c>
      <c r="T5" s="22">
        <f t="shared" si="7"/>
        <v>16</v>
      </c>
      <c r="U5" s="22">
        <f t="shared" si="7"/>
        <v>17</v>
      </c>
      <c r="V5" s="22">
        <f t="shared" si="7"/>
        <v>18</v>
      </c>
      <c r="W5" s="22">
        <f t="shared" si="7"/>
        <v>19</v>
      </c>
      <c r="X5" s="22">
        <f t="shared" si="7"/>
        <v>20</v>
      </c>
      <c r="Y5" s="22">
        <f t="shared" si="7"/>
        <v>21</v>
      </c>
      <c r="Z5" s="22">
        <f t="shared" si="7"/>
        <v>22</v>
      </c>
      <c r="AA5" s="22">
        <f t="shared" si="7"/>
        <v>23</v>
      </c>
      <c r="AB5" s="22">
        <f t="shared" si="7"/>
        <v>24</v>
      </c>
      <c r="AC5" s="22">
        <f t="shared" si="7"/>
        <v>25</v>
      </c>
      <c r="AD5" s="22">
        <f t="shared" si="7"/>
        <v>26</v>
      </c>
      <c r="AE5" s="22">
        <f t="shared" si="7"/>
        <v>27</v>
      </c>
      <c r="AF5" s="22">
        <f t="shared" si="7"/>
        <v>28</v>
      </c>
      <c r="AG5" s="22">
        <f t="shared" si="7"/>
        <v>29</v>
      </c>
      <c r="AH5" s="22">
        <f t="shared" si="7"/>
        <v>30</v>
      </c>
      <c r="AI5" s="22">
        <f t="shared" si="7"/>
        <v>31</v>
      </c>
      <c r="AJ5" s="261"/>
      <c r="AK5" s="22">
        <v>1</v>
      </c>
      <c r="AL5" s="22">
        <f t="shared" si="7"/>
        <v>2</v>
      </c>
      <c r="AM5" s="22">
        <f t="shared" si="7"/>
        <v>3</v>
      </c>
      <c r="AN5" s="22">
        <f t="shared" si="7"/>
        <v>4</v>
      </c>
      <c r="AO5" s="22">
        <f t="shared" si="7"/>
        <v>5</v>
      </c>
      <c r="AP5" s="22">
        <f t="shared" si="7"/>
        <v>6</v>
      </c>
      <c r="AQ5" s="22">
        <f t="shared" si="7"/>
        <v>7</v>
      </c>
      <c r="AR5" s="22">
        <f t="shared" si="7"/>
        <v>8</v>
      </c>
      <c r="AS5" s="22">
        <f t="shared" si="7"/>
        <v>9</v>
      </c>
      <c r="AT5" s="22">
        <f t="shared" si="7"/>
        <v>10</v>
      </c>
      <c r="AU5" s="22">
        <f t="shared" si="7"/>
        <v>11</v>
      </c>
      <c r="AV5" s="22">
        <f t="shared" si="7"/>
        <v>12</v>
      </c>
      <c r="AW5" s="22">
        <f t="shared" si="7"/>
        <v>13</v>
      </c>
      <c r="AX5" s="22">
        <f t="shared" si="7"/>
        <v>14</v>
      </c>
      <c r="AY5" s="22">
        <f t="shared" si="7"/>
        <v>15</v>
      </c>
      <c r="AZ5" s="22">
        <f t="shared" si="7"/>
        <v>16</v>
      </c>
      <c r="BA5" s="22">
        <f t="shared" si="7"/>
        <v>17</v>
      </c>
      <c r="BB5" s="22">
        <f t="shared" si="7"/>
        <v>18</v>
      </c>
      <c r="BC5" s="22">
        <f t="shared" si="7"/>
        <v>19</v>
      </c>
      <c r="BD5" s="22">
        <f t="shared" si="7"/>
        <v>20</v>
      </c>
      <c r="BE5" s="22">
        <f t="shared" si="7"/>
        <v>21</v>
      </c>
      <c r="BF5" s="22">
        <f t="shared" si="7"/>
        <v>22</v>
      </c>
      <c r="BG5" s="22">
        <f t="shared" si="7"/>
        <v>23</v>
      </c>
      <c r="BH5" s="22">
        <f t="shared" si="7"/>
        <v>24</v>
      </c>
      <c r="BI5" s="180"/>
    </row>
    <row r="6" spans="1:61" s="14" customFormat="1" x14ac:dyDescent="0.3">
      <c r="AJ6" s="92"/>
      <c r="BI6" s="181"/>
    </row>
    <row r="7" spans="1:61" s="1" customFormat="1" x14ac:dyDescent="0.3">
      <c r="A7" s="49" t="s">
        <v>0</v>
      </c>
      <c r="B7" s="50"/>
      <c r="C7" s="50"/>
      <c r="D7" s="51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262" t="s">
        <v>0</v>
      </c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182"/>
    </row>
    <row r="8" spans="1:61" s="1" customFormat="1" ht="15" thickBot="1" x14ac:dyDescent="0.35">
      <c r="A8" s="53" t="s">
        <v>1</v>
      </c>
      <c r="B8" s="54" t="s">
        <v>2</v>
      </c>
      <c r="C8" s="54" t="s">
        <v>3</v>
      </c>
      <c r="D8" s="55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263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83" t="s">
        <v>4</v>
      </c>
    </row>
    <row r="9" spans="1:61" s="1" customFormat="1" ht="15" thickTop="1" x14ac:dyDescent="0.3">
      <c r="A9" s="23"/>
      <c r="B9" s="24"/>
      <c r="C9" s="251"/>
      <c r="D9" s="252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64"/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53"/>
      <c r="AZ9" s="253"/>
      <c r="BA9" s="253"/>
      <c r="BB9" s="253"/>
      <c r="BC9" s="253"/>
      <c r="BD9" s="253"/>
      <c r="BE9" s="253"/>
      <c r="BF9" s="253"/>
      <c r="BG9" s="253"/>
      <c r="BH9" s="253"/>
      <c r="BI9" s="184"/>
    </row>
    <row r="10" spans="1:61" s="1" customFormat="1" x14ac:dyDescent="0.3">
      <c r="A10" s="2" t="s">
        <v>5</v>
      </c>
      <c r="B10" s="6"/>
      <c r="C10" s="22"/>
      <c r="D10" s="254"/>
      <c r="E10" s="254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5"/>
      <c r="V10" s="255"/>
      <c r="W10" s="255"/>
      <c r="X10" s="255"/>
      <c r="Y10" s="255"/>
      <c r="Z10" s="255"/>
      <c r="AA10" s="255"/>
      <c r="AB10" s="255"/>
      <c r="AC10" s="255"/>
      <c r="AD10" s="255"/>
      <c r="AE10" s="255"/>
      <c r="AF10" s="255"/>
      <c r="AG10" s="255"/>
      <c r="AH10" s="255"/>
      <c r="AI10" s="255"/>
      <c r="AJ10" s="265"/>
      <c r="AK10" s="255"/>
      <c r="AL10" s="255"/>
      <c r="AM10" s="255"/>
      <c r="AN10" s="255"/>
      <c r="AO10" s="255"/>
      <c r="AP10" s="255"/>
      <c r="AQ10" s="255"/>
      <c r="AR10" s="255"/>
      <c r="AS10" s="255"/>
      <c r="AT10" s="255"/>
      <c r="AU10" s="255"/>
      <c r="AV10" s="255"/>
      <c r="AW10" s="255"/>
      <c r="AX10" s="255"/>
      <c r="AY10" s="255"/>
      <c r="AZ10" s="255"/>
      <c r="BA10" s="255"/>
      <c r="BB10" s="255"/>
      <c r="BC10" s="255"/>
      <c r="BD10" s="255"/>
      <c r="BE10" s="255"/>
      <c r="BF10" s="255"/>
      <c r="BG10" s="255"/>
      <c r="BH10" s="255"/>
      <c r="BI10" s="184"/>
    </row>
    <row r="11" spans="1:61" s="1" customFormat="1" x14ac:dyDescent="0.3">
      <c r="A11" s="2"/>
      <c r="B11" s="6"/>
      <c r="C11" s="22"/>
      <c r="D11" s="254"/>
      <c r="E11" s="254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  <c r="Q11" s="255"/>
      <c r="R11" s="255"/>
      <c r="S11" s="255"/>
      <c r="T11" s="255"/>
      <c r="U11" s="255"/>
      <c r="V11" s="255"/>
      <c r="W11" s="255"/>
      <c r="X11" s="255"/>
      <c r="Y11" s="255"/>
      <c r="Z11" s="255"/>
      <c r="AA11" s="255"/>
      <c r="AB11" s="255"/>
      <c r="AC11" s="255"/>
      <c r="AD11" s="255"/>
      <c r="AE11" s="255"/>
      <c r="AF11" s="255"/>
      <c r="AG11" s="255"/>
      <c r="AH11" s="255"/>
      <c r="AI11" s="255"/>
      <c r="AJ11" s="265"/>
      <c r="AK11" s="255"/>
      <c r="AL11" s="255"/>
      <c r="AM11" s="255"/>
      <c r="AN11" s="255"/>
      <c r="AO11" s="25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5"/>
      <c r="BC11" s="255"/>
      <c r="BD11" s="255"/>
      <c r="BE11" s="255"/>
      <c r="BF11" s="255"/>
      <c r="BG11" s="255"/>
      <c r="BH11" s="255"/>
      <c r="BI11" s="184"/>
    </row>
    <row r="12" spans="1:61" s="1" customFormat="1" x14ac:dyDescent="0.3">
      <c r="A12" s="2" t="s">
        <v>6</v>
      </c>
      <c r="B12" s="6"/>
      <c r="C12" s="22"/>
      <c r="D12" s="254"/>
      <c r="E12" s="254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5"/>
      <c r="V12" s="255"/>
      <c r="W12" s="255"/>
      <c r="X12" s="255"/>
      <c r="Y12" s="255"/>
      <c r="Z12" s="255"/>
      <c r="AA12" s="255"/>
      <c r="AB12" s="255"/>
      <c r="AC12" s="255"/>
      <c r="AD12" s="255"/>
      <c r="AE12" s="255"/>
      <c r="AF12" s="255"/>
      <c r="AG12" s="255"/>
      <c r="AH12" s="255"/>
      <c r="AI12" s="255"/>
      <c r="AJ12" s="265"/>
      <c r="AK12" s="255"/>
      <c r="AL12" s="255"/>
      <c r="AM12" s="255"/>
      <c r="AN12" s="255"/>
      <c r="AO12" s="25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5"/>
      <c r="BC12" s="255"/>
      <c r="BD12" s="255"/>
      <c r="BE12" s="255"/>
      <c r="BF12" s="255"/>
      <c r="BG12" s="255"/>
      <c r="BH12" s="255"/>
      <c r="BI12" s="184"/>
    </row>
    <row r="13" spans="1:61" s="1" customFormat="1" x14ac:dyDescent="0.3">
      <c r="A13" s="2"/>
      <c r="B13" s="6"/>
      <c r="C13" s="22"/>
      <c r="D13" s="254"/>
      <c r="E13" s="254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5"/>
      <c r="AJ13" s="265"/>
      <c r="AK13" s="255"/>
      <c r="AL13" s="255"/>
      <c r="AM13" s="255"/>
      <c r="AN13" s="255"/>
      <c r="AO13" s="25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5"/>
      <c r="BC13" s="255"/>
      <c r="BD13" s="255"/>
      <c r="BE13" s="255"/>
      <c r="BF13" s="255"/>
      <c r="BG13" s="255"/>
      <c r="BH13" s="255"/>
      <c r="BI13" s="184"/>
    </row>
    <row r="14" spans="1:61" s="5" customFormat="1" x14ac:dyDescent="0.3">
      <c r="A14" s="26" t="s">
        <v>7</v>
      </c>
      <c r="B14" s="24"/>
      <c r="C14" s="251" t="s">
        <v>0</v>
      </c>
      <c r="D14" s="252"/>
      <c r="E14" s="8">
        <v>79</v>
      </c>
      <c r="F14" s="8">
        <v>0</v>
      </c>
      <c r="G14" s="8">
        <v>34</v>
      </c>
      <c r="H14" s="8">
        <v>0</v>
      </c>
      <c r="I14" s="8">
        <v>0</v>
      </c>
      <c r="J14" s="8">
        <v>0</v>
      </c>
      <c r="K14" s="8">
        <v>40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9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190">
        <v>39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190">
        <v>11</v>
      </c>
      <c r="AG14" s="8">
        <v>0</v>
      </c>
      <c r="AH14" s="8">
        <v>0</v>
      </c>
      <c r="AI14" s="8">
        <v>0</v>
      </c>
      <c r="AJ14" s="266"/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184"/>
    </row>
    <row r="15" spans="1:61" s="5" customFormat="1" x14ac:dyDescent="0.3">
      <c r="A15" s="26" t="s">
        <v>8</v>
      </c>
      <c r="B15" s="24" t="s">
        <v>0</v>
      </c>
      <c r="C15" s="8" t="s">
        <v>0</v>
      </c>
      <c r="D15" s="252"/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7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45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34</v>
      </c>
      <c r="AJ15" s="73"/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85"/>
    </row>
    <row r="16" spans="1:61" s="5" customFormat="1" x14ac:dyDescent="0.3">
      <c r="A16" s="3" t="s">
        <v>9</v>
      </c>
      <c r="B16" s="7"/>
      <c r="C16" s="7"/>
      <c r="D16" s="9"/>
      <c r="E16" s="256">
        <f>SUM(E14+D16)-E15</f>
        <v>79</v>
      </c>
      <c r="F16" s="256">
        <f t="shared" ref="F16:H16" si="8">SUM(F14+E16)-F15</f>
        <v>79</v>
      </c>
      <c r="G16" s="256">
        <f t="shared" si="8"/>
        <v>113</v>
      </c>
      <c r="H16" s="256">
        <f t="shared" si="8"/>
        <v>113</v>
      </c>
      <c r="I16" s="256">
        <f t="shared" ref="I16:K16" si="9">SUM(I14+H16)-I15</f>
        <v>113</v>
      </c>
      <c r="J16" s="256">
        <f t="shared" si="9"/>
        <v>113</v>
      </c>
      <c r="K16" s="256">
        <f t="shared" si="9"/>
        <v>153</v>
      </c>
      <c r="L16" s="10">
        <f t="shared" ref="L16:AI16" si="10">SUM(L14+K16)-L15</f>
        <v>153</v>
      </c>
      <c r="M16" s="10">
        <f t="shared" si="10"/>
        <v>153</v>
      </c>
      <c r="N16" s="10">
        <f t="shared" si="10"/>
        <v>153</v>
      </c>
      <c r="O16" s="10">
        <f t="shared" si="10"/>
        <v>153</v>
      </c>
      <c r="P16" s="10">
        <f t="shared" si="10"/>
        <v>146</v>
      </c>
      <c r="Q16" s="10">
        <f t="shared" si="10"/>
        <v>146</v>
      </c>
      <c r="R16" s="10">
        <f t="shared" si="10"/>
        <v>155</v>
      </c>
      <c r="S16" s="10">
        <f t="shared" si="10"/>
        <v>155</v>
      </c>
      <c r="T16" s="10">
        <f t="shared" si="10"/>
        <v>155</v>
      </c>
      <c r="U16" s="10">
        <f t="shared" si="10"/>
        <v>155</v>
      </c>
      <c r="V16" s="10">
        <f t="shared" si="10"/>
        <v>155</v>
      </c>
      <c r="W16" s="10">
        <f t="shared" si="10"/>
        <v>155</v>
      </c>
      <c r="X16" s="10">
        <f t="shared" si="10"/>
        <v>155</v>
      </c>
      <c r="Y16" s="10">
        <f t="shared" si="10"/>
        <v>149</v>
      </c>
      <c r="Z16" s="10">
        <f t="shared" si="10"/>
        <v>149</v>
      </c>
      <c r="AA16" s="10">
        <f t="shared" si="10"/>
        <v>149</v>
      </c>
      <c r="AB16" s="10">
        <f t="shared" si="10"/>
        <v>149</v>
      </c>
      <c r="AC16" s="10">
        <f t="shared" si="10"/>
        <v>149</v>
      </c>
      <c r="AD16" s="10">
        <f>SUM(AD14+AC16)-AD15</f>
        <v>149</v>
      </c>
      <c r="AE16" s="10">
        <f t="shared" si="10"/>
        <v>149</v>
      </c>
      <c r="AF16" s="10">
        <f t="shared" si="10"/>
        <v>160</v>
      </c>
      <c r="AG16" s="10">
        <f t="shared" si="10"/>
        <v>160</v>
      </c>
      <c r="AH16" s="10">
        <f t="shared" si="10"/>
        <v>160</v>
      </c>
      <c r="AI16" s="10">
        <f t="shared" si="10"/>
        <v>126</v>
      </c>
      <c r="AJ16" s="73" t="s">
        <v>0</v>
      </c>
      <c r="AK16" s="10">
        <f>SUM(AK14+AI16)-AK15</f>
        <v>126</v>
      </c>
      <c r="AL16" s="10">
        <f t="shared" ref="AL16" si="11">SUM(AL14+AK16)-AL15</f>
        <v>126</v>
      </c>
      <c r="AM16" s="10">
        <f t="shared" ref="AM16" si="12">SUM(AM14+AL16)-AM15</f>
        <v>126</v>
      </c>
      <c r="AN16" s="10">
        <f t="shared" ref="AN16" si="13">SUM(AN14+AM16)-AN15</f>
        <v>126</v>
      </c>
      <c r="AO16" s="10">
        <f t="shared" ref="AO16" si="14">SUM(AO14+AN16)-AO15</f>
        <v>126</v>
      </c>
      <c r="AP16" s="10">
        <f t="shared" ref="AP16" si="15">SUM(AP14+AO16)-AP15</f>
        <v>126</v>
      </c>
      <c r="AQ16" s="10">
        <f t="shared" ref="AQ16" si="16">SUM(AQ14+AP16)-AQ15</f>
        <v>126</v>
      </c>
      <c r="AR16" s="10">
        <f t="shared" ref="AR16" si="17">SUM(AR14+AQ16)-AR15</f>
        <v>126</v>
      </c>
      <c r="AS16" s="10">
        <f t="shared" ref="AS16" si="18">SUM(AS14+AR16)-AS15</f>
        <v>126</v>
      </c>
      <c r="AT16" s="10">
        <f t="shared" ref="AT16" si="19">SUM(AT14+AS16)-AT15</f>
        <v>126</v>
      </c>
      <c r="AU16" s="10">
        <f t="shared" ref="AU16" si="20">SUM(AU14+AT16)-AU15</f>
        <v>126</v>
      </c>
      <c r="AV16" s="10">
        <f t="shared" ref="AV16" si="21">SUM(AV14+AU16)-AV15</f>
        <v>126</v>
      </c>
      <c r="AW16" s="10">
        <f t="shared" ref="AW16" si="22">SUM(AW14+AV16)-AW15</f>
        <v>126</v>
      </c>
      <c r="AX16" s="10">
        <f t="shared" ref="AX16" si="23">SUM(AX14+AW16)-AX15</f>
        <v>126</v>
      </c>
      <c r="AY16" s="10">
        <f t="shared" ref="AY16" si="24">SUM(AY14+AX16)-AY15</f>
        <v>126</v>
      </c>
      <c r="AZ16" s="10">
        <f t="shared" ref="AZ16" si="25">SUM(AZ14+AY16)-AZ15</f>
        <v>126</v>
      </c>
      <c r="BA16" s="10">
        <f t="shared" ref="BA16" si="26">SUM(BA14+AZ16)-BA15</f>
        <v>126</v>
      </c>
      <c r="BB16" s="10">
        <f t="shared" ref="BB16" si="27">SUM(BB14+BA16)-BB15</f>
        <v>126</v>
      </c>
      <c r="BC16" s="10">
        <f t="shared" ref="BC16" si="28">SUM(BC14+BB16)-BC15</f>
        <v>126</v>
      </c>
      <c r="BD16" s="10">
        <f t="shared" ref="BD16" si="29">SUM(BD14+BC16)-BD15</f>
        <v>126</v>
      </c>
      <c r="BE16" s="10">
        <f t="shared" ref="BE16" si="30">SUM(BE14+BD16)-BE15</f>
        <v>126</v>
      </c>
      <c r="BF16" s="10">
        <f t="shared" ref="BF16" si="31">SUM(BF14+BE16)-BF15</f>
        <v>126</v>
      </c>
      <c r="BG16" s="10">
        <f t="shared" ref="BG16" si="32">SUM(BG14+BF16)-BG15</f>
        <v>126</v>
      </c>
      <c r="BH16" s="10">
        <f t="shared" ref="BH16" si="33">SUM(BH14+BG16)-BH15</f>
        <v>126</v>
      </c>
      <c r="BI16" s="186">
        <f>SUM(AK16:BH16)</f>
        <v>3024</v>
      </c>
    </row>
    <row r="17" spans="1:61" s="5" customFormat="1" x14ac:dyDescent="0.3">
      <c r="A17" s="21"/>
      <c r="B17" s="22"/>
      <c r="C17" s="22"/>
      <c r="D17" s="21"/>
      <c r="E17" s="27" t="s">
        <v>0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72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185"/>
    </row>
    <row r="18" spans="1:61" s="5" customFormat="1" x14ac:dyDescent="0.3">
      <c r="A18" s="2" t="s">
        <v>586</v>
      </c>
      <c r="B18" s="6"/>
      <c r="C18" s="22"/>
      <c r="D18" s="254"/>
      <c r="E18" s="254"/>
      <c r="F18" s="255"/>
      <c r="G18" s="255"/>
      <c r="H18" s="255"/>
      <c r="I18" s="255"/>
      <c r="J18" s="255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5"/>
      <c r="AJ18" s="265"/>
      <c r="AK18" s="255"/>
      <c r="AL18" s="255"/>
      <c r="AM18" s="255"/>
      <c r="AN18" s="255"/>
      <c r="AO18" s="255"/>
      <c r="AP18" s="255"/>
      <c r="AQ18" s="255"/>
      <c r="AR18" s="255"/>
      <c r="AS18" s="255"/>
      <c r="AT18" s="255"/>
      <c r="AU18" s="255"/>
      <c r="AV18" s="255"/>
      <c r="AW18" s="255"/>
      <c r="AX18" s="255"/>
      <c r="AY18" s="255"/>
      <c r="AZ18" s="255"/>
      <c r="BA18" s="255"/>
      <c r="BB18" s="255"/>
      <c r="BC18" s="255"/>
      <c r="BD18" s="255"/>
      <c r="BE18" s="255"/>
      <c r="BF18" s="255"/>
      <c r="BG18" s="255"/>
      <c r="BH18" s="255"/>
      <c r="BI18" s="185"/>
    </row>
    <row r="19" spans="1:61" s="5" customFormat="1" x14ac:dyDescent="0.3">
      <c r="A19" s="2"/>
      <c r="B19" s="6"/>
      <c r="C19" s="22"/>
      <c r="D19" s="254"/>
      <c r="E19" s="254"/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55"/>
      <c r="AJ19" s="265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5"/>
      <c r="AV19" s="255"/>
      <c r="AW19" s="255"/>
      <c r="AX19" s="255"/>
      <c r="AY19" s="255"/>
      <c r="AZ19" s="255"/>
      <c r="BA19" s="255"/>
      <c r="BB19" s="255"/>
      <c r="BC19" s="255"/>
      <c r="BD19" s="255"/>
      <c r="BE19" s="255"/>
      <c r="BF19" s="255"/>
      <c r="BG19" s="255"/>
      <c r="BH19" s="255"/>
      <c r="BI19" s="185"/>
    </row>
    <row r="20" spans="1:61" s="5" customFormat="1" x14ac:dyDescent="0.3">
      <c r="A20" s="26" t="str">
        <f>A14</f>
        <v>Student Arrivals</v>
      </c>
      <c r="B20" s="24"/>
      <c r="C20" s="251" t="s">
        <v>0</v>
      </c>
      <c r="D20" s="252"/>
      <c r="E20" s="8">
        <v>13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4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6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3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266"/>
      <c r="AK20" s="8">
        <v>0</v>
      </c>
      <c r="AL20" s="8">
        <v>1</v>
      </c>
      <c r="AM20" s="8">
        <v>2</v>
      </c>
      <c r="AN20" s="8">
        <v>3</v>
      </c>
      <c r="AO20" s="8">
        <v>4</v>
      </c>
      <c r="AP20" s="8">
        <v>5</v>
      </c>
      <c r="AQ20" s="8">
        <v>6</v>
      </c>
      <c r="AR20" s="8">
        <v>7</v>
      </c>
      <c r="AS20" s="8">
        <v>8</v>
      </c>
      <c r="AT20" s="8">
        <v>9</v>
      </c>
      <c r="AU20" s="8">
        <v>10</v>
      </c>
      <c r="AV20" s="8">
        <v>11</v>
      </c>
      <c r="AW20" s="8">
        <v>12</v>
      </c>
      <c r="AX20" s="8">
        <v>13</v>
      </c>
      <c r="AY20" s="8">
        <v>14</v>
      </c>
      <c r="AZ20" s="8">
        <v>15</v>
      </c>
      <c r="BA20" s="8">
        <v>16</v>
      </c>
      <c r="BB20" s="8">
        <v>17</v>
      </c>
      <c r="BC20" s="8">
        <v>18</v>
      </c>
      <c r="BD20" s="8">
        <v>19</v>
      </c>
      <c r="BE20" s="8">
        <v>20</v>
      </c>
      <c r="BF20" s="8">
        <v>21</v>
      </c>
      <c r="BG20" s="8">
        <v>22</v>
      </c>
      <c r="BH20" s="8">
        <v>23</v>
      </c>
      <c r="BI20" s="185"/>
    </row>
    <row r="21" spans="1:61" s="5" customFormat="1" x14ac:dyDescent="0.3">
      <c r="A21" s="26" t="str">
        <f>A15</f>
        <v xml:space="preserve">Student Departures </v>
      </c>
      <c r="B21" s="24" t="s">
        <v>0</v>
      </c>
      <c r="C21" s="8" t="s">
        <v>0</v>
      </c>
      <c r="D21" s="252"/>
      <c r="E21" s="10">
        <v>0</v>
      </c>
      <c r="F21" s="10">
        <v>0</v>
      </c>
      <c r="G21" s="10">
        <f t="shared" ref="G21:P21" ca="1" si="34">IF(G$2&lt;=$C21,0,OFFSET(G20,0,-$C21*7,1,1))</f>
        <v>0</v>
      </c>
      <c r="H21" s="10">
        <f t="shared" ca="1" si="34"/>
        <v>0</v>
      </c>
      <c r="I21" s="10">
        <f t="shared" ca="1" si="34"/>
        <v>0</v>
      </c>
      <c r="J21" s="10">
        <f t="shared" ca="1" si="34"/>
        <v>0</v>
      </c>
      <c r="K21" s="10">
        <f t="shared" ca="1" si="34"/>
        <v>0</v>
      </c>
      <c r="L21" s="10">
        <f t="shared" ca="1" si="34"/>
        <v>0</v>
      </c>
      <c r="M21" s="10">
        <f t="shared" ca="1" si="34"/>
        <v>0</v>
      </c>
      <c r="N21" s="10">
        <f t="shared" ca="1" si="34"/>
        <v>0</v>
      </c>
      <c r="O21" s="10">
        <f t="shared" ca="1" si="34"/>
        <v>0</v>
      </c>
      <c r="P21" s="10">
        <f t="shared" ca="1" si="34"/>
        <v>0</v>
      </c>
      <c r="Q21" s="10">
        <v>0</v>
      </c>
      <c r="R21" s="10">
        <v>0</v>
      </c>
      <c r="S21" s="10">
        <f ca="1">IF(S$2&lt;=$C21,0,OFFSET(S20,0,-$C21*7,1,1))</f>
        <v>0</v>
      </c>
      <c r="T21" s="10">
        <f ca="1">IF(T$2&lt;=$C21,0,OFFSET(T20,0,-$C21*7,1,1))</f>
        <v>0</v>
      </c>
      <c r="U21" s="10">
        <f ca="1">IF(U$2&lt;=$C21,0,OFFSET(U20,0,-$C21*7,1,1))</f>
        <v>0</v>
      </c>
      <c r="V21" s="10">
        <v>0</v>
      </c>
      <c r="W21" s="10">
        <f ca="1">IF(W$2&lt;=$C21,0,OFFSET(W20,0,-$C21*7,1,1))</f>
        <v>0</v>
      </c>
      <c r="X21" s="10">
        <f ca="1">IF(X$2&lt;=$C21,0,OFFSET(X20,0,-$C21*7,1,1))</f>
        <v>0</v>
      </c>
      <c r="Y21" s="10">
        <v>6</v>
      </c>
      <c r="Z21" s="10">
        <f ca="1">IF(Z$2&lt;=$C21,0,OFFSET(Z20,0,-$C21*7,1,1))</f>
        <v>0</v>
      </c>
      <c r="AA21" s="10">
        <f ca="1">IF(AA$2&lt;=$C21,0,OFFSET(AA20,0,-$C21*7,1,1))</f>
        <v>0</v>
      </c>
      <c r="AB21" s="10">
        <f ca="1">IF(AB$2&lt;=$C21,0,OFFSET(AB20,0,-$C21*7,1,1))</f>
        <v>0</v>
      </c>
      <c r="AC21" s="10">
        <f ca="1">IF(AC$2&lt;=$C21,0,OFFSET(AC20,0,-$C21*7,1,1))</f>
        <v>0</v>
      </c>
      <c r="AD21" s="10">
        <f ca="1">IF(AD$2&lt;=$C21,0,OFFSET(AD20,0,-$C21*7,1,1))</f>
        <v>0</v>
      </c>
      <c r="AE21" s="10">
        <v>0</v>
      </c>
      <c r="AF21" s="10">
        <f ca="1">IF(AF$2&lt;=$C21,0,OFFSET(AF20,0,-$C21*7,1,1))</f>
        <v>0</v>
      </c>
      <c r="AG21" s="10">
        <v>0</v>
      </c>
      <c r="AH21" s="10">
        <f ca="1">IF(AH$2&lt;=$C21,0,OFFSET(AH20,0,-$C21*7,1,1))</f>
        <v>0</v>
      </c>
      <c r="AI21" s="10">
        <f ca="1">IF(AI$2&lt;=$C21,0,OFFSET(AI20,0,-$C21*7,1,1))</f>
        <v>0</v>
      </c>
      <c r="AJ21" s="73"/>
      <c r="AK21" s="10">
        <f ca="1">IF(AK$2&lt;=$C21,0,OFFSET(AK20,0,-$C21*7,1,1))</f>
        <v>0</v>
      </c>
      <c r="AL21" s="10">
        <f t="shared" ref="AL21:BH21" ca="1" si="35">IF(AL$2&lt;=$C21,0,OFFSET(AL20,0,-$C21*7,1,1))</f>
        <v>0</v>
      </c>
      <c r="AM21" s="10">
        <f t="shared" ca="1" si="35"/>
        <v>0</v>
      </c>
      <c r="AN21" s="10">
        <f t="shared" ca="1" si="35"/>
        <v>0</v>
      </c>
      <c r="AO21" s="10">
        <f t="shared" ca="1" si="35"/>
        <v>0</v>
      </c>
      <c r="AP21" s="10">
        <f t="shared" ca="1" si="35"/>
        <v>0</v>
      </c>
      <c r="AQ21" s="10">
        <f t="shared" ca="1" si="35"/>
        <v>0</v>
      </c>
      <c r="AR21" s="10">
        <f t="shared" ca="1" si="35"/>
        <v>0</v>
      </c>
      <c r="AS21" s="10">
        <f t="shared" ca="1" si="35"/>
        <v>0</v>
      </c>
      <c r="AT21" s="10">
        <f t="shared" ca="1" si="35"/>
        <v>0</v>
      </c>
      <c r="AU21" s="10">
        <f t="shared" ca="1" si="35"/>
        <v>0</v>
      </c>
      <c r="AV21" s="10">
        <f t="shared" ca="1" si="35"/>
        <v>0</v>
      </c>
      <c r="AW21" s="10">
        <f t="shared" ca="1" si="35"/>
        <v>0</v>
      </c>
      <c r="AX21" s="10">
        <f t="shared" ca="1" si="35"/>
        <v>0</v>
      </c>
      <c r="AY21" s="10">
        <f t="shared" ca="1" si="35"/>
        <v>0</v>
      </c>
      <c r="AZ21" s="10">
        <f t="shared" ca="1" si="35"/>
        <v>0</v>
      </c>
      <c r="BA21" s="10">
        <f t="shared" ca="1" si="35"/>
        <v>0</v>
      </c>
      <c r="BB21" s="10">
        <f t="shared" ca="1" si="35"/>
        <v>0</v>
      </c>
      <c r="BC21" s="10">
        <f t="shared" ca="1" si="35"/>
        <v>0</v>
      </c>
      <c r="BD21" s="10">
        <f t="shared" ca="1" si="35"/>
        <v>0</v>
      </c>
      <c r="BE21" s="10">
        <f t="shared" ca="1" si="35"/>
        <v>0</v>
      </c>
      <c r="BF21" s="10">
        <f t="shared" ca="1" si="35"/>
        <v>0</v>
      </c>
      <c r="BG21" s="10">
        <f t="shared" ca="1" si="35"/>
        <v>0</v>
      </c>
      <c r="BH21" s="10">
        <f t="shared" ca="1" si="35"/>
        <v>0</v>
      </c>
      <c r="BI21" s="185"/>
    </row>
    <row r="22" spans="1:61" s="5" customFormat="1" x14ac:dyDescent="0.3">
      <c r="A22" s="26" t="str">
        <f>A16</f>
        <v>Cumulative Students Per Day</v>
      </c>
      <c r="B22" s="7"/>
      <c r="C22" s="7"/>
      <c r="D22" s="9"/>
      <c r="E22" s="10">
        <f t="shared" ref="E22:AI22" si="36">D22+E20-E21</f>
        <v>13</v>
      </c>
      <c r="F22" s="10">
        <f t="shared" si="36"/>
        <v>13</v>
      </c>
      <c r="G22" s="10">
        <f t="shared" ca="1" si="36"/>
        <v>13</v>
      </c>
      <c r="H22" s="10">
        <f t="shared" ca="1" si="36"/>
        <v>13</v>
      </c>
      <c r="I22" s="10">
        <f t="shared" ca="1" si="36"/>
        <v>13</v>
      </c>
      <c r="J22" s="10">
        <f t="shared" ca="1" si="36"/>
        <v>13</v>
      </c>
      <c r="K22" s="10">
        <f t="shared" ca="1" si="36"/>
        <v>17</v>
      </c>
      <c r="L22" s="10">
        <f t="shared" ca="1" si="36"/>
        <v>17</v>
      </c>
      <c r="M22" s="10">
        <f t="shared" ca="1" si="36"/>
        <v>17</v>
      </c>
      <c r="N22" s="10">
        <f t="shared" ca="1" si="36"/>
        <v>17</v>
      </c>
      <c r="O22" s="10">
        <f t="shared" ca="1" si="36"/>
        <v>17</v>
      </c>
      <c r="P22" s="10">
        <f t="shared" ca="1" si="36"/>
        <v>17</v>
      </c>
      <c r="Q22" s="10">
        <f t="shared" ca="1" si="36"/>
        <v>17</v>
      </c>
      <c r="R22" s="10">
        <f t="shared" ca="1" si="36"/>
        <v>23</v>
      </c>
      <c r="S22" s="10">
        <f t="shared" ca="1" si="36"/>
        <v>23</v>
      </c>
      <c r="T22" s="10">
        <f t="shared" ca="1" si="36"/>
        <v>23</v>
      </c>
      <c r="U22" s="10">
        <f t="shared" ca="1" si="36"/>
        <v>23</v>
      </c>
      <c r="V22" s="10">
        <f t="shared" ca="1" si="36"/>
        <v>23</v>
      </c>
      <c r="W22" s="10">
        <f t="shared" ca="1" si="36"/>
        <v>23</v>
      </c>
      <c r="X22" s="10">
        <f t="shared" ca="1" si="36"/>
        <v>23</v>
      </c>
      <c r="Y22" s="10">
        <f t="shared" ca="1" si="36"/>
        <v>20</v>
      </c>
      <c r="Z22" s="10">
        <f t="shared" ca="1" si="36"/>
        <v>20</v>
      </c>
      <c r="AA22" s="10">
        <f t="shared" ca="1" si="36"/>
        <v>20</v>
      </c>
      <c r="AB22" s="10">
        <f t="shared" ca="1" si="36"/>
        <v>20</v>
      </c>
      <c r="AC22" s="10">
        <f t="shared" ca="1" si="36"/>
        <v>20</v>
      </c>
      <c r="AD22" s="10">
        <f t="shared" ca="1" si="36"/>
        <v>20</v>
      </c>
      <c r="AE22" s="10">
        <f t="shared" ca="1" si="36"/>
        <v>20</v>
      </c>
      <c r="AF22" s="10">
        <f t="shared" ca="1" si="36"/>
        <v>20</v>
      </c>
      <c r="AG22" s="10">
        <f t="shared" ca="1" si="36"/>
        <v>20</v>
      </c>
      <c r="AH22" s="10">
        <f t="shared" ca="1" si="36"/>
        <v>20</v>
      </c>
      <c r="AI22" s="10">
        <f t="shared" ca="1" si="36"/>
        <v>20</v>
      </c>
      <c r="AJ22" s="73" t="s">
        <v>0</v>
      </c>
      <c r="AK22" s="10">
        <f ca="1">AI22+AK20-AK21</f>
        <v>20</v>
      </c>
      <c r="AL22" s="10">
        <f t="shared" ref="AL22" ca="1" si="37">AK22+AL20-AL21</f>
        <v>21</v>
      </c>
      <c r="AM22" s="10">
        <f t="shared" ref="AM22" ca="1" si="38">AL22+AM20-AM21</f>
        <v>23</v>
      </c>
      <c r="AN22" s="10">
        <f t="shared" ref="AN22" ca="1" si="39">AM22+AN20-AN21</f>
        <v>26</v>
      </c>
      <c r="AO22" s="10">
        <f t="shared" ref="AO22" ca="1" si="40">AN22+AO20-AO21</f>
        <v>30</v>
      </c>
      <c r="AP22" s="10">
        <f t="shared" ref="AP22" ca="1" si="41">AO22+AP20-AP21</f>
        <v>35</v>
      </c>
      <c r="AQ22" s="10">
        <f t="shared" ref="AQ22" ca="1" si="42">AP22+AQ20-AQ21</f>
        <v>41</v>
      </c>
      <c r="AR22" s="10">
        <f t="shared" ref="AR22" ca="1" si="43">AQ22+AR20-AR21</f>
        <v>48</v>
      </c>
      <c r="AS22" s="10">
        <f t="shared" ref="AS22" ca="1" si="44">AR22+AS20-AS21</f>
        <v>56</v>
      </c>
      <c r="AT22" s="10">
        <f t="shared" ref="AT22" ca="1" si="45">AS22+AT20-AT21</f>
        <v>65</v>
      </c>
      <c r="AU22" s="10">
        <f t="shared" ref="AU22" ca="1" si="46">AT22+AU20-AU21</f>
        <v>75</v>
      </c>
      <c r="AV22" s="10">
        <f t="shared" ref="AV22" ca="1" si="47">AU22+AV20-AV21</f>
        <v>86</v>
      </c>
      <c r="AW22" s="10">
        <f t="shared" ref="AW22" ca="1" si="48">AV22+AW20-AW21</f>
        <v>98</v>
      </c>
      <c r="AX22" s="10">
        <f t="shared" ref="AX22" ca="1" si="49">AW22+AX20-AX21</f>
        <v>111</v>
      </c>
      <c r="AY22" s="10">
        <f t="shared" ref="AY22" ca="1" si="50">AX22+AY20-AY21</f>
        <v>125</v>
      </c>
      <c r="AZ22" s="10">
        <f t="shared" ref="AZ22" ca="1" si="51">AY22+AZ20-AZ21</f>
        <v>140</v>
      </c>
      <c r="BA22" s="10">
        <f t="shared" ref="BA22" ca="1" si="52">AZ22+BA20-BA21</f>
        <v>156</v>
      </c>
      <c r="BB22" s="10">
        <f t="shared" ref="BB22" ca="1" si="53">BA22+BB20-BB21</f>
        <v>173</v>
      </c>
      <c r="BC22" s="10">
        <f t="shared" ref="BC22" ca="1" si="54">BB22+BC20-BC21</f>
        <v>191</v>
      </c>
      <c r="BD22" s="10">
        <f t="shared" ref="BD22" ca="1" si="55">BC22+BD20-BD21</f>
        <v>210</v>
      </c>
      <c r="BE22" s="10">
        <f t="shared" ref="BE22" ca="1" si="56">BD22+BE20-BE21</f>
        <v>230</v>
      </c>
      <c r="BF22" s="10">
        <f t="shared" ref="BF22" ca="1" si="57">BE22+BF20-BF21</f>
        <v>251</v>
      </c>
      <c r="BG22" s="10">
        <f t="shared" ref="BG22" ca="1" si="58">BF22+BG20-BG21</f>
        <v>273</v>
      </c>
      <c r="BH22" s="10">
        <f t="shared" ref="BH22" ca="1" si="59">BG22+BH20-BH21</f>
        <v>296</v>
      </c>
      <c r="BI22" s="186">
        <f ca="1">SUM(AK22:BH22)</f>
        <v>2780</v>
      </c>
    </row>
    <row r="23" spans="1:61" s="5" customFormat="1" x14ac:dyDescent="0.3">
      <c r="A23" s="21"/>
      <c r="B23" s="22"/>
      <c r="C23" s="22"/>
      <c r="D23" s="21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72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185"/>
    </row>
    <row r="24" spans="1:61" s="1" customFormat="1" x14ac:dyDescent="0.3">
      <c r="A24" s="2" t="s">
        <v>593</v>
      </c>
      <c r="B24" s="6"/>
      <c r="C24" s="22"/>
      <c r="D24" s="254"/>
      <c r="E24" s="254"/>
      <c r="F24" s="255"/>
      <c r="G24" s="255"/>
      <c r="H24" s="255"/>
      <c r="I24" s="255"/>
      <c r="J24" s="255"/>
      <c r="K24" s="255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5"/>
      <c r="AJ24" s="265"/>
      <c r="AK24" s="255"/>
      <c r="AL24" s="255"/>
      <c r="AM24" s="255"/>
      <c r="AN24" s="255"/>
      <c r="AO24" s="255"/>
      <c r="AP24" s="255"/>
      <c r="AQ24" s="255"/>
      <c r="AR24" s="255"/>
      <c r="AS24" s="255"/>
      <c r="AT24" s="255"/>
      <c r="AU24" s="255"/>
      <c r="AV24" s="255"/>
      <c r="AW24" s="255"/>
      <c r="AX24" s="255"/>
      <c r="AY24" s="255"/>
      <c r="AZ24" s="255"/>
      <c r="BA24" s="255"/>
      <c r="BB24" s="255"/>
      <c r="BC24" s="255"/>
      <c r="BD24" s="255"/>
      <c r="BE24" s="255"/>
      <c r="BF24" s="255"/>
      <c r="BG24" s="255"/>
      <c r="BH24" s="255"/>
      <c r="BI24" s="185"/>
    </row>
    <row r="25" spans="1:61" s="1" customFormat="1" x14ac:dyDescent="0.3">
      <c r="A25" s="2"/>
      <c r="B25" s="6"/>
      <c r="C25" s="22"/>
      <c r="D25" s="254"/>
      <c r="E25" s="254"/>
      <c r="F25" s="255"/>
      <c r="G25" s="255"/>
      <c r="H25" s="255"/>
      <c r="I25" s="255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  <c r="AH25" s="255"/>
      <c r="AI25" s="255"/>
      <c r="AJ25" s="265"/>
      <c r="AK25" s="255"/>
      <c r="AL25" s="255"/>
      <c r="AM25" s="255"/>
      <c r="AN25" s="255"/>
      <c r="AO25" s="255"/>
      <c r="AP25" s="255"/>
      <c r="AQ25" s="255"/>
      <c r="AR25" s="255"/>
      <c r="AS25" s="255"/>
      <c r="AT25" s="255"/>
      <c r="AU25" s="255"/>
      <c r="AV25" s="255"/>
      <c r="AW25" s="255"/>
      <c r="AX25" s="255"/>
      <c r="AY25" s="255"/>
      <c r="AZ25" s="255"/>
      <c r="BA25" s="255"/>
      <c r="BB25" s="255"/>
      <c r="BC25" s="255"/>
      <c r="BD25" s="255"/>
      <c r="BE25" s="255"/>
      <c r="BF25" s="255"/>
      <c r="BG25" s="255"/>
      <c r="BH25" s="255"/>
      <c r="BI25" s="185"/>
    </row>
    <row r="26" spans="1:61" s="5" customFormat="1" x14ac:dyDescent="0.3">
      <c r="A26" s="26" t="str">
        <f>A20</f>
        <v>Student Arrivals</v>
      </c>
      <c r="B26" s="24"/>
      <c r="C26" s="251" t="s">
        <v>0</v>
      </c>
      <c r="D26" s="252"/>
      <c r="E26" s="8">
        <v>59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6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3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266"/>
      <c r="AK26" s="8">
        <v>0</v>
      </c>
      <c r="AL26" s="8">
        <v>1</v>
      </c>
      <c r="AM26" s="8">
        <v>2</v>
      </c>
      <c r="AN26" s="8">
        <v>3</v>
      </c>
      <c r="AO26" s="8">
        <v>4</v>
      </c>
      <c r="AP26" s="8">
        <v>5</v>
      </c>
      <c r="AQ26" s="8">
        <v>6</v>
      </c>
      <c r="AR26" s="8">
        <v>7</v>
      </c>
      <c r="AS26" s="8">
        <v>8</v>
      </c>
      <c r="AT26" s="8">
        <v>9</v>
      </c>
      <c r="AU26" s="8">
        <v>10</v>
      </c>
      <c r="AV26" s="8">
        <v>11</v>
      </c>
      <c r="AW26" s="8">
        <v>12</v>
      </c>
      <c r="AX26" s="8">
        <v>13</v>
      </c>
      <c r="AY26" s="8">
        <v>14</v>
      </c>
      <c r="AZ26" s="8">
        <v>15</v>
      </c>
      <c r="BA26" s="8">
        <v>16</v>
      </c>
      <c r="BB26" s="8">
        <v>17</v>
      </c>
      <c r="BC26" s="8">
        <v>18</v>
      </c>
      <c r="BD26" s="8">
        <v>19</v>
      </c>
      <c r="BE26" s="8">
        <v>20</v>
      </c>
      <c r="BF26" s="8">
        <v>21</v>
      </c>
      <c r="BG26" s="8">
        <v>22</v>
      </c>
      <c r="BH26" s="8">
        <v>23</v>
      </c>
      <c r="BI26" s="185"/>
    </row>
    <row r="27" spans="1:61" s="5" customFormat="1" x14ac:dyDescent="0.3">
      <c r="A27" s="26" t="str">
        <f>A21</f>
        <v xml:space="preserve">Student Departures </v>
      </c>
      <c r="B27" s="24" t="s">
        <v>0</v>
      </c>
      <c r="C27" s="8" t="s">
        <v>0</v>
      </c>
      <c r="D27" s="252"/>
      <c r="E27" s="10">
        <v>0</v>
      </c>
      <c r="F27" s="10">
        <v>0</v>
      </c>
      <c r="G27" s="10">
        <f t="shared" ref="G27:P27" ca="1" si="60">IF(G$2&lt;=$C27,0,OFFSET(G26,0,-$C27*7,1,1))</f>
        <v>0</v>
      </c>
      <c r="H27" s="10">
        <f t="shared" ca="1" si="60"/>
        <v>0</v>
      </c>
      <c r="I27" s="10">
        <f t="shared" ca="1" si="60"/>
        <v>0</v>
      </c>
      <c r="J27" s="10">
        <f t="shared" ca="1" si="60"/>
        <v>0</v>
      </c>
      <c r="K27" s="10">
        <f t="shared" ca="1" si="60"/>
        <v>0</v>
      </c>
      <c r="L27" s="10">
        <f t="shared" ca="1" si="60"/>
        <v>0</v>
      </c>
      <c r="M27" s="10">
        <f t="shared" ca="1" si="60"/>
        <v>0</v>
      </c>
      <c r="N27" s="10">
        <f t="shared" ca="1" si="60"/>
        <v>0</v>
      </c>
      <c r="O27" s="10">
        <f t="shared" ca="1" si="60"/>
        <v>0</v>
      </c>
      <c r="P27" s="10">
        <f t="shared" ca="1" si="60"/>
        <v>0</v>
      </c>
      <c r="Q27" s="10">
        <v>0</v>
      </c>
      <c r="R27" s="10">
        <v>0</v>
      </c>
      <c r="S27" s="10">
        <f ca="1">IF(S$2&lt;=$C27,0,OFFSET(S26,0,-$C27*7,1,1))</f>
        <v>0</v>
      </c>
      <c r="T27" s="10">
        <f ca="1">IF(T$2&lt;=$C27,0,OFFSET(T26,0,-$C27*7,1,1))</f>
        <v>0</v>
      </c>
      <c r="U27" s="10">
        <f ca="1">IF(U$2&lt;=$C27,0,OFFSET(U26,0,-$C27*7,1,1))</f>
        <v>0</v>
      </c>
      <c r="V27" s="10">
        <v>59</v>
      </c>
      <c r="W27" s="10">
        <f ca="1">IF(W$2&lt;=$C27,0,OFFSET(W26,0,-$C27*7,1,1))</f>
        <v>0</v>
      </c>
      <c r="X27" s="10">
        <f ca="1">IF(X$2&lt;=$C27,0,OFFSET(X26,0,-$C27*7,1,1))</f>
        <v>0</v>
      </c>
      <c r="Y27" s="10">
        <v>6</v>
      </c>
      <c r="Z27" s="10">
        <f ca="1">IF(Z$2&lt;=$C27,0,OFFSET(Z26,0,-$C27*7,1,1))</f>
        <v>0</v>
      </c>
      <c r="AA27" s="10">
        <f ca="1">IF(AA$2&lt;=$C27,0,OFFSET(AA26,0,-$C27*7,1,1))</f>
        <v>0</v>
      </c>
      <c r="AB27" s="10">
        <f ca="1">IF(AB$2&lt;=$C27,0,OFFSET(AB26,0,-$C27*7,1,1))</f>
        <v>0</v>
      </c>
      <c r="AC27" s="10">
        <f ca="1">IF(AC$2&lt;=$C27,0,OFFSET(AC26,0,-$C27*7,1,1))</f>
        <v>0</v>
      </c>
      <c r="AD27" s="10">
        <f ca="1">IF(AD$2&lt;=$C27,0,OFFSET(AD26,0,-$C27*7,1,1))</f>
        <v>0</v>
      </c>
      <c r="AE27" s="10">
        <v>0</v>
      </c>
      <c r="AF27" s="10">
        <f ca="1">IF(AF$2&lt;=$C27,0,OFFSET(AF26,0,-$C27*7,1,1))</f>
        <v>0</v>
      </c>
      <c r="AG27" s="10">
        <v>0</v>
      </c>
      <c r="AH27" s="10">
        <f ca="1">IF(AH$2&lt;=$C27,0,OFFSET(AH26,0,-$C27*7,1,1))</f>
        <v>0</v>
      </c>
      <c r="AI27" s="10">
        <f ca="1">IF(AI$2&lt;=$C27,0,OFFSET(AI26,0,-$C27*7,1,1))</f>
        <v>0</v>
      </c>
      <c r="AJ27" s="73"/>
      <c r="AK27" s="10">
        <f ca="1">IF(AK$2&lt;=$C27,0,OFFSET(AK26,0,-$C27*7,1,1))</f>
        <v>0</v>
      </c>
      <c r="AL27" s="10">
        <f t="shared" ref="AL27:BH27" ca="1" si="61">IF(AL$2&lt;=$C27,0,OFFSET(AL26,0,-$C27*7,1,1))</f>
        <v>0</v>
      </c>
      <c r="AM27" s="10">
        <f t="shared" ca="1" si="61"/>
        <v>0</v>
      </c>
      <c r="AN27" s="10">
        <f t="shared" ca="1" si="61"/>
        <v>0</v>
      </c>
      <c r="AO27" s="10">
        <f t="shared" ca="1" si="61"/>
        <v>0</v>
      </c>
      <c r="AP27" s="10">
        <f t="shared" ca="1" si="61"/>
        <v>0</v>
      </c>
      <c r="AQ27" s="10">
        <f t="shared" ca="1" si="61"/>
        <v>0</v>
      </c>
      <c r="AR27" s="10">
        <f t="shared" ca="1" si="61"/>
        <v>0</v>
      </c>
      <c r="AS27" s="10">
        <f t="shared" ca="1" si="61"/>
        <v>0</v>
      </c>
      <c r="AT27" s="10">
        <f t="shared" ca="1" si="61"/>
        <v>0</v>
      </c>
      <c r="AU27" s="10">
        <f t="shared" ca="1" si="61"/>
        <v>0</v>
      </c>
      <c r="AV27" s="10">
        <f t="shared" ca="1" si="61"/>
        <v>0</v>
      </c>
      <c r="AW27" s="10">
        <f t="shared" ca="1" si="61"/>
        <v>0</v>
      </c>
      <c r="AX27" s="10">
        <f t="shared" ca="1" si="61"/>
        <v>0</v>
      </c>
      <c r="AY27" s="10">
        <f t="shared" ca="1" si="61"/>
        <v>0</v>
      </c>
      <c r="AZ27" s="10">
        <f t="shared" ca="1" si="61"/>
        <v>0</v>
      </c>
      <c r="BA27" s="10">
        <f t="shared" ca="1" si="61"/>
        <v>0</v>
      </c>
      <c r="BB27" s="10">
        <f t="shared" ca="1" si="61"/>
        <v>0</v>
      </c>
      <c r="BC27" s="10">
        <f t="shared" ca="1" si="61"/>
        <v>0</v>
      </c>
      <c r="BD27" s="10">
        <f t="shared" ca="1" si="61"/>
        <v>0</v>
      </c>
      <c r="BE27" s="10">
        <f t="shared" ca="1" si="61"/>
        <v>0</v>
      </c>
      <c r="BF27" s="10">
        <f t="shared" ca="1" si="61"/>
        <v>0</v>
      </c>
      <c r="BG27" s="10">
        <f t="shared" ca="1" si="61"/>
        <v>0</v>
      </c>
      <c r="BH27" s="10">
        <f t="shared" ca="1" si="61"/>
        <v>0</v>
      </c>
      <c r="BI27" s="185"/>
    </row>
    <row r="28" spans="1:61" s="5" customFormat="1" x14ac:dyDescent="0.3">
      <c r="A28" s="26" t="str">
        <f>A22</f>
        <v>Cumulative Students Per Day</v>
      </c>
      <c r="B28" s="7"/>
      <c r="C28" s="7"/>
      <c r="D28" s="9"/>
      <c r="E28" s="10">
        <f t="shared" ref="E28" si="62">D28+E26-E27</f>
        <v>59</v>
      </c>
      <c r="F28" s="10">
        <f t="shared" ref="F28" si="63">E28+F26-F27</f>
        <v>59</v>
      </c>
      <c r="G28" s="10">
        <f t="shared" ref="G28" ca="1" si="64">F28+G26-G27</f>
        <v>59</v>
      </c>
      <c r="H28" s="10">
        <f t="shared" ref="H28" ca="1" si="65">G28+H26-H27</f>
        <v>59</v>
      </c>
      <c r="I28" s="10">
        <f t="shared" ref="I28" ca="1" si="66">H28+I26-I27</f>
        <v>59</v>
      </c>
      <c r="J28" s="10">
        <f t="shared" ref="J28" ca="1" si="67">I28+J26-J27</f>
        <v>59</v>
      </c>
      <c r="K28" s="10">
        <f t="shared" ref="K28" ca="1" si="68">J28+K26-K27</f>
        <v>59</v>
      </c>
      <c r="L28" s="10">
        <f t="shared" ref="L28" ca="1" si="69">K28+L26-L27</f>
        <v>59</v>
      </c>
      <c r="M28" s="10">
        <f t="shared" ref="M28" ca="1" si="70">L28+M26-M27</f>
        <v>59</v>
      </c>
      <c r="N28" s="10">
        <f t="shared" ref="N28" ca="1" si="71">M28+N26-N27</f>
        <v>59</v>
      </c>
      <c r="O28" s="10">
        <f t="shared" ref="O28" ca="1" si="72">N28+O26-O27</f>
        <v>59</v>
      </c>
      <c r="P28" s="10">
        <f t="shared" ref="P28" ca="1" si="73">O28+P26-P27</f>
        <v>59</v>
      </c>
      <c r="Q28" s="10">
        <f t="shared" ref="Q28" ca="1" si="74">P28+Q26-Q27</f>
        <v>59</v>
      </c>
      <c r="R28" s="10">
        <f t="shared" ref="R28" ca="1" si="75">Q28+R26-R27</f>
        <v>65</v>
      </c>
      <c r="S28" s="10">
        <f t="shared" ref="S28" ca="1" si="76">R28+S26-S27</f>
        <v>65</v>
      </c>
      <c r="T28" s="10">
        <f t="shared" ref="T28" ca="1" si="77">S28+T26-T27</f>
        <v>65</v>
      </c>
      <c r="U28" s="10">
        <f t="shared" ref="U28" ca="1" si="78">T28+U26-U27</f>
        <v>65</v>
      </c>
      <c r="V28" s="10">
        <f t="shared" ref="V28" ca="1" si="79">U28+V26-V27</f>
        <v>6</v>
      </c>
      <c r="W28" s="10">
        <f t="shared" ref="W28" ca="1" si="80">V28+W26-W27</f>
        <v>6</v>
      </c>
      <c r="X28" s="10">
        <f t="shared" ref="X28" ca="1" si="81">W28+X26-X27</f>
        <v>6</v>
      </c>
      <c r="Y28" s="10">
        <f t="shared" ref="Y28" ca="1" si="82">X28+Y26-Y27</f>
        <v>3</v>
      </c>
      <c r="Z28" s="10">
        <f t="shared" ref="Z28" ca="1" si="83">Y28+Z26-Z27</f>
        <v>3</v>
      </c>
      <c r="AA28" s="10">
        <f t="shared" ref="AA28" ca="1" si="84">Z28+AA26-AA27</f>
        <v>3</v>
      </c>
      <c r="AB28" s="10">
        <f t="shared" ref="AB28" ca="1" si="85">AA28+AB26-AB27</f>
        <v>3</v>
      </c>
      <c r="AC28" s="10">
        <f t="shared" ref="AC28" ca="1" si="86">AB28+AC26-AC27</f>
        <v>3</v>
      </c>
      <c r="AD28" s="10">
        <f t="shared" ref="AD28" ca="1" si="87">AC28+AD26-AD27</f>
        <v>3</v>
      </c>
      <c r="AE28" s="10">
        <f t="shared" ref="AE28" ca="1" si="88">AD28+AE26-AE27</f>
        <v>3</v>
      </c>
      <c r="AF28" s="10">
        <f t="shared" ref="AF28" ca="1" si="89">AE28+AF26-AF27</f>
        <v>3</v>
      </c>
      <c r="AG28" s="10">
        <f t="shared" ref="AG28" ca="1" si="90">AF28+AG26-AG27</f>
        <v>3</v>
      </c>
      <c r="AH28" s="10">
        <f t="shared" ref="AH28" ca="1" si="91">AG28+AH26-AH27</f>
        <v>3</v>
      </c>
      <c r="AI28" s="10">
        <f t="shared" ref="AI28" ca="1" si="92">AH28+AI26-AI27</f>
        <v>3</v>
      </c>
      <c r="AJ28" s="73" t="s">
        <v>0</v>
      </c>
      <c r="AK28" s="10">
        <f ca="1">AI28+AK26-AK27</f>
        <v>3</v>
      </c>
      <c r="AL28" s="10">
        <f t="shared" ref="AL28" ca="1" si="93">AK28+AL26-AL27</f>
        <v>4</v>
      </c>
      <c r="AM28" s="10">
        <f t="shared" ref="AM28" ca="1" si="94">AL28+AM26-AM27</f>
        <v>6</v>
      </c>
      <c r="AN28" s="10">
        <f t="shared" ref="AN28" ca="1" si="95">AM28+AN26-AN27</f>
        <v>9</v>
      </c>
      <c r="AO28" s="10">
        <f t="shared" ref="AO28" ca="1" si="96">AN28+AO26-AO27</f>
        <v>13</v>
      </c>
      <c r="AP28" s="10">
        <f t="shared" ref="AP28" ca="1" si="97">AO28+AP26-AP27</f>
        <v>18</v>
      </c>
      <c r="AQ28" s="10">
        <f t="shared" ref="AQ28" ca="1" si="98">AP28+AQ26-AQ27</f>
        <v>24</v>
      </c>
      <c r="AR28" s="10">
        <f t="shared" ref="AR28" ca="1" si="99">AQ28+AR26-AR27</f>
        <v>31</v>
      </c>
      <c r="AS28" s="10">
        <f t="shared" ref="AS28" ca="1" si="100">AR28+AS26-AS27</f>
        <v>39</v>
      </c>
      <c r="AT28" s="10">
        <f t="shared" ref="AT28" ca="1" si="101">AS28+AT26-AT27</f>
        <v>48</v>
      </c>
      <c r="AU28" s="10">
        <f t="shared" ref="AU28" ca="1" si="102">AT28+AU26-AU27</f>
        <v>58</v>
      </c>
      <c r="AV28" s="10">
        <f t="shared" ref="AV28" ca="1" si="103">AU28+AV26-AV27</f>
        <v>69</v>
      </c>
      <c r="AW28" s="10">
        <f t="shared" ref="AW28" ca="1" si="104">AV28+AW26-AW27</f>
        <v>81</v>
      </c>
      <c r="AX28" s="10">
        <f t="shared" ref="AX28" ca="1" si="105">AW28+AX26-AX27</f>
        <v>94</v>
      </c>
      <c r="AY28" s="10">
        <f t="shared" ref="AY28" ca="1" si="106">AX28+AY26-AY27</f>
        <v>108</v>
      </c>
      <c r="AZ28" s="10">
        <f t="shared" ref="AZ28" ca="1" si="107">AY28+AZ26-AZ27</f>
        <v>123</v>
      </c>
      <c r="BA28" s="10">
        <f t="shared" ref="BA28" ca="1" si="108">AZ28+BA26-BA27</f>
        <v>139</v>
      </c>
      <c r="BB28" s="10">
        <f t="shared" ref="BB28" ca="1" si="109">BA28+BB26-BB27</f>
        <v>156</v>
      </c>
      <c r="BC28" s="10">
        <f t="shared" ref="BC28" ca="1" si="110">BB28+BC26-BC27</f>
        <v>174</v>
      </c>
      <c r="BD28" s="10">
        <f t="shared" ref="BD28" ca="1" si="111">BC28+BD26-BD27</f>
        <v>193</v>
      </c>
      <c r="BE28" s="10">
        <f t="shared" ref="BE28" ca="1" si="112">BD28+BE26-BE27</f>
        <v>213</v>
      </c>
      <c r="BF28" s="10">
        <f t="shared" ref="BF28" ca="1" si="113">BE28+BF26-BF27</f>
        <v>234</v>
      </c>
      <c r="BG28" s="10">
        <f t="shared" ref="BG28" ca="1" si="114">BF28+BG26-BG27</f>
        <v>256</v>
      </c>
      <c r="BH28" s="10">
        <f t="shared" ref="BH28" ca="1" si="115">BG28+BH26-BH27</f>
        <v>279</v>
      </c>
      <c r="BI28" s="186">
        <f ca="1">SUM(AK28:BH28)</f>
        <v>2372</v>
      </c>
    </row>
    <row r="29" spans="1:61" s="5" customFormat="1" x14ac:dyDescent="0.3">
      <c r="A29" s="21"/>
      <c r="B29" s="22"/>
      <c r="C29" s="22"/>
      <c r="D29" s="21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72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185"/>
    </row>
    <row r="30" spans="1:61" s="1" customFormat="1" x14ac:dyDescent="0.3">
      <c r="A30" s="2" t="s">
        <v>10</v>
      </c>
      <c r="B30" s="6"/>
      <c r="C30" s="22"/>
      <c r="D30" s="254"/>
      <c r="E30" s="254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5"/>
      <c r="Z30" s="255"/>
      <c r="AA30" s="255"/>
      <c r="AB30" s="255"/>
      <c r="AC30" s="255"/>
      <c r="AD30" s="255"/>
      <c r="AE30" s="255"/>
      <c r="AF30" s="255"/>
      <c r="AG30" s="255"/>
      <c r="AH30" s="255"/>
      <c r="AI30" s="255"/>
      <c r="AJ30" s="265"/>
      <c r="AK30" s="255"/>
      <c r="AL30" s="255"/>
      <c r="AM30" s="255"/>
      <c r="AN30" s="255"/>
      <c r="AO30" s="255"/>
      <c r="AP30" s="255"/>
      <c r="AQ30" s="255"/>
      <c r="AR30" s="255"/>
      <c r="AS30" s="255"/>
      <c r="AT30" s="255"/>
      <c r="AU30" s="255"/>
      <c r="AV30" s="255"/>
      <c r="AW30" s="255"/>
      <c r="AX30" s="255"/>
      <c r="AY30" s="255"/>
      <c r="AZ30" s="255"/>
      <c r="BA30" s="255"/>
      <c r="BB30" s="255"/>
      <c r="BC30" s="255"/>
      <c r="BD30" s="255"/>
      <c r="BE30" s="255"/>
      <c r="BF30" s="255"/>
      <c r="BG30" s="255"/>
      <c r="BH30" s="255"/>
      <c r="BI30" s="185"/>
    </row>
    <row r="31" spans="1:61" s="1" customFormat="1" x14ac:dyDescent="0.3">
      <c r="A31" s="2"/>
      <c r="B31" s="6"/>
      <c r="C31" s="22"/>
      <c r="D31" s="254"/>
      <c r="E31" s="254"/>
      <c r="F31" s="255"/>
      <c r="G31" s="255"/>
      <c r="H31" s="255"/>
      <c r="I31" s="255"/>
      <c r="J31" s="255"/>
      <c r="K31" s="255"/>
      <c r="L31" s="255"/>
      <c r="M31" s="255"/>
      <c r="N31" s="255"/>
      <c r="O31" s="255"/>
      <c r="P31" s="255"/>
      <c r="Q31" s="255"/>
      <c r="R31" s="255"/>
      <c r="S31" s="255"/>
      <c r="T31" s="255"/>
      <c r="U31" s="255"/>
      <c r="V31" s="255"/>
      <c r="W31" s="255"/>
      <c r="X31" s="255"/>
      <c r="Y31" s="255"/>
      <c r="Z31" s="255"/>
      <c r="AA31" s="255"/>
      <c r="AB31" s="255"/>
      <c r="AC31" s="255"/>
      <c r="AD31" s="255"/>
      <c r="AE31" s="255"/>
      <c r="AF31" s="255"/>
      <c r="AG31" s="255"/>
      <c r="AH31" s="255"/>
      <c r="AI31" s="255"/>
      <c r="AJ31" s="265"/>
      <c r="AK31" s="255"/>
      <c r="AL31" s="255"/>
      <c r="AM31" s="255"/>
      <c r="AN31" s="255"/>
      <c r="AO31" s="255"/>
      <c r="AP31" s="255"/>
      <c r="AQ31" s="255"/>
      <c r="AR31" s="255"/>
      <c r="AS31" s="255"/>
      <c r="AT31" s="255"/>
      <c r="AU31" s="255"/>
      <c r="AV31" s="255"/>
      <c r="AW31" s="255"/>
      <c r="AX31" s="255"/>
      <c r="AY31" s="255"/>
      <c r="AZ31" s="255"/>
      <c r="BA31" s="255"/>
      <c r="BB31" s="255"/>
      <c r="BC31" s="255"/>
      <c r="BD31" s="255"/>
      <c r="BE31" s="255"/>
      <c r="BF31" s="255"/>
      <c r="BG31" s="255"/>
      <c r="BH31" s="255"/>
      <c r="BI31" s="185"/>
    </row>
    <row r="32" spans="1:61" s="5" customFormat="1" x14ac:dyDescent="0.3">
      <c r="A32" s="26" t="str">
        <f>A20</f>
        <v>Student Arrivals</v>
      </c>
      <c r="B32" s="24"/>
      <c r="C32" s="251"/>
      <c r="D32" s="252"/>
      <c r="E32" s="10">
        <f>E14+E20+E26</f>
        <v>151</v>
      </c>
      <c r="F32" s="10">
        <f t="shared" ref="F32:AI32" si="116">F14+F20+F26</f>
        <v>0</v>
      </c>
      <c r="G32" s="10">
        <f t="shared" si="116"/>
        <v>34</v>
      </c>
      <c r="H32" s="10">
        <f t="shared" si="116"/>
        <v>0</v>
      </c>
      <c r="I32" s="10">
        <f t="shared" si="116"/>
        <v>0</v>
      </c>
      <c r="J32" s="10">
        <f t="shared" si="116"/>
        <v>0</v>
      </c>
      <c r="K32" s="10">
        <f t="shared" si="116"/>
        <v>44</v>
      </c>
      <c r="L32" s="10">
        <f t="shared" si="116"/>
        <v>0</v>
      </c>
      <c r="M32" s="10">
        <f t="shared" si="116"/>
        <v>0</v>
      </c>
      <c r="N32" s="10">
        <f t="shared" si="116"/>
        <v>0</v>
      </c>
      <c r="O32" s="10">
        <f t="shared" si="116"/>
        <v>0</v>
      </c>
      <c r="P32" s="10">
        <f t="shared" si="116"/>
        <v>0</v>
      </c>
      <c r="Q32" s="10">
        <f t="shared" si="116"/>
        <v>0</v>
      </c>
      <c r="R32" s="10">
        <f t="shared" si="116"/>
        <v>21</v>
      </c>
      <c r="S32" s="10">
        <f t="shared" si="116"/>
        <v>0</v>
      </c>
      <c r="T32" s="10">
        <f t="shared" si="116"/>
        <v>0</v>
      </c>
      <c r="U32" s="10">
        <f t="shared" si="116"/>
        <v>0</v>
      </c>
      <c r="V32" s="10">
        <f t="shared" si="116"/>
        <v>0</v>
      </c>
      <c r="W32" s="10">
        <f t="shared" si="116"/>
        <v>0</v>
      </c>
      <c r="X32" s="10">
        <f t="shared" si="116"/>
        <v>0</v>
      </c>
      <c r="Y32" s="10">
        <f t="shared" si="116"/>
        <v>45</v>
      </c>
      <c r="Z32" s="10">
        <f t="shared" si="116"/>
        <v>0</v>
      </c>
      <c r="AA32" s="10">
        <f t="shared" si="116"/>
        <v>0</v>
      </c>
      <c r="AB32" s="10">
        <f t="shared" si="116"/>
        <v>0</v>
      </c>
      <c r="AC32" s="10">
        <f t="shared" si="116"/>
        <v>0</v>
      </c>
      <c r="AD32" s="10">
        <f t="shared" si="116"/>
        <v>0</v>
      </c>
      <c r="AE32" s="10">
        <f t="shared" si="116"/>
        <v>0</v>
      </c>
      <c r="AF32" s="10">
        <f t="shared" si="116"/>
        <v>11</v>
      </c>
      <c r="AG32" s="10">
        <f t="shared" si="116"/>
        <v>0</v>
      </c>
      <c r="AH32" s="10">
        <f t="shared" si="116"/>
        <v>0</v>
      </c>
      <c r="AI32" s="10">
        <f t="shared" si="116"/>
        <v>0</v>
      </c>
      <c r="AJ32" s="73"/>
      <c r="AK32" s="10">
        <f t="shared" ref="AK32:BH32" si="117">AK14+AK20+AK26</f>
        <v>0</v>
      </c>
      <c r="AL32" s="10">
        <f t="shared" si="117"/>
        <v>2</v>
      </c>
      <c r="AM32" s="10">
        <f t="shared" si="117"/>
        <v>4</v>
      </c>
      <c r="AN32" s="10">
        <f t="shared" si="117"/>
        <v>6</v>
      </c>
      <c r="AO32" s="10">
        <f t="shared" si="117"/>
        <v>8</v>
      </c>
      <c r="AP32" s="10">
        <f t="shared" si="117"/>
        <v>10</v>
      </c>
      <c r="AQ32" s="10">
        <f t="shared" si="117"/>
        <v>12</v>
      </c>
      <c r="AR32" s="10">
        <f t="shared" si="117"/>
        <v>14</v>
      </c>
      <c r="AS32" s="10">
        <f t="shared" si="117"/>
        <v>16</v>
      </c>
      <c r="AT32" s="10">
        <f t="shared" si="117"/>
        <v>18</v>
      </c>
      <c r="AU32" s="10">
        <f t="shared" si="117"/>
        <v>20</v>
      </c>
      <c r="AV32" s="10">
        <f t="shared" si="117"/>
        <v>22</v>
      </c>
      <c r="AW32" s="10">
        <f t="shared" si="117"/>
        <v>24</v>
      </c>
      <c r="AX32" s="10">
        <f t="shared" si="117"/>
        <v>26</v>
      </c>
      <c r="AY32" s="10">
        <f t="shared" si="117"/>
        <v>28</v>
      </c>
      <c r="AZ32" s="10">
        <f t="shared" si="117"/>
        <v>30</v>
      </c>
      <c r="BA32" s="10">
        <f t="shared" si="117"/>
        <v>32</v>
      </c>
      <c r="BB32" s="10">
        <f t="shared" si="117"/>
        <v>34</v>
      </c>
      <c r="BC32" s="10">
        <f t="shared" si="117"/>
        <v>36</v>
      </c>
      <c r="BD32" s="10">
        <f t="shared" si="117"/>
        <v>38</v>
      </c>
      <c r="BE32" s="10">
        <f t="shared" si="117"/>
        <v>40</v>
      </c>
      <c r="BF32" s="10">
        <f t="shared" si="117"/>
        <v>42</v>
      </c>
      <c r="BG32" s="10">
        <f t="shared" si="117"/>
        <v>44</v>
      </c>
      <c r="BH32" s="10">
        <f t="shared" si="117"/>
        <v>46</v>
      </c>
      <c r="BI32" s="185"/>
    </row>
    <row r="33" spans="1:62" s="5" customFormat="1" x14ac:dyDescent="0.3">
      <c r="A33" s="26" t="str">
        <f>A21</f>
        <v xml:space="preserve">Student Departures </v>
      </c>
      <c r="B33" s="24"/>
      <c r="C33" s="8"/>
      <c r="D33" s="252"/>
      <c r="E33" s="10">
        <f>E15+E21+E27</f>
        <v>0</v>
      </c>
      <c r="F33" s="10">
        <f t="shared" ref="F33:AI33" si="118">F15+F21+F27</f>
        <v>0</v>
      </c>
      <c r="G33" s="10">
        <f t="shared" ca="1" si="118"/>
        <v>0</v>
      </c>
      <c r="H33" s="10">
        <f t="shared" ca="1" si="118"/>
        <v>0</v>
      </c>
      <c r="I33" s="10">
        <f t="shared" ca="1" si="118"/>
        <v>0</v>
      </c>
      <c r="J33" s="10">
        <f t="shared" ca="1" si="118"/>
        <v>0</v>
      </c>
      <c r="K33" s="10">
        <f t="shared" ca="1" si="118"/>
        <v>0</v>
      </c>
      <c r="L33" s="10">
        <f t="shared" ca="1" si="118"/>
        <v>0</v>
      </c>
      <c r="M33" s="10">
        <f t="shared" ca="1" si="118"/>
        <v>0</v>
      </c>
      <c r="N33" s="10">
        <f t="shared" ca="1" si="118"/>
        <v>0</v>
      </c>
      <c r="O33" s="10">
        <f t="shared" ca="1" si="118"/>
        <v>0</v>
      </c>
      <c r="P33" s="10">
        <f t="shared" ca="1" si="118"/>
        <v>7</v>
      </c>
      <c r="Q33" s="10">
        <f t="shared" si="118"/>
        <v>0</v>
      </c>
      <c r="R33" s="10">
        <f t="shared" si="118"/>
        <v>0</v>
      </c>
      <c r="S33" s="10">
        <f t="shared" ca="1" si="118"/>
        <v>0</v>
      </c>
      <c r="T33" s="10">
        <f t="shared" ca="1" si="118"/>
        <v>0</v>
      </c>
      <c r="U33" s="10">
        <f t="shared" ca="1" si="118"/>
        <v>0</v>
      </c>
      <c r="V33" s="10">
        <f t="shared" si="118"/>
        <v>59</v>
      </c>
      <c r="W33" s="10">
        <f t="shared" ca="1" si="118"/>
        <v>0</v>
      </c>
      <c r="X33" s="10">
        <f t="shared" ca="1" si="118"/>
        <v>0</v>
      </c>
      <c r="Y33" s="10">
        <f t="shared" si="118"/>
        <v>57</v>
      </c>
      <c r="Z33" s="10">
        <f t="shared" ca="1" si="118"/>
        <v>0</v>
      </c>
      <c r="AA33" s="10">
        <f t="shared" ca="1" si="118"/>
        <v>0</v>
      </c>
      <c r="AB33" s="10">
        <f t="shared" ca="1" si="118"/>
        <v>0</v>
      </c>
      <c r="AC33" s="10">
        <f t="shared" ca="1" si="118"/>
        <v>0</v>
      </c>
      <c r="AD33" s="10">
        <f t="shared" ca="1" si="118"/>
        <v>0</v>
      </c>
      <c r="AE33" s="10">
        <f t="shared" si="118"/>
        <v>0</v>
      </c>
      <c r="AF33" s="10">
        <f t="shared" ca="1" si="118"/>
        <v>0</v>
      </c>
      <c r="AG33" s="10">
        <f t="shared" si="118"/>
        <v>0</v>
      </c>
      <c r="AH33" s="10">
        <f t="shared" ca="1" si="118"/>
        <v>0</v>
      </c>
      <c r="AI33" s="10">
        <f t="shared" ca="1" si="118"/>
        <v>34</v>
      </c>
      <c r="AJ33" s="73"/>
      <c r="AK33" s="10">
        <f t="shared" ref="AK33:BH33" ca="1" si="119">AK15+AK21+AK27</f>
        <v>0</v>
      </c>
      <c r="AL33" s="10">
        <f t="shared" ca="1" si="119"/>
        <v>0</v>
      </c>
      <c r="AM33" s="10">
        <f t="shared" ca="1" si="119"/>
        <v>0</v>
      </c>
      <c r="AN33" s="10">
        <f t="shared" ca="1" si="119"/>
        <v>0</v>
      </c>
      <c r="AO33" s="10">
        <f t="shared" ca="1" si="119"/>
        <v>0</v>
      </c>
      <c r="AP33" s="10">
        <f t="shared" ca="1" si="119"/>
        <v>0</v>
      </c>
      <c r="AQ33" s="10">
        <f t="shared" ca="1" si="119"/>
        <v>0</v>
      </c>
      <c r="AR33" s="10">
        <f t="shared" ca="1" si="119"/>
        <v>0</v>
      </c>
      <c r="AS33" s="10">
        <f t="shared" ca="1" si="119"/>
        <v>0</v>
      </c>
      <c r="AT33" s="10">
        <f t="shared" ca="1" si="119"/>
        <v>0</v>
      </c>
      <c r="AU33" s="10">
        <f t="shared" ca="1" si="119"/>
        <v>0</v>
      </c>
      <c r="AV33" s="10">
        <f t="shared" ca="1" si="119"/>
        <v>0</v>
      </c>
      <c r="AW33" s="10">
        <f t="shared" ca="1" si="119"/>
        <v>0</v>
      </c>
      <c r="AX33" s="10">
        <f t="shared" ca="1" si="119"/>
        <v>0</v>
      </c>
      <c r="AY33" s="10">
        <f t="shared" ca="1" si="119"/>
        <v>0</v>
      </c>
      <c r="AZ33" s="10">
        <f t="shared" ca="1" si="119"/>
        <v>0</v>
      </c>
      <c r="BA33" s="10">
        <f t="shared" ca="1" si="119"/>
        <v>0</v>
      </c>
      <c r="BB33" s="10">
        <f t="shared" ca="1" si="119"/>
        <v>0</v>
      </c>
      <c r="BC33" s="10">
        <f t="shared" ca="1" si="119"/>
        <v>0</v>
      </c>
      <c r="BD33" s="10">
        <f t="shared" ca="1" si="119"/>
        <v>0</v>
      </c>
      <c r="BE33" s="10">
        <f t="shared" ca="1" si="119"/>
        <v>0</v>
      </c>
      <c r="BF33" s="10">
        <f t="shared" ca="1" si="119"/>
        <v>0</v>
      </c>
      <c r="BG33" s="10">
        <f t="shared" ca="1" si="119"/>
        <v>0</v>
      </c>
      <c r="BH33" s="10">
        <f t="shared" ca="1" si="119"/>
        <v>0</v>
      </c>
      <c r="BI33" s="185"/>
    </row>
    <row r="34" spans="1:62" s="5" customFormat="1" x14ac:dyDescent="0.3">
      <c r="A34" s="26" t="str">
        <f>A22</f>
        <v>Cumulative Students Per Day</v>
      </c>
      <c r="B34" s="7"/>
      <c r="C34" s="7"/>
      <c r="D34" s="9"/>
      <c r="E34" s="10">
        <f>E16+E22+E28</f>
        <v>151</v>
      </c>
      <c r="F34" s="10">
        <f t="shared" ref="F34:AI34" si="120">F16+F22+F28</f>
        <v>151</v>
      </c>
      <c r="G34" s="10">
        <f t="shared" ca="1" si="120"/>
        <v>185</v>
      </c>
      <c r="H34" s="10">
        <f t="shared" ca="1" si="120"/>
        <v>185</v>
      </c>
      <c r="I34" s="10">
        <f t="shared" ca="1" si="120"/>
        <v>185</v>
      </c>
      <c r="J34" s="10">
        <f t="shared" ca="1" si="120"/>
        <v>185</v>
      </c>
      <c r="K34" s="10">
        <f t="shared" ca="1" si="120"/>
        <v>229</v>
      </c>
      <c r="L34" s="10">
        <f t="shared" ca="1" si="120"/>
        <v>229</v>
      </c>
      <c r="M34" s="10">
        <f t="shared" ca="1" si="120"/>
        <v>229</v>
      </c>
      <c r="N34" s="10">
        <f t="shared" ca="1" si="120"/>
        <v>229</v>
      </c>
      <c r="O34" s="10">
        <f t="shared" ca="1" si="120"/>
        <v>229</v>
      </c>
      <c r="P34" s="10">
        <f t="shared" ca="1" si="120"/>
        <v>222</v>
      </c>
      <c r="Q34" s="10">
        <f t="shared" ca="1" si="120"/>
        <v>222</v>
      </c>
      <c r="R34" s="10">
        <f t="shared" ca="1" si="120"/>
        <v>243</v>
      </c>
      <c r="S34" s="10">
        <f t="shared" ca="1" si="120"/>
        <v>243</v>
      </c>
      <c r="T34" s="10">
        <f t="shared" ca="1" si="120"/>
        <v>243</v>
      </c>
      <c r="U34" s="10">
        <f t="shared" ca="1" si="120"/>
        <v>243</v>
      </c>
      <c r="V34" s="10">
        <f t="shared" ca="1" si="120"/>
        <v>184</v>
      </c>
      <c r="W34" s="10">
        <f t="shared" ca="1" si="120"/>
        <v>184</v>
      </c>
      <c r="X34" s="10">
        <f t="shared" ca="1" si="120"/>
        <v>184</v>
      </c>
      <c r="Y34" s="10">
        <f t="shared" ca="1" si="120"/>
        <v>172</v>
      </c>
      <c r="Z34" s="10">
        <f t="shared" ca="1" si="120"/>
        <v>172</v>
      </c>
      <c r="AA34" s="10">
        <f t="shared" ca="1" si="120"/>
        <v>172</v>
      </c>
      <c r="AB34" s="10">
        <f t="shared" ca="1" si="120"/>
        <v>172</v>
      </c>
      <c r="AC34" s="10">
        <f t="shared" ca="1" si="120"/>
        <v>172</v>
      </c>
      <c r="AD34" s="10">
        <f t="shared" ca="1" si="120"/>
        <v>172</v>
      </c>
      <c r="AE34" s="10">
        <f t="shared" ca="1" si="120"/>
        <v>172</v>
      </c>
      <c r="AF34" s="10">
        <f t="shared" ca="1" si="120"/>
        <v>183</v>
      </c>
      <c r="AG34" s="10">
        <f t="shared" ca="1" si="120"/>
        <v>183</v>
      </c>
      <c r="AH34" s="10">
        <f t="shared" ca="1" si="120"/>
        <v>183</v>
      </c>
      <c r="AI34" s="10">
        <f t="shared" ca="1" si="120"/>
        <v>149</v>
      </c>
      <c r="AJ34" s="73" t="s">
        <v>0</v>
      </c>
      <c r="AK34" s="10">
        <f t="shared" ref="AK34:BH34" ca="1" si="121">AK16+AK22+AK28</f>
        <v>149</v>
      </c>
      <c r="AL34" s="10">
        <f t="shared" ca="1" si="121"/>
        <v>151</v>
      </c>
      <c r="AM34" s="10">
        <f t="shared" ca="1" si="121"/>
        <v>155</v>
      </c>
      <c r="AN34" s="10">
        <f t="shared" ca="1" si="121"/>
        <v>161</v>
      </c>
      <c r="AO34" s="10">
        <f t="shared" ca="1" si="121"/>
        <v>169</v>
      </c>
      <c r="AP34" s="10">
        <f t="shared" ca="1" si="121"/>
        <v>179</v>
      </c>
      <c r="AQ34" s="10">
        <f t="shared" ca="1" si="121"/>
        <v>191</v>
      </c>
      <c r="AR34" s="10">
        <f t="shared" ca="1" si="121"/>
        <v>205</v>
      </c>
      <c r="AS34" s="10">
        <f t="shared" ca="1" si="121"/>
        <v>221</v>
      </c>
      <c r="AT34" s="10">
        <f t="shared" ca="1" si="121"/>
        <v>239</v>
      </c>
      <c r="AU34" s="10">
        <f t="shared" ca="1" si="121"/>
        <v>259</v>
      </c>
      <c r="AV34" s="10">
        <f t="shared" ca="1" si="121"/>
        <v>281</v>
      </c>
      <c r="AW34" s="10">
        <f t="shared" ca="1" si="121"/>
        <v>305</v>
      </c>
      <c r="AX34" s="10">
        <f t="shared" ca="1" si="121"/>
        <v>331</v>
      </c>
      <c r="AY34" s="10">
        <f t="shared" ca="1" si="121"/>
        <v>359</v>
      </c>
      <c r="AZ34" s="10">
        <f t="shared" ca="1" si="121"/>
        <v>389</v>
      </c>
      <c r="BA34" s="10">
        <f t="shared" ca="1" si="121"/>
        <v>421</v>
      </c>
      <c r="BB34" s="10">
        <f t="shared" ca="1" si="121"/>
        <v>455</v>
      </c>
      <c r="BC34" s="10">
        <f t="shared" ca="1" si="121"/>
        <v>491</v>
      </c>
      <c r="BD34" s="10">
        <f t="shared" ca="1" si="121"/>
        <v>529</v>
      </c>
      <c r="BE34" s="10">
        <f t="shared" ca="1" si="121"/>
        <v>569</v>
      </c>
      <c r="BF34" s="10">
        <f t="shared" ca="1" si="121"/>
        <v>611</v>
      </c>
      <c r="BG34" s="10">
        <f t="shared" ca="1" si="121"/>
        <v>655</v>
      </c>
      <c r="BH34" s="10">
        <f t="shared" ca="1" si="121"/>
        <v>701</v>
      </c>
      <c r="BI34" s="186">
        <f ca="1">SUM(AK34:BH34)</f>
        <v>8176</v>
      </c>
      <c r="BJ34" s="161" t="s">
        <v>0</v>
      </c>
    </row>
    <row r="35" spans="1:62" s="5" customFormat="1" x14ac:dyDescent="0.3">
      <c r="A35" s="21"/>
      <c r="B35" s="22"/>
      <c r="C35" s="22"/>
      <c r="D35" s="21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72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184"/>
    </row>
    <row r="36" spans="1:62" s="5" customFormat="1" x14ac:dyDescent="0.3">
      <c r="A36" s="21"/>
      <c r="B36" s="22"/>
      <c r="C36" s="22"/>
      <c r="D36" s="21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6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184"/>
    </row>
    <row r="37" spans="1:62" s="5" customFormat="1" ht="15" thickBot="1" x14ac:dyDescent="0.35">
      <c r="A37" s="187" t="s">
        <v>11</v>
      </c>
      <c r="B37" s="57"/>
      <c r="C37" s="57"/>
      <c r="D37" s="58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188" t="s">
        <v>12</v>
      </c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 t="s">
        <v>0</v>
      </c>
      <c r="BI37" s="189" t="s">
        <v>13</v>
      </c>
      <c r="BJ37" s="95" t="s">
        <v>14</v>
      </c>
    </row>
    <row r="38" spans="1:62" s="5" customFormat="1" ht="15" thickTop="1" x14ac:dyDescent="0.3">
      <c r="A38" s="21"/>
      <c r="B38" s="22"/>
      <c r="C38" s="22"/>
      <c r="D38" s="21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72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67"/>
      <c r="BJ38" s="68"/>
    </row>
    <row r="39" spans="1:62" s="33" customFormat="1" x14ac:dyDescent="0.3">
      <c r="A39" s="21"/>
      <c r="B39" s="22"/>
      <c r="C39" s="22"/>
      <c r="D39" s="21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73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73"/>
      <c r="BJ39" s="91"/>
    </row>
    <row r="40" spans="1:62" s="5" customFormat="1" x14ac:dyDescent="0.3">
      <c r="A40" s="96" t="s">
        <v>15</v>
      </c>
      <c r="B40" s="7"/>
      <c r="C40" s="7"/>
      <c r="D40" s="3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73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58"/>
      <c r="BJ40" s="94"/>
    </row>
    <row r="41" spans="1:62" s="5" customFormat="1" x14ac:dyDescent="0.3">
      <c r="A41" s="3"/>
      <c r="B41" s="7"/>
      <c r="C41" s="7"/>
      <c r="D41" s="3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73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58"/>
      <c r="BJ41" s="94"/>
    </row>
    <row r="42" spans="1:62" s="5" customFormat="1" x14ac:dyDescent="0.3">
      <c r="A42" s="21" t="s">
        <v>16</v>
      </c>
      <c r="AJ42" s="77"/>
      <c r="BI42" s="158"/>
      <c r="BJ42" s="94"/>
    </row>
    <row r="43" spans="1:62" s="5" customFormat="1" x14ac:dyDescent="0.3">
      <c r="A43" s="3"/>
      <c r="B43" s="7"/>
      <c r="C43" s="8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73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58"/>
      <c r="BJ43" s="94"/>
    </row>
    <row r="44" spans="1:62" s="5" customFormat="1" x14ac:dyDescent="0.3">
      <c r="A44" s="3" t="s">
        <v>594</v>
      </c>
      <c r="B44" s="7" t="s">
        <v>17</v>
      </c>
      <c r="C44" s="8">
        <v>25</v>
      </c>
      <c r="D44" s="9"/>
      <c r="E44" s="10">
        <f>($C$44*E14)+($C$44*E26)</f>
        <v>3450</v>
      </c>
      <c r="F44" s="10">
        <f t="shared" ref="F44:BH44" si="122">($C$44*F14)+($C$44*F26)</f>
        <v>0</v>
      </c>
      <c r="G44" s="10">
        <f t="shared" si="122"/>
        <v>850</v>
      </c>
      <c r="H44" s="10">
        <f t="shared" si="122"/>
        <v>0</v>
      </c>
      <c r="I44" s="10">
        <f t="shared" si="122"/>
        <v>0</v>
      </c>
      <c r="J44" s="10">
        <f t="shared" si="122"/>
        <v>0</v>
      </c>
      <c r="K44" s="10">
        <f t="shared" si="122"/>
        <v>1000</v>
      </c>
      <c r="L44" s="10">
        <f t="shared" si="122"/>
        <v>0</v>
      </c>
      <c r="M44" s="10">
        <f t="shared" si="122"/>
        <v>0</v>
      </c>
      <c r="N44" s="10">
        <f t="shared" si="122"/>
        <v>0</v>
      </c>
      <c r="O44" s="10">
        <f t="shared" si="122"/>
        <v>0</v>
      </c>
      <c r="P44" s="10">
        <f t="shared" si="122"/>
        <v>0</v>
      </c>
      <c r="Q44" s="10">
        <f t="shared" si="122"/>
        <v>0</v>
      </c>
      <c r="R44" s="10">
        <f t="shared" si="122"/>
        <v>375</v>
      </c>
      <c r="S44" s="10">
        <f t="shared" si="122"/>
        <v>0</v>
      </c>
      <c r="T44" s="10">
        <f t="shared" si="122"/>
        <v>0</v>
      </c>
      <c r="U44" s="10">
        <f t="shared" si="122"/>
        <v>0</v>
      </c>
      <c r="V44" s="10">
        <f t="shared" si="122"/>
        <v>0</v>
      </c>
      <c r="W44" s="10">
        <f t="shared" si="122"/>
        <v>0</v>
      </c>
      <c r="X44" s="10">
        <f t="shared" si="122"/>
        <v>0</v>
      </c>
      <c r="Y44" s="10">
        <f t="shared" si="122"/>
        <v>1050</v>
      </c>
      <c r="Z44" s="10">
        <f t="shared" si="122"/>
        <v>0</v>
      </c>
      <c r="AA44" s="10">
        <f t="shared" si="122"/>
        <v>0</v>
      </c>
      <c r="AB44" s="10">
        <f t="shared" si="122"/>
        <v>0</v>
      </c>
      <c r="AC44" s="10">
        <f t="shared" si="122"/>
        <v>0</v>
      </c>
      <c r="AD44" s="10">
        <f t="shared" si="122"/>
        <v>0</v>
      </c>
      <c r="AE44" s="10">
        <f t="shared" si="122"/>
        <v>0</v>
      </c>
      <c r="AF44" s="10">
        <f t="shared" si="122"/>
        <v>275</v>
      </c>
      <c r="AG44" s="10">
        <f t="shared" si="122"/>
        <v>0</v>
      </c>
      <c r="AH44" s="10">
        <f t="shared" si="122"/>
        <v>0</v>
      </c>
      <c r="AI44" s="10">
        <f t="shared" si="122"/>
        <v>0</v>
      </c>
      <c r="AJ44" s="71">
        <f>SUM(E44:AI44)</f>
        <v>7000</v>
      </c>
      <c r="AK44" s="10">
        <f t="shared" si="122"/>
        <v>0</v>
      </c>
      <c r="AL44" s="10">
        <f t="shared" si="122"/>
        <v>25</v>
      </c>
      <c r="AM44" s="10">
        <f t="shared" si="122"/>
        <v>50</v>
      </c>
      <c r="AN44" s="10">
        <f t="shared" si="122"/>
        <v>75</v>
      </c>
      <c r="AO44" s="10">
        <f t="shared" si="122"/>
        <v>100</v>
      </c>
      <c r="AP44" s="10">
        <f t="shared" si="122"/>
        <v>125</v>
      </c>
      <c r="AQ44" s="10">
        <f t="shared" si="122"/>
        <v>150</v>
      </c>
      <c r="AR44" s="10">
        <f t="shared" si="122"/>
        <v>175</v>
      </c>
      <c r="AS44" s="10">
        <f t="shared" si="122"/>
        <v>200</v>
      </c>
      <c r="AT44" s="10">
        <f t="shared" si="122"/>
        <v>225</v>
      </c>
      <c r="AU44" s="10">
        <f t="shared" si="122"/>
        <v>250</v>
      </c>
      <c r="AV44" s="10">
        <f t="shared" si="122"/>
        <v>275</v>
      </c>
      <c r="AW44" s="10">
        <f t="shared" si="122"/>
        <v>300</v>
      </c>
      <c r="AX44" s="10">
        <f t="shared" si="122"/>
        <v>325</v>
      </c>
      <c r="AY44" s="10">
        <f t="shared" si="122"/>
        <v>350</v>
      </c>
      <c r="AZ44" s="10">
        <f t="shared" si="122"/>
        <v>375</v>
      </c>
      <c r="BA44" s="10">
        <f t="shared" si="122"/>
        <v>400</v>
      </c>
      <c r="BB44" s="10">
        <f t="shared" si="122"/>
        <v>425</v>
      </c>
      <c r="BC44" s="10">
        <f t="shared" si="122"/>
        <v>450</v>
      </c>
      <c r="BD44" s="10">
        <f t="shared" si="122"/>
        <v>475</v>
      </c>
      <c r="BE44" s="10">
        <f t="shared" si="122"/>
        <v>500</v>
      </c>
      <c r="BF44" s="10">
        <f t="shared" si="122"/>
        <v>525</v>
      </c>
      <c r="BG44" s="10">
        <f t="shared" si="122"/>
        <v>550</v>
      </c>
      <c r="BH44" s="10">
        <f t="shared" si="122"/>
        <v>575</v>
      </c>
      <c r="BI44" s="71">
        <f t="shared" ref="BI44" si="123">SUM(AK44:BH44)</f>
        <v>6900</v>
      </c>
      <c r="BJ44" s="94">
        <f t="shared" ref="BJ44:BJ77" si="124">BI44+AJ44</f>
        <v>13900</v>
      </c>
    </row>
    <row r="45" spans="1:62" s="5" customFormat="1" x14ac:dyDescent="0.3">
      <c r="A45" s="3" t="s">
        <v>594</v>
      </c>
      <c r="B45" s="7" t="s">
        <v>18</v>
      </c>
      <c r="C45" s="8">
        <v>25</v>
      </c>
      <c r="D45" s="9"/>
      <c r="E45" s="10">
        <f>($C$45*E15)+($C$45*E27)</f>
        <v>0</v>
      </c>
      <c r="F45" s="10">
        <f t="shared" ref="F45:BH45" si="125">($C$45*F15)+($C$45*F27)</f>
        <v>0</v>
      </c>
      <c r="G45" s="10">
        <f t="shared" ca="1" si="125"/>
        <v>0</v>
      </c>
      <c r="H45" s="10">
        <f t="shared" ca="1" si="125"/>
        <v>0</v>
      </c>
      <c r="I45" s="10">
        <f t="shared" ca="1" si="125"/>
        <v>0</v>
      </c>
      <c r="J45" s="10">
        <f t="shared" ca="1" si="125"/>
        <v>0</v>
      </c>
      <c r="K45" s="10">
        <f t="shared" ca="1" si="125"/>
        <v>0</v>
      </c>
      <c r="L45" s="10">
        <f t="shared" ca="1" si="125"/>
        <v>0</v>
      </c>
      <c r="M45" s="10">
        <f t="shared" ca="1" si="125"/>
        <v>0</v>
      </c>
      <c r="N45" s="10">
        <f t="shared" ca="1" si="125"/>
        <v>0</v>
      </c>
      <c r="O45" s="10">
        <f t="shared" ca="1" si="125"/>
        <v>0</v>
      </c>
      <c r="P45" s="10">
        <f t="shared" ca="1" si="125"/>
        <v>175</v>
      </c>
      <c r="Q45" s="10">
        <f t="shared" si="125"/>
        <v>0</v>
      </c>
      <c r="R45" s="10">
        <f t="shared" si="125"/>
        <v>0</v>
      </c>
      <c r="S45" s="10">
        <f t="shared" ca="1" si="125"/>
        <v>0</v>
      </c>
      <c r="T45" s="10">
        <f t="shared" ca="1" si="125"/>
        <v>0</v>
      </c>
      <c r="U45" s="10">
        <f t="shared" ca="1" si="125"/>
        <v>0</v>
      </c>
      <c r="V45" s="10">
        <f t="shared" si="125"/>
        <v>1475</v>
      </c>
      <c r="W45" s="10">
        <f t="shared" ca="1" si="125"/>
        <v>0</v>
      </c>
      <c r="X45" s="10">
        <f t="shared" ca="1" si="125"/>
        <v>0</v>
      </c>
      <c r="Y45" s="10">
        <f t="shared" si="125"/>
        <v>1275</v>
      </c>
      <c r="Z45" s="10">
        <f t="shared" ca="1" si="125"/>
        <v>0</v>
      </c>
      <c r="AA45" s="10">
        <f t="shared" ca="1" si="125"/>
        <v>0</v>
      </c>
      <c r="AB45" s="10">
        <f t="shared" ca="1" si="125"/>
        <v>0</v>
      </c>
      <c r="AC45" s="10">
        <f t="shared" ca="1" si="125"/>
        <v>0</v>
      </c>
      <c r="AD45" s="10">
        <f t="shared" ca="1" si="125"/>
        <v>0</v>
      </c>
      <c r="AE45" s="10">
        <f t="shared" si="125"/>
        <v>0</v>
      </c>
      <c r="AF45" s="10">
        <f t="shared" ca="1" si="125"/>
        <v>0</v>
      </c>
      <c r="AG45" s="10">
        <f t="shared" si="125"/>
        <v>0</v>
      </c>
      <c r="AH45" s="10">
        <f t="shared" ca="1" si="125"/>
        <v>0</v>
      </c>
      <c r="AI45" s="10">
        <f t="shared" ca="1" si="125"/>
        <v>850</v>
      </c>
      <c r="AJ45" s="71">
        <f ca="1">SUM(E45:AI45)</f>
        <v>3775</v>
      </c>
      <c r="AK45" s="10">
        <f t="shared" ca="1" si="125"/>
        <v>0</v>
      </c>
      <c r="AL45" s="10">
        <f t="shared" ca="1" si="125"/>
        <v>0</v>
      </c>
      <c r="AM45" s="10">
        <f t="shared" ca="1" si="125"/>
        <v>0</v>
      </c>
      <c r="AN45" s="10">
        <f t="shared" ca="1" si="125"/>
        <v>0</v>
      </c>
      <c r="AO45" s="10">
        <f t="shared" ca="1" si="125"/>
        <v>0</v>
      </c>
      <c r="AP45" s="10">
        <f t="shared" ca="1" si="125"/>
        <v>0</v>
      </c>
      <c r="AQ45" s="10">
        <f t="shared" ca="1" si="125"/>
        <v>0</v>
      </c>
      <c r="AR45" s="10">
        <f t="shared" ca="1" si="125"/>
        <v>0</v>
      </c>
      <c r="AS45" s="10">
        <f t="shared" ca="1" si="125"/>
        <v>0</v>
      </c>
      <c r="AT45" s="10">
        <f t="shared" ca="1" si="125"/>
        <v>0</v>
      </c>
      <c r="AU45" s="10">
        <f t="shared" ca="1" si="125"/>
        <v>0</v>
      </c>
      <c r="AV45" s="10">
        <f t="shared" ca="1" si="125"/>
        <v>0</v>
      </c>
      <c r="AW45" s="10">
        <f t="shared" ca="1" si="125"/>
        <v>0</v>
      </c>
      <c r="AX45" s="10">
        <f t="shared" ca="1" si="125"/>
        <v>0</v>
      </c>
      <c r="AY45" s="10">
        <f t="shared" ca="1" si="125"/>
        <v>0</v>
      </c>
      <c r="AZ45" s="10">
        <f t="shared" ca="1" si="125"/>
        <v>0</v>
      </c>
      <c r="BA45" s="10">
        <f t="shared" ca="1" si="125"/>
        <v>0</v>
      </c>
      <c r="BB45" s="10">
        <f t="shared" ca="1" si="125"/>
        <v>0</v>
      </c>
      <c r="BC45" s="10">
        <f t="shared" ca="1" si="125"/>
        <v>0</v>
      </c>
      <c r="BD45" s="10">
        <f t="shared" ca="1" si="125"/>
        <v>0</v>
      </c>
      <c r="BE45" s="10">
        <f t="shared" ca="1" si="125"/>
        <v>0</v>
      </c>
      <c r="BF45" s="10">
        <f t="shared" ca="1" si="125"/>
        <v>0</v>
      </c>
      <c r="BG45" s="10">
        <f t="shared" ca="1" si="125"/>
        <v>0</v>
      </c>
      <c r="BH45" s="10">
        <f t="shared" ca="1" si="125"/>
        <v>0</v>
      </c>
      <c r="BI45" s="71">
        <f ca="1">SUM(AK45:BH45)</f>
        <v>0</v>
      </c>
      <c r="BJ45" s="94">
        <f ca="1">BI45+AJ45</f>
        <v>3775</v>
      </c>
    </row>
    <row r="46" spans="1:62" s="5" customFormat="1" x14ac:dyDescent="0.3">
      <c r="A46" s="3"/>
      <c r="B46" s="7"/>
      <c r="C46" s="7"/>
      <c r="D46" s="3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73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58"/>
      <c r="BJ46" s="94" t="s">
        <v>0</v>
      </c>
    </row>
    <row r="47" spans="1:62" s="5" customFormat="1" x14ac:dyDescent="0.3">
      <c r="A47" s="21" t="str">
        <f>"Total "&amp;A42</f>
        <v>Total Airport Pick Up Costs</v>
      </c>
      <c r="B47" s="22"/>
      <c r="C47" s="22"/>
      <c r="D47" s="21"/>
      <c r="E47" s="34">
        <f t="shared" ref="E47:AI47" si="126">SUM(E44:E46)</f>
        <v>3450</v>
      </c>
      <c r="F47" s="34">
        <f t="shared" si="126"/>
        <v>0</v>
      </c>
      <c r="G47" s="34">
        <f t="shared" ca="1" si="126"/>
        <v>850</v>
      </c>
      <c r="H47" s="34">
        <f t="shared" ca="1" si="126"/>
        <v>0</v>
      </c>
      <c r="I47" s="34">
        <f t="shared" ca="1" si="126"/>
        <v>0</v>
      </c>
      <c r="J47" s="34">
        <f t="shared" ca="1" si="126"/>
        <v>0</v>
      </c>
      <c r="K47" s="34">
        <f t="shared" ca="1" si="126"/>
        <v>1000</v>
      </c>
      <c r="L47" s="34">
        <f t="shared" ca="1" si="126"/>
        <v>0</v>
      </c>
      <c r="M47" s="34">
        <f t="shared" ca="1" si="126"/>
        <v>0</v>
      </c>
      <c r="N47" s="34">
        <f t="shared" ca="1" si="126"/>
        <v>0</v>
      </c>
      <c r="O47" s="34">
        <f t="shared" ca="1" si="126"/>
        <v>0</v>
      </c>
      <c r="P47" s="34">
        <f t="shared" ca="1" si="126"/>
        <v>175</v>
      </c>
      <c r="Q47" s="34">
        <f t="shared" si="126"/>
        <v>0</v>
      </c>
      <c r="R47" s="34">
        <f t="shared" si="126"/>
        <v>375</v>
      </c>
      <c r="S47" s="34">
        <f t="shared" ca="1" si="126"/>
        <v>0</v>
      </c>
      <c r="T47" s="34">
        <f t="shared" ca="1" si="126"/>
        <v>0</v>
      </c>
      <c r="U47" s="34">
        <f t="shared" ca="1" si="126"/>
        <v>0</v>
      </c>
      <c r="V47" s="34">
        <f t="shared" si="126"/>
        <v>1475</v>
      </c>
      <c r="W47" s="34">
        <f t="shared" ca="1" si="126"/>
        <v>0</v>
      </c>
      <c r="X47" s="34">
        <f t="shared" ca="1" si="126"/>
        <v>0</v>
      </c>
      <c r="Y47" s="34">
        <f t="shared" si="126"/>
        <v>2325</v>
      </c>
      <c r="Z47" s="34">
        <f t="shared" ca="1" si="126"/>
        <v>0</v>
      </c>
      <c r="AA47" s="34">
        <f t="shared" ca="1" si="126"/>
        <v>0</v>
      </c>
      <c r="AB47" s="34">
        <f t="shared" ca="1" si="126"/>
        <v>0</v>
      </c>
      <c r="AC47" s="34">
        <f t="shared" ca="1" si="126"/>
        <v>0</v>
      </c>
      <c r="AD47" s="34">
        <f t="shared" ca="1" si="126"/>
        <v>0</v>
      </c>
      <c r="AE47" s="34">
        <f t="shared" si="126"/>
        <v>0</v>
      </c>
      <c r="AF47" s="34">
        <f t="shared" ca="1" si="126"/>
        <v>275</v>
      </c>
      <c r="AG47" s="34">
        <f t="shared" si="126"/>
        <v>0</v>
      </c>
      <c r="AH47" s="34">
        <f t="shared" ca="1" si="126"/>
        <v>0</v>
      </c>
      <c r="AI47" s="34">
        <f t="shared" ca="1" si="126"/>
        <v>850</v>
      </c>
      <c r="AJ47" s="73">
        <f ca="1">SUM(E47:AI47)</f>
        <v>10775</v>
      </c>
      <c r="AK47" s="34">
        <f t="shared" ref="AK47:BG47" ca="1" si="127">SUM(AK44:AK46)</f>
        <v>0</v>
      </c>
      <c r="AL47" s="34">
        <f t="shared" ca="1" si="127"/>
        <v>25</v>
      </c>
      <c r="AM47" s="34">
        <f t="shared" ca="1" si="127"/>
        <v>50</v>
      </c>
      <c r="AN47" s="34">
        <f t="shared" ca="1" si="127"/>
        <v>75</v>
      </c>
      <c r="AO47" s="34">
        <f t="shared" ca="1" si="127"/>
        <v>100</v>
      </c>
      <c r="AP47" s="34">
        <f t="shared" ca="1" si="127"/>
        <v>125</v>
      </c>
      <c r="AQ47" s="34">
        <f t="shared" ca="1" si="127"/>
        <v>150</v>
      </c>
      <c r="AR47" s="34">
        <f t="shared" ca="1" si="127"/>
        <v>175</v>
      </c>
      <c r="AS47" s="34">
        <f t="shared" ca="1" si="127"/>
        <v>200</v>
      </c>
      <c r="AT47" s="34">
        <f t="shared" ca="1" si="127"/>
        <v>225</v>
      </c>
      <c r="AU47" s="34">
        <f t="shared" ca="1" si="127"/>
        <v>250</v>
      </c>
      <c r="AV47" s="34">
        <f t="shared" ca="1" si="127"/>
        <v>275</v>
      </c>
      <c r="AW47" s="34">
        <f t="shared" ca="1" si="127"/>
        <v>300</v>
      </c>
      <c r="AX47" s="34">
        <f t="shared" ca="1" si="127"/>
        <v>325</v>
      </c>
      <c r="AY47" s="34">
        <f t="shared" ca="1" si="127"/>
        <v>350</v>
      </c>
      <c r="AZ47" s="34">
        <f t="shared" ca="1" si="127"/>
        <v>375</v>
      </c>
      <c r="BA47" s="34">
        <f t="shared" ca="1" si="127"/>
        <v>400</v>
      </c>
      <c r="BB47" s="34">
        <f t="shared" ca="1" si="127"/>
        <v>425</v>
      </c>
      <c r="BC47" s="34">
        <f t="shared" ca="1" si="127"/>
        <v>450</v>
      </c>
      <c r="BD47" s="34">
        <f t="shared" ca="1" si="127"/>
        <v>475</v>
      </c>
      <c r="BE47" s="34">
        <f t="shared" ca="1" si="127"/>
        <v>500</v>
      </c>
      <c r="BF47" s="34">
        <f t="shared" ca="1" si="127"/>
        <v>525</v>
      </c>
      <c r="BG47" s="34">
        <f t="shared" ca="1" si="127"/>
        <v>550</v>
      </c>
      <c r="BH47" s="34">
        <f t="shared" ref="BH47" ca="1" si="128">SUM(BH44:BH46)</f>
        <v>575</v>
      </c>
      <c r="BI47" s="73">
        <f ca="1">SUM(AK47:BH47)</f>
        <v>6900</v>
      </c>
      <c r="BJ47" s="91">
        <f ca="1">BI47+AJ47</f>
        <v>17675</v>
      </c>
    </row>
    <row r="48" spans="1:62" s="5" customFormat="1" x14ac:dyDescent="0.3">
      <c r="A48" s="3"/>
      <c r="B48" s="7"/>
      <c r="C48" s="7"/>
      <c r="D48" s="3"/>
      <c r="E48" s="35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73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58"/>
      <c r="BJ48" s="94"/>
    </row>
    <row r="49" spans="1:62" s="5" customFormat="1" x14ac:dyDescent="0.3">
      <c r="A49" s="3"/>
      <c r="B49" s="7"/>
      <c r="C49" s="7"/>
      <c r="D49" s="3"/>
      <c r="E49" s="35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73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58"/>
      <c r="BJ49" s="94"/>
    </row>
    <row r="50" spans="1:62" s="5" customFormat="1" x14ac:dyDescent="0.3">
      <c r="A50" s="21" t="s">
        <v>19</v>
      </c>
      <c r="AJ50" s="77"/>
      <c r="BI50" s="158"/>
      <c r="BJ50" s="94"/>
    </row>
    <row r="51" spans="1:62" s="5" customFormat="1" x14ac:dyDescent="0.3">
      <c r="A51" s="3"/>
      <c r="B51" s="7"/>
      <c r="C51" s="8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73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58"/>
      <c r="BJ51" s="94"/>
    </row>
    <row r="52" spans="1:62" s="5" customFormat="1" x14ac:dyDescent="0.3">
      <c r="A52" s="119" t="s">
        <v>20</v>
      </c>
      <c r="B52" s="7"/>
      <c r="C52" s="8">
        <v>235</v>
      </c>
      <c r="D52" s="9"/>
      <c r="E52" s="10">
        <f>($C$52*E14)</f>
        <v>18565</v>
      </c>
      <c r="F52" s="10">
        <f t="shared" ref="F52:AI52" si="129">$C$52*F14</f>
        <v>0</v>
      </c>
      <c r="G52" s="10">
        <f t="shared" si="129"/>
        <v>7990</v>
      </c>
      <c r="H52" s="10">
        <f t="shared" si="129"/>
        <v>0</v>
      </c>
      <c r="I52" s="10">
        <f t="shared" si="129"/>
        <v>0</v>
      </c>
      <c r="J52" s="10">
        <f t="shared" si="129"/>
        <v>0</v>
      </c>
      <c r="K52" s="10">
        <f t="shared" si="129"/>
        <v>9400</v>
      </c>
      <c r="L52" s="10">
        <f t="shared" si="129"/>
        <v>0</v>
      </c>
      <c r="M52" s="10">
        <f t="shared" si="129"/>
        <v>0</v>
      </c>
      <c r="N52" s="10">
        <f t="shared" si="129"/>
        <v>0</v>
      </c>
      <c r="O52" s="10">
        <f t="shared" si="129"/>
        <v>0</v>
      </c>
      <c r="P52" s="10">
        <f t="shared" si="129"/>
        <v>0</v>
      </c>
      <c r="Q52" s="10">
        <f t="shared" si="129"/>
        <v>0</v>
      </c>
      <c r="R52" s="10">
        <f t="shared" si="129"/>
        <v>2115</v>
      </c>
      <c r="S52" s="10">
        <f t="shared" si="129"/>
        <v>0</v>
      </c>
      <c r="T52" s="10">
        <f t="shared" si="129"/>
        <v>0</v>
      </c>
      <c r="U52" s="10">
        <f t="shared" si="129"/>
        <v>0</v>
      </c>
      <c r="V52" s="10">
        <f t="shared" si="129"/>
        <v>0</v>
      </c>
      <c r="W52" s="10">
        <f t="shared" si="129"/>
        <v>0</v>
      </c>
      <c r="X52" s="10">
        <f t="shared" si="129"/>
        <v>0</v>
      </c>
      <c r="Y52" s="10">
        <f t="shared" si="129"/>
        <v>9165</v>
      </c>
      <c r="Z52" s="10">
        <f t="shared" si="129"/>
        <v>0</v>
      </c>
      <c r="AA52" s="10">
        <f t="shared" si="129"/>
        <v>0</v>
      </c>
      <c r="AB52" s="10">
        <f t="shared" si="129"/>
        <v>0</v>
      </c>
      <c r="AC52" s="10">
        <f t="shared" si="129"/>
        <v>0</v>
      </c>
      <c r="AD52" s="10">
        <f t="shared" si="129"/>
        <v>0</v>
      </c>
      <c r="AE52" s="10">
        <f t="shared" si="129"/>
        <v>0</v>
      </c>
      <c r="AF52" s="10">
        <f t="shared" si="129"/>
        <v>2585</v>
      </c>
      <c r="AG52" s="10">
        <f t="shared" si="129"/>
        <v>0</v>
      </c>
      <c r="AH52" s="10">
        <f t="shared" si="129"/>
        <v>0</v>
      </c>
      <c r="AI52" s="10">
        <f t="shared" si="129"/>
        <v>0</v>
      </c>
      <c r="AJ52" s="71">
        <f>SUM(E52:AI52)</f>
        <v>49820</v>
      </c>
      <c r="AK52" s="10">
        <f t="shared" ref="AK52" ca="1" si="130">$C52*AK22</f>
        <v>4700</v>
      </c>
      <c r="AL52" s="10">
        <f t="shared" ref="AL52:BH52" si="131">$C$52*AL14</f>
        <v>0</v>
      </c>
      <c r="AM52" s="10">
        <f t="shared" si="131"/>
        <v>0</v>
      </c>
      <c r="AN52" s="10">
        <f t="shared" si="131"/>
        <v>0</v>
      </c>
      <c r="AO52" s="10">
        <f t="shared" si="131"/>
        <v>0</v>
      </c>
      <c r="AP52" s="10">
        <f t="shared" si="131"/>
        <v>0</v>
      </c>
      <c r="AQ52" s="10">
        <f t="shared" si="131"/>
        <v>0</v>
      </c>
      <c r="AR52" s="10">
        <f t="shared" si="131"/>
        <v>0</v>
      </c>
      <c r="AS52" s="10">
        <f t="shared" si="131"/>
        <v>0</v>
      </c>
      <c r="AT52" s="10">
        <f t="shared" si="131"/>
        <v>0</v>
      </c>
      <c r="AU52" s="10">
        <f t="shared" si="131"/>
        <v>0</v>
      </c>
      <c r="AV52" s="10">
        <f t="shared" si="131"/>
        <v>0</v>
      </c>
      <c r="AW52" s="10">
        <f t="shared" si="131"/>
        <v>0</v>
      </c>
      <c r="AX52" s="10">
        <f t="shared" si="131"/>
        <v>0</v>
      </c>
      <c r="AY52" s="10">
        <f t="shared" si="131"/>
        <v>0</v>
      </c>
      <c r="AZ52" s="10">
        <f t="shared" si="131"/>
        <v>0</v>
      </c>
      <c r="BA52" s="10">
        <f t="shared" si="131"/>
        <v>0</v>
      </c>
      <c r="BB52" s="10">
        <f t="shared" si="131"/>
        <v>0</v>
      </c>
      <c r="BC52" s="10">
        <f t="shared" si="131"/>
        <v>0</v>
      </c>
      <c r="BD52" s="10">
        <f t="shared" si="131"/>
        <v>0</v>
      </c>
      <c r="BE52" s="10">
        <f t="shared" si="131"/>
        <v>0</v>
      </c>
      <c r="BF52" s="10">
        <f t="shared" si="131"/>
        <v>0</v>
      </c>
      <c r="BG52" s="10">
        <f t="shared" si="131"/>
        <v>0</v>
      </c>
      <c r="BH52" s="10">
        <f t="shared" si="131"/>
        <v>0</v>
      </c>
      <c r="BI52" s="71">
        <f ca="1">SUM(AK52:BH52)</f>
        <v>4700</v>
      </c>
      <c r="BJ52" s="94">
        <f t="shared" ca="1" si="124"/>
        <v>54520</v>
      </c>
    </row>
    <row r="53" spans="1:62" s="5" customFormat="1" x14ac:dyDescent="0.3">
      <c r="A53" s="119" t="s">
        <v>21</v>
      </c>
      <c r="B53" s="7"/>
      <c r="C53" s="36">
        <v>34</v>
      </c>
      <c r="D53" s="9"/>
      <c r="E53" s="10">
        <f t="shared" ref="E53:AI53" si="132">$C$53*E16</f>
        <v>2686</v>
      </c>
      <c r="F53" s="10">
        <f t="shared" si="132"/>
        <v>2686</v>
      </c>
      <c r="G53" s="10">
        <f t="shared" si="132"/>
        <v>3842</v>
      </c>
      <c r="H53" s="10">
        <f t="shared" si="132"/>
        <v>3842</v>
      </c>
      <c r="I53" s="10">
        <f t="shared" si="132"/>
        <v>3842</v>
      </c>
      <c r="J53" s="10">
        <f t="shared" si="132"/>
        <v>3842</v>
      </c>
      <c r="K53" s="10">
        <f t="shared" si="132"/>
        <v>5202</v>
      </c>
      <c r="L53" s="10">
        <f t="shared" si="132"/>
        <v>5202</v>
      </c>
      <c r="M53" s="10">
        <f t="shared" si="132"/>
        <v>5202</v>
      </c>
      <c r="N53" s="10">
        <f t="shared" si="132"/>
        <v>5202</v>
      </c>
      <c r="O53" s="10">
        <f t="shared" si="132"/>
        <v>5202</v>
      </c>
      <c r="P53" s="10">
        <f t="shared" si="132"/>
        <v>4964</v>
      </c>
      <c r="Q53" s="10">
        <f t="shared" si="132"/>
        <v>4964</v>
      </c>
      <c r="R53" s="10">
        <f t="shared" si="132"/>
        <v>5270</v>
      </c>
      <c r="S53" s="10">
        <f t="shared" si="132"/>
        <v>5270</v>
      </c>
      <c r="T53" s="10">
        <f t="shared" si="132"/>
        <v>5270</v>
      </c>
      <c r="U53" s="10">
        <f t="shared" si="132"/>
        <v>5270</v>
      </c>
      <c r="V53" s="10">
        <f t="shared" si="132"/>
        <v>5270</v>
      </c>
      <c r="W53" s="10">
        <f t="shared" si="132"/>
        <v>5270</v>
      </c>
      <c r="X53" s="10">
        <f t="shared" si="132"/>
        <v>5270</v>
      </c>
      <c r="Y53" s="10">
        <f t="shared" si="132"/>
        <v>5066</v>
      </c>
      <c r="Z53" s="10">
        <f t="shared" si="132"/>
        <v>5066</v>
      </c>
      <c r="AA53" s="10">
        <f t="shared" si="132"/>
        <v>5066</v>
      </c>
      <c r="AB53" s="10">
        <f t="shared" si="132"/>
        <v>5066</v>
      </c>
      <c r="AC53" s="10">
        <f t="shared" si="132"/>
        <v>5066</v>
      </c>
      <c r="AD53" s="10">
        <f t="shared" si="132"/>
        <v>5066</v>
      </c>
      <c r="AE53" s="10">
        <f t="shared" si="132"/>
        <v>5066</v>
      </c>
      <c r="AF53" s="10">
        <f t="shared" si="132"/>
        <v>5440</v>
      </c>
      <c r="AG53" s="10">
        <f t="shared" si="132"/>
        <v>5440</v>
      </c>
      <c r="AH53" s="10">
        <f t="shared" si="132"/>
        <v>5440</v>
      </c>
      <c r="AI53" s="10">
        <f t="shared" si="132"/>
        <v>4284</v>
      </c>
      <c r="AJ53" s="71">
        <f>SUM(E53:AI53)</f>
        <v>149634</v>
      </c>
      <c r="AK53" s="10">
        <f t="shared" ref="AK53" si="133">$C$45*AK23</f>
        <v>0</v>
      </c>
      <c r="AL53" s="10">
        <f t="shared" ref="AL53:BH53" si="134">$C$53*AL16</f>
        <v>4284</v>
      </c>
      <c r="AM53" s="10">
        <f t="shared" si="134"/>
        <v>4284</v>
      </c>
      <c r="AN53" s="10">
        <f t="shared" si="134"/>
        <v>4284</v>
      </c>
      <c r="AO53" s="10">
        <f t="shared" si="134"/>
        <v>4284</v>
      </c>
      <c r="AP53" s="10">
        <f t="shared" si="134"/>
        <v>4284</v>
      </c>
      <c r="AQ53" s="10">
        <f t="shared" si="134"/>
        <v>4284</v>
      </c>
      <c r="AR53" s="10">
        <f t="shared" si="134"/>
        <v>4284</v>
      </c>
      <c r="AS53" s="10">
        <f t="shared" si="134"/>
        <v>4284</v>
      </c>
      <c r="AT53" s="10">
        <f t="shared" si="134"/>
        <v>4284</v>
      </c>
      <c r="AU53" s="10">
        <f t="shared" si="134"/>
        <v>4284</v>
      </c>
      <c r="AV53" s="10">
        <f t="shared" si="134"/>
        <v>4284</v>
      </c>
      <c r="AW53" s="10">
        <f t="shared" si="134"/>
        <v>4284</v>
      </c>
      <c r="AX53" s="10">
        <f t="shared" si="134"/>
        <v>4284</v>
      </c>
      <c r="AY53" s="10">
        <f t="shared" si="134"/>
        <v>4284</v>
      </c>
      <c r="AZ53" s="10">
        <f t="shared" si="134"/>
        <v>4284</v>
      </c>
      <c r="BA53" s="10">
        <f t="shared" si="134"/>
        <v>4284</v>
      </c>
      <c r="BB53" s="10">
        <f t="shared" si="134"/>
        <v>4284</v>
      </c>
      <c r="BC53" s="10">
        <f t="shared" si="134"/>
        <v>4284</v>
      </c>
      <c r="BD53" s="10">
        <f t="shared" si="134"/>
        <v>4284</v>
      </c>
      <c r="BE53" s="10">
        <f t="shared" si="134"/>
        <v>4284</v>
      </c>
      <c r="BF53" s="10">
        <f t="shared" si="134"/>
        <v>4284</v>
      </c>
      <c r="BG53" s="10">
        <f t="shared" si="134"/>
        <v>4284</v>
      </c>
      <c r="BH53" s="10">
        <f t="shared" si="134"/>
        <v>4284</v>
      </c>
      <c r="BI53" s="71">
        <f>SUM(AK53:BH53)</f>
        <v>98532</v>
      </c>
      <c r="BJ53" s="94">
        <f>BI53+AJ53</f>
        <v>248166</v>
      </c>
    </row>
    <row r="54" spans="1:62" s="5" customFormat="1" x14ac:dyDescent="0.3">
      <c r="A54" s="3"/>
      <c r="B54" s="7"/>
      <c r="C54" s="7"/>
      <c r="D54" s="3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73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58"/>
      <c r="BJ54" s="94" t="s">
        <v>0</v>
      </c>
    </row>
    <row r="55" spans="1:62" s="5" customFormat="1" x14ac:dyDescent="0.3">
      <c r="A55" s="21" t="str">
        <f>"Total "&amp;A50</f>
        <v>Total Homestay Costs</v>
      </c>
      <c r="B55" s="22"/>
      <c r="C55" s="22"/>
      <c r="D55" s="21"/>
      <c r="E55" s="34">
        <f t="shared" ref="E55:AI55" si="135">SUM(E52:E54)</f>
        <v>21251</v>
      </c>
      <c r="F55" s="34">
        <f t="shared" si="135"/>
        <v>2686</v>
      </c>
      <c r="G55" s="34">
        <f t="shared" si="135"/>
        <v>11832</v>
      </c>
      <c r="H55" s="34">
        <f t="shared" si="135"/>
        <v>3842</v>
      </c>
      <c r="I55" s="34">
        <f t="shared" si="135"/>
        <v>3842</v>
      </c>
      <c r="J55" s="34">
        <f t="shared" si="135"/>
        <v>3842</v>
      </c>
      <c r="K55" s="34">
        <f t="shared" si="135"/>
        <v>14602</v>
      </c>
      <c r="L55" s="34">
        <f t="shared" si="135"/>
        <v>5202</v>
      </c>
      <c r="M55" s="34">
        <f t="shared" si="135"/>
        <v>5202</v>
      </c>
      <c r="N55" s="34">
        <f t="shared" si="135"/>
        <v>5202</v>
      </c>
      <c r="O55" s="34">
        <f t="shared" si="135"/>
        <v>5202</v>
      </c>
      <c r="P55" s="34">
        <f t="shared" si="135"/>
        <v>4964</v>
      </c>
      <c r="Q55" s="34">
        <f t="shared" si="135"/>
        <v>4964</v>
      </c>
      <c r="R55" s="34">
        <f t="shared" si="135"/>
        <v>7385</v>
      </c>
      <c r="S55" s="34">
        <f t="shared" si="135"/>
        <v>5270</v>
      </c>
      <c r="T55" s="34">
        <f t="shared" si="135"/>
        <v>5270</v>
      </c>
      <c r="U55" s="34">
        <f t="shared" si="135"/>
        <v>5270</v>
      </c>
      <c r="V55" s="34">
        <f t="shared" si="135"/>
        <v>5270</v>
      </c>
      <c r="W55" s="34">
        <f t="shared" si="135"/>
        <v>5270</v>
      </c>
      <c r="X55" s="34">
        <f t="shared" si="135"/>
        <v>5270</v>
      </c>
      <c r="Y55" s="34">
        <f t="shared" si="135"/>
        <v>14231</v>
      </c>
      <c r="Z55" s="34">
        <f t="shared" si="135"/>
        <v>5066</v>
      </c>
      <c r="AA55" s="34">
        <f t="shared" si="135"/>
        <v>5066</v>
      </c>
      <c r="AB55" s="34">
        <f t="shared" si="135"/>
        <v>5066</v>
      </c>
      <c r="AC55" s="34">
        <f t="shared" si="135"/>
        <v>5066</v>
      </c>
      <c r="AD55" s="34">
        <f t="shared" si="135"/>
        <v>5066</v>
      </c>
      <c r="AE55" s="34">
        <f t="shared" si="135"/>
        <v>5066</v>
      </c>
      <c r="AF55" s="34">
        <f t="shared" si="135"/>
        <v>8025</v>
      </c>
      <c r="AG55" s="34">
        <f t="shared" si="135"/>
        <v>5440</v>
      </c>
      <c r="AH55" s="34">
        <f t="shared" si="135"/>
        <v>5440</v>
      </c>
      <c r="AI55" s="34">
        <f t="shared" si="135"/>
        <v>4284</v>
      </c>
      <c r="AJ55" s="73">
        <f>SUM(E55:AI55)</f>
        <v>199454</v>
      </c>
      <c r="AK55" s="34">
        <f t="shared" ref="AK55:BH55" ca="1" si="136">SUM(AK52:AK54)</f>
        <v>4700</v>
      </c>
      <c r="AL55" s="34">
        <f t="shared" si="136"/>
        <v>4284</v>
      </c>
      <c r="AM55" s="34">
        <f t="shared" si="136"/>
        <v>4284</v>
      </c>
      <c r="AN55" s="34">
        <f t="shared" si="136"/>
        <v>4284</v>
      </c>
      <c r="AO55" s="34">
        <f t="shared" si="136"/>
        <v>4284</v>
      </c>
      <c r="AP55" s="34">
        <f t="shared" si="136"/>
        <v>4284</v>
      </c>
      <c r="AQ55" s="34">
        <f t="shared" si="136"/>
        <v>4284</v>
      </c>
      <c r="AR55" s="34">
        <f t="shared" si="136"/>
        <v>4284</v>
      </c>
      <c r="AS55" s="34">
        <f t="shared" si="136"/>
        <v>4284</v>
      </c>
      <c r="AT55" s="34">
        <f t="shared" si="136"/>
        <v>4284</v>
      </c>
      <c r="AU55" s="34">
        <f t="shared" si="136"/>
        <v>4284</v>
      </c>
      <c r="AV55" s="34">
        <f t="shared" si="136"/>
        <v>4284</v>
      </c>
      <c r="AW55" s="34">
        <f t="shared" si="136"/>
        <v>4284</v>
      </c>
      <c r="AX55" s="34">
        <f t="shared" si="136"/>
        <v>4284</v>
      </c>
      <c r="AY55" s="34">
        <f t="shared" si="136"/>
        <v>4284</v>
      </c>
      <c r="AZ55" s="34">
        <f t="shared" si="136"/>
        <v>4284</v>
      </c>
      <c r="BA55" s="34">
        <f t="shared" si="136"/>
        <v>4284</v>
      </c>
      <c r="BB55" s="34">
        <f t="shared" si="136"/>
        <v>4284</v>
      </c>
      <c r="BC55" s="34">
        <f t="shared" si="136"/>
        <v>4284</v>
      </c>
      <c r="BD55" s="34">
        <f t="shared" si="136"/>
        <v>4284</v>
      </c>
      <c r="BE55" s="34">
        <f t="shared" si="136"/>
        <v>4284</v>
      </c>
      <c r="BF55" s="34">
        <f t="shared" si="136"/>
        <v>4284</v>
      </c>
      <c r="BG55" s="34">
        <f t="shared" si="136"/>
        <v>4284</v>
      </c>
      <c r="BH55" s="34">
        <f t="shared" si="136"/>
        <v>4284</v>
      </c>
      <c r="BI55" s="73">
        <f ca="1">SUM(AK55:BH55)</f>
        <v>103232</v>
      </c>
      <c r="BJ55" s="91">
        <f ca="1">BI55+AJ55</f>
        <v>302686</v>
      </c>
    </row>
    <row r="56" spans="1:62" s="5" customFormat="1" x14ac:dyDescent="0.3">
      <c r="A56" s="21"/>
      <c r="B56" s="22"/>
      <c r="C56" s="22"/>
      <c r="D56" s="21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73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73"/>
      <c r="BJ56" s="91"/>
    </row>
    <row r="57" spans="1:62" s="5" customFormat="1" x14ac:dyDescent="0.3">
      <c r="A57" s="21" t="s">
        <v>587</v>
      </c>
      <c r="AJ57" s="77"/>
      <c r="BI57" s="158"/>
      <c r="BJ57" s="94"/>
    </row>
    <row r="58" spans="1:62" s="5" customFormat="1" x14ac:dyDescent="0.3">
      <c r="A58" s="3"/>
      <c r="B58" s="7"/>
      <c r="C58" s="8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73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58"/>
      <c r="BJ58" s="94"/>
    </row>
    <row r="59" spans="1:62" s="5" customFormat="1" x14ac:dyDescent="0.3">
      <c r="A59" s="107" t="s">
        <v>588</v>
      </c>
      <c r="B59" s="107" t="s">
        <v>0</v>
      </c>
      <c r="C59" s="36">
        <v>55</v>
      </c>
      <c r="D59" s="9"/>
      <c r="E59" s="10">
        <f>'SYCamp# &amp; Expenses'!E28*$C$59</f>
        <v>3245</v>
      </c>
      <c r="F59" s="10">
        <f>'SYCamp# &amp; Expenses'!F28*$C$59</f>
        <v>3245</v>
      </c>
      <c r="G59" s="10">
        <f ca="1">'SYCamp# &amp; Expenses'!G28*$C$59</f>
        <v>3245</v>
      </c>
      <c r="H59" s="10">
        <f ca="1">'SYCamp# &amp; Expenses'!H28*$C$59</f>
        <v>3245</v>
      </c>
      <c r="I59" s="10">
        <f ca="1">'SYCamp# &amp; Expenses'!I28*$C$59</f>
        <v>3245</v>
      </c>
      <c r="J59" s="10">
        <f ca="1">'SYCamp# &amp; Expenses'!J28*$C$59</f>
        <v>3245</v>
      </c>
      <c r="K59" s="10">
        <f ca="1">'SYCamp# &amp; Expenses'!K28*$C$59</f>
        <v>3245</v>
      </c>
      <c r="L59" s="10">
        <f ca="1">'SYCamp# &amp; Expenses'!L28*$C$59</f>
        <v>3245</v>
      </c>
      <c r="M59" s="10">
        <f ca="1">'SYCamp# &amp; Expenses'!M28*$C$59</f>
        <v>3245</v>
      </c>
      <c r="N59" s="10">
        <f ca="1">'SYCamp# &amp; Expenses'!N28*$C$59</f>
        <v>3245</v>
      </c>
      <c r="O59" s="10">
        <f ca="1">'SYCamp# &amp; Expenses'!O28*$C$59</f>
        <v>3245</v>
      </c>
      <c r="P59" s="10">
        <f ca="1">'SYCamp# &amp; Expenses'!P28*$C$59</f>
        <v>3245</v>
      </c>
      <c r="Q59" s="10">
        <f ca="1">'SYCamp# &amp; Expenses'!Q28*$C$59</f>
        <v>3245</v>
      </c>
      <c r="R59" s="10">
        <f ca="1">'SYCamp# &amp; Expenses'!R28*$C$59</f>
        <v>3575</v>
      </c>
      <c r="S59" s="10">
        <f ca="1">'SYCamp# &amp; Expenses'!S28*$C$59</f>
        <v>3575</v>
      </c>
      <c r="T59" s="10">
        <f ca="1">'SYCamp# &amp; Expenses'!T28*$C$59</f>
        <v>3575</v>
      </c>
      <c r="U59" s="10">
        <f ca="1">'SYCamp# &amp; Expenses'!U28*$C$59</f>
        <v>3575</v>
      </c>
      <c r="V59" s="10">
        <f ca="1">'SYCamp# &amp; Expenses'!V28*$C$59</f>
        <v>330</v>
      </c>
      <c r="W59" s="10">
        <f ca="1">'SYCamp# &amp; Expenses'!W28*$C$59</f>
        <v>330</v>
      </c>
      <c r="X59" s="10">
        <f ca="1">'SYCamp# &amp; Expenses'!X28*$C$59</f>
        <v>330</v>
      </c>
      <c r="Y59" s="10">
        <f ca="1">'SYCamp# &amp; Expenses'!Y28*$C$59</f>
        <v>165</v>
      </c>
      <c r="Z59" s="10">
        <f ca="1">'SYCamp# &amp; Expenses'!Z28*$C$59</f>
        <v>165</v>
      </c>
      <c r="AA59" s="10">
        <f ca="1">'SYCamp# &amp; Expenses'!AA28*$C$59</f>
        <v>165</v>
      </c>
      <c r="AB59" s="10">
        <f ca="1">'SYCamp# &amp; Expenses'!AB28*$C$59</f>
        <v>165</v>
      </c>
      <c r="AC59" s="10">
        <f ca="1">'SYCamp# &amp; Expenses'!AC28*$C$59</f>
        <v>165</v>
      </c>
      <c r="AD59" s="10">
        <f ca="1">'SYCamp# &amp; Expenses'!AD28*$C$59</f>
        <v>165</v>
      </c>
      <c r="AE59" s="10">
        <f ca="1">'SYCamp# &amp; Expenses'!AE28*$C$59</f>
        <v>165</v>
      </c>
      <c r="AF59" s="10">
        <f ca="1">'SYCamp# &amp; Expenses'!AF28*$C$59</f>
        <v>165</v>
      </c>
      <c r="AG59" s="10">
        <f ca="1">'SYCamp# &amp; Expenses'!AG28*$C$59</f>
        <v>165</v>
      </c>
      <c r="AH59" s="10">
        <f ca="1">'SYCamp# &amp; Expenses'!AH28*$C$59</f>
        <v>165</v>
      </c>
      <c r="AI59" s="10">
        <f ca="1">'SYCamp# &amp; Expenses'!AI28*$C$59</f>
        <v>165</v>
      </c>
      <c r="AJ59" s="71">
        <f ca="1">SUM(E59:AI59)</f>
        <v>59290</v>
      </c>
      <c r="AK59" s="10">
        <f ca="1">'SYCamp# &amp; Expenses'!AK28*$C$59</f>
        <v>165</v>
      </c>
      <c r="AL59" s="10">
        <f ca="1">'SYCamp# &amp; Expenses'!AL28*$C$59</f>
        <v>220</v>
      </c>
      <c r="AM59" s="10">
        <f ca="1">'SYCamp# &amp; Expenses'!AM28*$C$59</f>
        <v>330</v>
      </c>
      <c r="AN59" s="10">
        <f ca="1">'SYCamp# &amp; Expenses'!AN28*$C$59</f>
        <v>495</v>
      </c>
      <c r="AO59" s="10">
        <f ca="1">'SYCamp# &amp; Expenses'!AO28*$C$59</f>
        <v>715</v>
      </c>
      <c r="AP59" s="10">
        <f ca="1">'SYCamp# &amp; Expenses'!AP28*$C$59</f>
        <v>990</v>
      </c>
      <c r="AQ59" s="10">
        <f ca="1">'SYCamp# &amp; Expenses'!AQ28*$C$59</f>
        <v>1320</v>
      </c>
      <c r="AR59" s="10">
        <f ca="1">'SYCamp# &amp; Expenses'!AR28*$C$59</f>
        <v>1705</v>
      </c>
      <c r="AS59" s="10">
        <f ca="1">'SYCamp# &amp; Expenses'!AS28*$C$59</f>
        <v>2145</v>
      </c>
      <c r="AT59" s="10">
        <f ca="1">'SYCamp# &amp; Expenses'!AT28*$C$59</f>
        <v>2640</v>
      </c>
      <c r="AU59" s="10">
        <f ca="1">'SYCamp# &amp; Expenses'!AU28*$C$59</f>
        <v>3190</v>
      </c>
      <c r="AV59" s="10">
        <f ca="1">'SYCamp# &amp; Expenses'!AV28*$C$59</f>
        <v>3795</v>
      </c>
      <c r="AW59" s="10">
        <f ca="1">'SYCamp# &amp; Expenses'!AW28*$C$59</f>
        <v>4455</v>
      </c>
      <c r="AX59" s="10">
        <f ca="1">'SYCamp# &amp; Expenses'!AX28*$C$59</f>
        <v>5170</v>
      </c>
      <c r="AY59" s="10">
        <f ca="1">'SYCamp# &amp; Expenses'!AY28*$C$59</f>
        <v>5940</v>
      </c>
      <c r="AZ59" s="10">
        <f ca="1">'SYCamp# &amp; Expenses'!AZ28*$C$59</f>
        <v>6765</v>
      </c>
      <c r="BA59" s="10">
        <f ca="1">'SYCamp# &amp; Expenses'!BA28*$C$59</f>
        <v>7645</v>
      </c>
      <c r="BB59" s="10">
        <f ca="1">'SYCamp# &amp; Expenses'!BB28*$C$59</f>
        <v>8580</v>
      </c>
      <c r="BC59" s="10">
        <f ca="1">'SYCamp# &amp; Expenses'!BC28*$C$59</f>
        <v>9570</v>
      </c>
      <c r="BD59" s="10">
        <f ca="1">'SYCamp# &amp; Expenses'!BD28*$C$59</f>
        <v>10615</v>
      </c>
      <c r="BE59" s="10">
        <f ca="1">'SYCamp# &amp; Expenses'!BE28*$C$59</f>
        <v>11715</v>
      </c>
      <c r="BF59" s="10">
        <f ca="1">'SYCamp# &amp; Expenses'!BF28*$C$59</f>
        <v>12870</v>
      </c>
      <c r="BG59" s="10">
        <f ca="1">'SYCamp# &amp; Expenses'!BG28*$C$59</f>
        <v>14080</v>
      </c>
      <c r="BH59" s="10">
        <f ca="1">'SYCamp# &amp; Expenses'!BH28*$C$59</f>
        <v>15345</v>
      </c>
      <c r="BI59" s="71">
        <f ca="1">SUM(AK59:BH59)</f>
        <v>130460</v>
      </c>
      <c r="BJ59" s="94">
        <f ca="1">BI59+AJ59</f>
        <v>189750</v>
      </c>
    </row>
    <row r="60" spans="1:62" s="5" customFormat="1" x14ac:dyDescent="0.3">
      <c r="A60" s="3"/>
      <c r="B60" s="7"/>
      <c r="C60" s="7"/>
      <c r="D60" s="3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73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58"/>
      <c r="BJ60" s="94" t="s">
        <v>0</v>
      </c>
    </row>
    <row r="61" spans="1:62" s="5" customFormat="1" x14ac:dyDescent="0.3">
      <c r="A61" s="21" t="str">
        <f>"Total "&amp;A57</f>
        <v>Total Hotel Costs</v>
      </c>
      <c r="B61" s="22"/>
      <c r="C61" s="22"/>
      <c r="D61" s="21"/>
      <c r="E61" s="34">
        <f>SUM(E59:E60)</f>
        <v>3245</v>
      </c>
      <c r="F61" s="34">
        <f>SUM(F59:F60)</f>
        <v>3245</v>
      </c>
      <c r="G61" s="34">
        <f ca="1">SUM(G59:G60)</f>
        <v>3245</v>
      </c>
      <c r="H61" s="34">
        <f ca="1">SUM(H59:H60)</f>
        <v>3245</v>
      </c>
      <c r="I61" s="34">
        <f ca="1">SUM(I59:I60)</f>
        <v>3245</v>
      </c>
      <c r="J61" s="34">
        <f ca="1">SUM(J59:J60)</f>
        <v>3245</v>
      </c>
      <c r="K61" s="34">
        <f ca="1">SUM(K59:K60)</f>
        <v>3245</v>
      </c>
      <c r="L61" s="34">
        <f ca="1">SUM(L59:L60)</f>
        <v>3245</v>
      </c>
      <c r="M61" s="34">
        <f ca="1">SUM(M59:M60)</f>
        <v>3245</v>
      </c>
      <c r="N61" s="34">
        <f ca="1">SUM(N59:N60)</f>
        <v>3245</v>
      </c>
      <c r="O61" s="34">
        <f ca="1">SUM(O59:O60)</f>
        <v>3245</v>
      </c>
      <c r="P61" s="34">
        <f ca="1">SUM(P59:P60)</f>
        <v>3245</v>
      </c>
      <c r="Q61" s="34">
        <f ca="1">SUM(Q59:Q60)</f>
        <v>3245</v>
      </c>
      <c r="R61" s="34">
        <f ca="1">SUM(R59:R60)</f>
        <v>3575</v>
      </c>
      <c r="S61" s="34">
        <f ca="1">SUM(S59:S60)</f>
        <v>3575</v>
      </c>
      <c r="T61" s="34">
        <f ca="1">SUM(T59:T60)</f>
        <v>3575</v>
      </c>
      <c r="U61" s="34">
        <f ca="1">SUM(U59:U60)</f>
        <v>3575</v>
      </c>
      <c r="V61" s="34">
        <f ca="1">SUM(V59:V60)</f>
        <v>330</v>
      </c>
      <c r="W61" s="34">
        <f ca="1">SUM(W59:W60)</f>
        <v>330</v>
      </c>
      <c r="X61" s="34">
        <f ca="1">SUM(X59:X60)</f>
        <v>330</v>
      </c>
      <c r="Y61" s="34">
        <f ca="1">SUM(Y59:Y60)</f>
        <v>165</v>
      </c>
      <c r="Z61" s="34">
        <f ca="1">SUM(Z59:Z60)</f>
        <v>165</v>
      </c>
      <c r="AA61" s="34">
        <f ca="1">SUM(AA59:AA60)</f>
        <v>165</v>
      </c>
      <c r="AB61" s="34">
        <f ca="1">SUM(AB59:AB60)</f>
        <v>165</v>
      </c>
      <c r="AC61" s="34">
        <f ca="1">SUM(AC59:AC60)</f>
        <v>165</v>
      </c>
      <c r="AD61" s="34">
        <f ca="1">SUM(AD59:AD60)</f>
        <v>165</v>
      </c>
      <c r="AE61" s="34">
        <f ca="1">SUM(AE59:AE60)</f>
        <v>165</v>
      </c>
      <c r="AF61" s="34">
        <f ca="1">SUM(AF59:AF60)</f>
        <v>165</v>
      </c>
      <c r="AG61" s="34">
        <f ca="1">SUM(AG59:AG60)</f>
        <v>165</v>
      </c>
      <c r="AH61" s="34">
        <f ca="1">SUM(AH59:AH60)</f>
        <v>165</v>
      </c>
      <c r="AI61" s="34">
        <f ca="1">SUM(AI59:AI60)</f>
        <v>165</v>
      </c>
      <c r="AJ61" s="73">
        <f ca="1">SUM(E61:AI61)</f>
        <v>59290</v>
      </c>
      <c r="AK61" s="34">
        <f ca="1">SUM(AK59:AK60)</f>
        <v>165</v>
      </c>
      <c r="AL61" s="34">
        <f ca="1">SUM(AL59:AL60)</f>
        <v>220</v>
      </c>
      <c r="AM61" s="34">
        <f ca="1">SUM(AM59:AM60)</f>
        <v>330</v>
      </c>
      <c r="AN61" s="34">
        <f ca="1">SUM(AN59:AN60)</f>
        <v>495</v>
      </c>
      <c r="AO61" s="34">
        <f ca="1">SUM(AO59:AO60)</f>
        <v>715</v>
      </c>
      <c r="AP61" s="34">
        <f ca="1">SUM(AP59:AP60)</f>
        <v>990</v>
      </c>
      <c r="AQ61" s="34">
        <f ca="1">SUM(AQ59:AQ60)</f>
        <v>1320</v>
      </c>
      <c r="AR61" s="34">
        <f ca="1">SUM(AR59:AR60)</f>
        <v>1705</v>
      </c>
      <c r="AS61" s="34">
        <f ca="1">SUM(AS59:AS60)</f>
        <v>2145</v>
      </c>
      <c r="AT61" s="34">
        <f ca="1">SUM(AT59:AT60)</f>
        <v>2640</v>
      </c>
      <c r="AU61" s="34">
        <f ca="1">SUM(AU59:AU60)</f>
        <v>3190</v>
      </c>
      <c r="AV61" s="34">
        <f ca="1">SUM(AV59:AV60)</f>
        <v>3795</v>
      </c>
      <c r="AW61" s="34">
        <f ca="1">SUM(AW59:AW60)</f>
        <v>4455</v>
      </c>
      <c r="AX61" s="34">
        <f ca="1">SUM(AX59:AX60)</f>
        <v>5170</v>
      </c>
      <c r="AY61" s="34">
        <f ca="1">SUM(AY59:AY60)</f>
        <v>5940</v>
      </c>
      <c r="AZ61" s="34">
        <f ca="1">SUM(AZ59:AZ60)</f>
        <v>6765</v>
      </c>
      <c r="BA61" s="34">
        <f ca="1">SUM(BA59:BA60)</f>
        <v>7645</v>
      </c>
      <c r="BB61" s="34">
        <f ca="1">SUM(BB59:BB60)</f>
        <v>8580</v>
      </c>
      <c r="BC61" s="34">
        <f ca="1">SUM(BC59:BC60)</f>
        <v>9570</v>
      </c>
      <c r="BD61" s="34">
        <f ca="1">SUM(BD59:BD60)</f>
        <v>10615</v>
      </c>
      <c r="BE61" s="34">
        <f ca="1">SUM(BE59:BE60)</f>
        <v>11715</v>
      </c>
      <c r="BF61" s="34">
        <f ca="1">SUM(BF59:BF60)</f>
        <v>12870</v>
      </c>
      <c r="BG61" s="34">
        <f ca="1">SUM(BG59:BG60)</f>
        <v>14080</v>
      </c>
      <c r="BH61" s="34">
        <f ca="1">SUM(BH59:BH60)</f>
        <v>15345</v>
      </c>
      <c r="BI61" s="73">
        <f ca="1">SUM(AK61:BH61)</f>
        <v>130460</v>
      </c>
      <c r="BJ61" s="91">
        <f ca="1">BI61+AJ61</f>
        <v>189750</v>
      </c>
    </row>
    <row r="62" spans="1:62" s="5" customFormat="1" x14ac:dyDescent="0.3">
      <c r="A62" s="21"/>
      <c r="B62" s="22"/>
      <c r="C62" s="22"/>
      <c r="D62" s="21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73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73"/>
      <c r="BJ62" s="91"/>
    </row>
    <row r="63" spans="1:62" s="5" customFormat="1" x14ac:dyDescent="0.3">
      <c r="A63" s="21" t="s">
        <v>22</v>
      </c>
      <c r="B63" s="22"/>
      <c r="C63" s="22"/>
      <c r="D63" s="21" t="s">
        <v>0</v>
      </c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73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73"/>
      <c r="BJ63" s="91"/>
    </row>
    <row r="64" spans="1:62" s="5" customFormat="1" x14ac:dyDescent="0.3">
      <c r="A64" s="3"/>
      <c r="B64" s="7"/>
      <c r="C64" s="7"/>
      <c r="D64" s="3"/>
      <c r="E64" s="35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73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58"/>
      <c r="BJ64" s="94"/>
    </row>
    <row r="65" spans="1:62" s="5" customFormat="1" x14ac:dyDescent="0.3">
      <c r="A65" s="3" t="s">
        <v>23</v>
      </c>
      <c r="B65" s="7"/>
      <c r="C65" s="82">
        <v>40</v>
      </c>
      <c r="D65" s="3"/>
      <c r="E65" s="10">
        <f>'SYC Camp Revenue '!E51*$C$65</f>
        <v>2370</v>
      </c>
      <c r="F65" s="10">
        <f>'SYC Camp Revenue '!F51*$C$65</f>
        <v>0</v>
      </c>
      <c r="G65" s="10">
        <f>'SYC Camp Revenue '!G51*$C$65</f>
        <v>1020</v>
      </c>
      <c r="H65" s="10">
        <f>'SYC Camp Revenue '!H51*$C$65</f>
        <v>0</v>
      </c>
      <c r="I65" s="10">
        <f>'SYC Camp Revenue '!I51*$C$65</f>
        <v>0</v>
      </c>
      <c r="J65" s="10">
        <f>'SYC Camp Revenue '!J51*$C$65</f>
        <v>0</v>
      </c>
      <c r="K65" s="10">
        <f>'SYC Camp Revenue '!K51*$C$65</f>
        <v>1200</v>
      </c>
      <c r="L65" s="10">
        <f>'SYC Camp Revenue '!L51*$C$65</f>
        <v>0</v>
      </c>
      <c r="M65" s="10">
        <f>'SYC Camp Revenue '!M51*$C$65</f>
        <v>0</v>
      </c>
      <c r="N65" s="10">
        <f>'SYC Camp Revenue '!N51*$C$65</f>
        <v>0</v>
      </c>
      <c r="O65" s="10">
        <f>'SYC Camp Revenue '!O51*$C$65</f>
        <v>0</v>
      </c>
      <c r="P65" s="10">
        <f>'SYC Camp Revenue '!P51*$C$65</f>
        <v>0</v>
      </c>
      <c r="Q65" s="10">
        <f>'SYC Camp Revenue '!Q51*$C$65</f>
        <v>0</v>
      </c>
      <c r="R65" s="10">
        <f>'SYC Camp Revenue '!R51*$C$65</f>
        <v>270</v>
      </c>
      <c r="S65" s="10">
        <f>'SYC Camp Revenue '!S51*$C$65</f>
        <v>0</v>
      </c>
      <c r="T65" s="10">
        <f>'SYC Camp Revenue '!T51*$C$65</f>
        <v>0</v>
      </c>
      <c r="U65" s="10">
        <f>'SYC Camp Revenue '!U51*$C$65</f>
        <v>0</v>
      </c>
      <c r="V65" s="10">
        <f>'SYC Camp Revenue '!V51*$C$65</f>
        <v>0</v>
      </c>
      <c r="W65" s="10">
        <f>'SYC Camp Revenue '!W51*$C$65</f>
        <v>0</v>
      </c>
      <c r="X65" s="10">
        <f>'SYC Camp Revenue '!X51*$C$65</f>
        <v>0</v>
      </c>
      <c r="Y65" s="10">
        <f>'SYC Camp Revenue '!Y51*$C$65</f>
        <v>1170</v>
      </c>
      <c r="Z65" s="10">
        <f>'SYC Camp Revenue '!Z51*$C$65</f>
        <v>0</v>
      </c>
      <c r="AA65" s="10">
        <f>'SYC Camp Revenue '!AA51*$C$65</f>
        <v>0</v>
      </c>
      <c r="AB65" s="10">
        <f>'SYC Camp Revenue '!AB51*$C$65</f>
        <v>0</v>
      </c>
      <c r="AC65" s="10">
        <f>'SYC Camp Revenue '!AC51*$C$65</f>
        <v>0</v>
      </c>
      <c r="AD65" s="10">
        <f>'SYC Camp Revenue '!AD51*$C$65</f>
        <v>0</v>
      </c>
      <c r="AE65" s="10">
        <f>'SYC Camp Revenue '!AE51*$C$65</f>
        <v>0</v>
      </c>
      <c r="AF65" s="10">
        <f>'SYC Camp Revenue '!AF51*$C$65</f>
        <v>330</v>
      </c>
      <c r="AG65" s="10">
        <f>'SYC Camp Revenue '!AG51*$C$65</f>
        <v>0</v>
      </c>
      <c r="AH65" s="10">
        <f>'SYC Camp Revenue '!AH51*$C$65</f>
        <v>0</v>
      </c>
      <c r="AI65" s="10">
        <f>'SYC Camp Revenue '!AI51*$C$65</f>
        <v>0</v>
      </c>
      <c r="AJ65" s="71">
        <f>SUM(E65:AI65)</f>
        <v>6360</v>
      </c>
      <c r="AK65" s="10">
        <f>'SYC Camp Revenue '!AK51*$C$65</f>
        <v>0</v>
      </c>
      <c r="AL65" s="10">
        <f>'SYC Camp Revenue '!AL51*$C$65</f>
        <v>0</v>
      </c>
      <c r="AM65" s="10">
        <f>'SYC Camp Revenue '!AM51*$C$65</f>
        <v>0</v>
      </c>
      <c r="AN65" s="10">
        <f>'SYC Camp Revenue '!AN51*$C$65</f>
        <v>0</v>
      </c>
      <c r="AO65" s="10">
        <f>'SYC Camp Revenue '!AO51*$C$65</f>
        <v>0</v>
      </c>
      <c r="AP65" s="10">
        <f>'SYC Camp Revenue '!AP51*$C$65</f>
        <v>0</v>
      </c>
      <c r="AQ65" s="10">
        <f>'SYC Camp Revenue '!AQ51*$C$65</f>
        <v>0</v>
      </c>
      <c r="AR65" s="10">
        <f>'SYC Camp Revenue '!AR51*$C$65</f>
        <v>0</v>
      </c>
      <c r="AS65" s="10">
        <f>'SYC Camp Revenue '!AS51*$C$65</f>
        <v>0</v>
      </c>
      <c r="AT65" s="10">
        <f>'SYC Camp Revenue '!AT51*$C$65</f>
        <v>0</v>
      </c>
      <c r="AU65" s="10">
        <f>'SYC Camp Revenue '!AU51*$C$65</f>
        <v>0</v>
      </c>
      <c r="AV65" s="10">
        <f>'SYC Camp Revenue '!AV51*$C$65</f>
        <v>0</v>
      </c>
      <c r="AW65" s="10">
        <f>'SYC Camp Revenue '!AW51*$C$65</f>
        <v>0</v>
      </c>
      <c r="AX65" s="10">
        <f>'SYC Camp Revenue '!AX51*$C$65</f>
        <v>0</v>
      </c>
      <c r="AY65" s="10">
        <f>'SYC Camp Revenue '!AY51*$C$65</f>
        <v>0</v>
      </c>
      <c r="AZ65" s="10">
        <f>'SYC Camp Revenue '!AZ51*$C$65</f>
        <v>0</v>
      </c>
      <c r="BA65" s="10">
        <f>'SYC Camp Revenue '!BA51*$C$65</f>
        <v>0</v>
      </c>
      <c r="BB65" s="10">
        <f>'SYC Camp Revenue '!BB51*$C$65</f>
        <v>0</v>
      </c>
      <c r="BC65" s="10">
        <f>'SYC Camp Revenue '!BC51*$C$65</f>
        <v>0</v>
      </c>
      <c r="BD65" s="10">
        <f>'SYC Camp Revenue '!BD51*$C$65</f>
        <v>0</v>
      </c>
      <c r="BE65" s="10">
        <f>'SYC Camp Revenue '!BE51*$C$65</f>
        <v>0</v>
      </c>
      <c r="BF65" s="10">
        <f>'SYC Camp Revenue '!BF51*$C$65</f>
        <v>0</v>
      </c>
      <c r="BG65" s="10">
        <f>'SYC Camp Revenue '!BG51*$C$65</f>
        <v>0</v>
      </c>
      <c r="BH65" s="10">
        <f>'SYC Camp Revenue '!BH51*$C$65</f>
        <v>0</v>
      </c>
      <c r="BI65" s="71">
        <f>SUM(AK65:BH65)</f>
        <v>0</v>
      </c>
      <c r="BJ65" s="94">
        <f>BI65+AJ65</f>
        <v>6360</v>
      </c>
    </row>
    <row r="66" spans="1:62" s="5" customFormat="1" x14ac:dyDescent="0.3">
      <c r="A66" s="3" t="s">
        <v>24</v>
      </c>
      <c r="B66" s="7"/>
      <c r="C66" s="82">
        <v>40</v>
      </c>
      <c r="D66" s="3"/>
      <c r="E66" s="10">
        <f>'SYC Camp Revenue '!E58*$C$66</f>
        <v>316</v>
      </c>
      <c r="F66" s="10">
        <f>'SYC Camp Revenue '!F58*$C$66</f>
        <v>0</v>
      </c>
      <c r="G66" s="10">
        <f>'SYC Camp Revenue '!G58*$C$66</f>
        <v>136</v>
      </c>
      <c r="H66" s="10">
        <f>'SYC Camp Revenue '!H58*$C$66</f>
        <v>0</v>
      </c>
      <c r="I66" s="10">
        <f>'SYC Camp Revenue '!I58*$C$66</f>
        <v>0</v>
      </c>
      <c r="J66" s="10">
        <f>'SYC Camp Revenue '!J58*$C$66</f>
        <v>0</v>
      </c>
      <c r="K66" s="10">
        <f>'SYC Camp Revenue '!K58*$C$66</f>
        <v>160</v>
      </c>
      <c r="L66" s="10">
        <f>'SYC Camp Revenue '!L58*$C$66</f>
        <v>0</v>
      </c>
      <c r="M66" s="10">
        <f>'SYC Camp Revenue '!M58*$C$66</f>
        <v>0</v>
      </c>
      <c r="N66" s="10">
        <f>'SYC Camp Revenue '!N58*$C$66</f>
        <v>0</v>
      </c>
      <c r="O66" s="10">
        <f>'SYC Camp Revenue '!O58*$C$66</f>
        <v>0</v>
      </c>
      <c r="P66" s="10">
        <f>'SYC Camp Revenue '!P58*$C$66</f>
        <v>0</v>
      </c>
      <c r="Q66" s="10">
        <f>'SYC Camp Revenue '!Q58*$C$66</f>
        <v>0</v>
      </c>
      <c r="R66" s="10">
        <f>'SYC Camp Revenue '!R58*$C$66</f>
        <v>36</v>
      </c>
      <c r="S66" s="10">
        <f>'SYC Camp Revenue '!S58*$C$66</f>
        <v>0</v>
      </c>
      <c r="T66" s="10">
        <f>'SYC Camp Revenue '!T58*$C$66</f>
        <v>0</v>
      </c>
      <c r="U66" s="10">
        <f>'SYC Camp Revenue '!U58*$C$66</f>
        <v>0</v>
      </c>
      <c r="V66" s="10">
        <f>'SYC Camp Revenue '!V58*$C$66</f>
        <v>0</v>
      </c>
      <c r="W66" s="10">
        <f>'SYC Camp Revenue '!W58*$C$66</f>
        <v>0</v>
      </c>
      <c r="X66" s="10">
        <f>'SYC Camp Revenue '!X58*$C$66</f>
        <v>0</v>
      </c>
      <c r="Y66" s="10">
        <f>'SYC Camp Revenue '!Y58*$C$66</f>
        <v>156</v>
      </c>
      <c r="Z66" s="10">
        <f>'SYC Camp Revenue '!Z58*$C$66</f>
        <v>0</v>
      </c>
      <c r="AA66" s="10">
        <f>'SYC Camp Revenue '!AA58*$C$66</f>
        <v>0</v>
      </c>
      <c r="AB66" s="10">
        <f>'SYC Camp Revenue '!AB58*$C$66</f>
        <v>0</v>
      </c>
      <c r="AC66" s="10">
        <f>'SYC Camp Revenue '!AC58*$C$66</f>
        <v>0</v>
      </c>
      <c r="AD66" s="10">
        <f>'SYC Camp Revenue '!AD58*$C$66</f>
        <v>0</v>
      </c>
      <c r="AE66" s="10">
        <f>'SYC Camp Revenue '!AE58*$C$66</f>
        <v>0</v>
      </c>
      <c r="AF66" s="10">
        <f>'SYC Camp Revenue '!AF58*$C$66</f>
        <v>44</v>
      </c>
      <c r="AG66" s="10">
        <f>'SYC Camp Revenue '!AG58*$C$66</f>
        <v>0</v>
      </c>
      <c r="AH66" s="10">
        <f>'SYC Camp Revenue '!AH58*$C$66</f>
        <v>0</v>
      </c>
      <c r="AI66" s="10">
        <f>'SYC Camp Revenue '!AI58*$C$66</f>
        <v>0</v>
      </c>
      <c r="AJ66" s="71">
        <f>SUM(E66:AI66)</f>
        <v>848</v>
      </c>
      <c r="AK66" s="10">
        <f>'SYC Camp Revenue '!AK58*$C$66</f>
        <v>0</v>
      </c>
      <c r="AL66" s="10">
        <f>'SYC Camp Revenue '!AL58*$C$66</f>
        <v>0</v>
      </c>
      <c r="AM66" s="10">
        <f>'SYC Camp Revenue '!AM58*$C$66</f>
        <v>0</v>
      </c>
      <c r="AN66" s="10">
        <f>'SYC Camp Revenue '!AN58*$C$66</f>
        <v>0</v>
      </c>
      <c r="AO66" s="10">
        <f>'SYC Camp Revenue '!AO58*$C$66</f>
        <v>0</v>
      </c>
      <c r="AP66" s="10">
        <f>'SYC Camp Revenue '!AP58*$C$66</f>
        <v>0</v>
      </c>
      <c r="AQ66" s="10">
        <f>'SYC Camp Revenue '!AQ58*$C$66</f>
        <v>0</v>
      </c>
      <c r="AR66" s="10">
        <f>'SYC Camp Revenue '!AR58*$C$66</f>
        <v>0</v>
      </c>
      <c r="AS66" s="10">
        <f>'SYC Camp Revenue '!AS58*$C$66</f>
        <v>0</v>
      </c>
      <c r="AT66" s="10">
        <f>'SYC Camp Revenue '!AT58*$C$66</f>
        <v>0</v>
      </c>
      <c r="AU66" s="10">
        <f>'SYC Camp Revenue '!AU58*$C$66</f>
        <v>0</v>
      </c>
      <c r="AV66" s="10">
        <f>'SYC Camp Revenue '!AV58*$C$66</f>
        <v>0</v>
      </c>
      <c r="AW66" s="10">
        <f>'SYC Camp Revenue '!AW58*$C$66</f>
        <v>0</v>
      </c>
      <c r="AX66" s="10">
        <f>'SYC Camp Revenue '!AX58*$C$66</f>
        <v>0</v>
      </c>
      <c r="AY66" s="10">
        <f>'SYC Camp Revenue '!AY58*$C$66</f>
        <v>0</v>
      </c>
      <c r="AZ66" s="10">
        <f>'SYC Camp Revenue '!AZ58*$C$66</f>
        <v>0</v>
      </c>
      <c r="BA66" s="10">
        <f>'SYC Camp Revenue '!BA58*$C$66</f>
        <v>0</v>
      </c>
      <c r="BB66" s="10">
        <f>'SYC Camp Revenue '!BB58*$C$66</f>
        <v>0</v>
      </c>
      <c r="BC66" s="10">
        <f>'SYC Camp Revenue '!BC58*$C$66</f>
        <v>0</v>
      </c>
      <c r="BD66" s="10">
        <f>'SYC Camp Revenue '!BD58*$C$66</f>
        <v>0</v>
      </c>
      <c r="BE66" s="10">
        <f>'SYC Camp Revenue '!BE58*$C$66</f>
        <v>0</v>
      </c>
      <c r="BF66" s="10">
        <f>'SYC Camp Revenue '!BF58*$C$66</f>
        <v>0</v>
      </c>
      <c r="BG66" s="10">
        <f>'SYC Camp Revenue '!BG58*$C$66</f>
        <v>0</v>
      </c>
      <c r="BH66" s="10">
        <f>'SYC Camp Revenue '!BH58*$C$66</f>
        <v>0</v>
      </c>
      <c r="BI66" s="71">
        <f>SUM(AK66:BH66)</f>
        <v>0</v>
      </c>
      <c r="BJ66" s="94">
        <f>BI66+AJ66</f>
        <v>848</v>
      </c>
    </row>
    <row r="67" spans="1:62" s="5" customFormat="1" x14ac:dyDescent="0.3">
      <c r="A67" s="42"/>
      <c r="B67" s="7"/>
      <c r="C67" s="7"/>
      <c r="D67" s="3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73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58"/>
      <c r="BJ67" s="94"/>
    </row>
    <row r="68" spans="1:62" s="5" customFormat="1" x14ac:dyDescent="0.3">
      <c r="A68" s="21" t="str">
        <f>"Total "&amp;A63</f>
        <v xml:space="preserve">Total Student Handling Fees </v>
      </c>
      <c r="B68" s="7"/>
      <c r="C68" s="7"/>
      <c r="D68" s="3"/>
      <c r="E68" s="34">
        <f t="shared" ref="E68:AI68" si="137">SUM(E65:E67)</f>
        <v>2686</v>
      </c>
      <c r="F68" s="34">
        <f t="shared" si="137"/>
        <v>0</v>
      </c>
      <c r="G68" s="34">
        <f t="shared" si="137"/>
        <v>1156</v>
      </c>
      <c r="H68" s="34">
        <f t="shared" si="137"/>
        <v>0</v>
      </c>
      <c r="I68" s="34">
        <f t="shared" si="137"/>
        <v>0</v>
      </c>
      <c r="J68" s="34">
        <f t="shared" si="137"/>
        <v>0</v>
      </c>
      <c r="K68" s="34">
        <f t="shared" si="137"/>
        <v>1360</v>
      </c>
      <c r="L68" s="34">
        <f t="shared" si="137"/>
        <v>0</v>
      </c>
      <c r="M68" s="34">
        <f t="shared" si="137"/>
        <v>0</v>
      </c>
      <c r="N68" s="34">
        <f t="shared" si="137"/>
        <v>0</v>
      </c>
      <c r="O68" s="34">
        <f t="shared" si="137"/>
        <v>0</v>
      </c>
      <c r="P68" s="34">
        <f t="shared" si="137"/>
        <v>0</v>
      </c>
      <c r="Q68" s="34">
        <f t="shared" si="137"/>
        <v>0</v>
      </c>
      <c r="R68" s="34">
        <f t="shared" si="137"/>
        <v>306</v>
      </c>
      <c r="S68" s="34">
        <f t="shared" si="137"/>
        <v>0</v>
      </c>
      <c r="T68" s="34">
        <f t="shared" si="137"/>
        <v>0</v>
      </c>
      <c r="U68" s="34">
        <f t="shared" si="137"/>
        <v>0</v>
      </c>
      <c r="V68" s="34">
        <f t="shared" si="137"/>
        <v>0</v>
      </c>
      <c r="W68" s="34">
        <f t="shared" si="137"/>
        <v>0</v>
      </c>
      <c r="X68" s="34">
        <f t="shared" si="137"/>
        <v>0</v>
      </c>
      <c r="Y68" s="34">
        <f t="shared" si="137"/>
        <v>1326</v>
      </c>
      <c r="Z68" s="34">
        <f t="shared" si="137"/>
        <v>0</v>
      </c>
      <c r="AA68" s="34">
        <f t="shared" si="137"/>
        <v>0</v>
      </c>
      <c r="AB68" s="34">
        <f t="shared" si="137"/>
        <v>0</v>
      </c>
      <c r="AC68" s="34">
        <f t="shared" si="137"/>
        <v>0</v>
      </c>
      <c r="AD68" s="34">
        <f t="shared" si="137"/>
        <v>0</v>
      </c>
      <c r="AE68" s="34">
        <f t="shared" si="137"/>
        <v>0</v>
      </c>
      <c r="AF68" s="34">
        <f t="shared" si="137"/>
        <v>374</v>
      </c>
      <c r="AG68" s="34">
        <f t="shared" si="137"/>
        <v>0</v>
      </c>
      <c r="AH68" s="34">
        <f t="shared" si="137"/>
        <v>0</v>
      </c>
      <c r="AI68" s="34">
        <f t="shared" si="137"/>
        <v>0</v>
      </c>
      <c r="AJ68" s="73">
        <f>SUM(E68:AI68)</f>
        <v>7208</v>
      </c>
      <c r="AK68" s="10">
        <f>SUM(AK65:AK67)</f>
        <v>0</v>
      </c>
      <c r="AL68" s="10">
        <f t="shared" ref="AL68:BH68" si="138">SUM(AL65:AL67)</f>
        <v>0</v>
      </c>
      <c r="AM68" s="10">
        <f t="shared" si="138"/>
        <v>0</v>
      </c>
      <c r="AN68" s="10">
        <f t="shared" si="138"/>
        <v>0</v>
      </c>
      <c r="AO68" s="10">
        <f t="shared" si="138"/>
        <v>0</v>
      </c>
      <c r="AP68" s="10">
        <f t="shared" si="138"/>
        <v>0</v>
      </c>
      <c r="AQ68" s="10">
        <f t="shared" si="138"/>
        <v>0</v>
      </c>
      <c r="AR68" s="10">
        <f t="shared" si="138"/>
        <v>0</v>
      </c>
      <c r="AS68" s="10">
        <f t="shared" si="138"/>
        <v>0</v>
      </c>
      <c r="AT68" s="10">
        <f t="shared" si="138"/>
        <v>0</v>
      </c>
      <c r="AU68" s="10">
        <f t="shared" si="138"/>
        <v>0</v>
      </c>
      <c r="AV68" s="10">
        <f t="shared" si="138"/>
        <v>0</v>
      </c>
      <c r="AW68" s="10">
        <f t="shared" si="138"/>
        <v>0</v>
      </c>
      <c r="AX68" s="10">
        <f t="shared" si="138"/>
        <v>0</v>
      </c>
      <c r="AY68" s="10">
        <f t="shared" si="138"/>
        <v>0</v>
      </c>
      <c r="AZ68" s="10">
        <f t="shared" si="138"/>
        <v>0</v>
      </c>
      <c r="BA68" s="10">
        <f t="shared" si="138"/>
        <v>0</v>
      </c>
      <c r="BB68" s="10">
        <f t="shared" si="138"/>
        <v>0</v>
      </c>
      <c r="BC68" s="10">
        <f t="shared" si="138"/>
        <v>0</v>
      </c>
      <c r="BD68" s="10">
        <f t="shared" si="138"/>
        <v>0</v>
      </c>
      <c r="BE68" s="10">
        <f t="shared" si="138"/>
        <v>0</v>
      </c>
      <c r="BF68" s="10">
        <f t="shared" si="138"/>
        <v>0</v>
      </c>
      <c r="BG68" s="10">
        <f t="shared" si="138"/>
        <v>0</v>
      </c>
      <c r="BH68" s="10">
        <f t="shared" si="138"/>
        <v>0</v>
      </c>
      <c r="BI68" s="94">
        <f>SUM(AK68:BH68)</f>
        <v>0</v>
      </c>
      <c r="BJ68" s="91">
        <f>BI68+AJ68</f>
        <v>7208</v>
      </c>
    </row>
    <row r="69" spans="1:62" s="5" customFormat="1" x14ac:dyDescent="0.3">
      <c r="A69" s="42"/>
      <c r="B69" s="7"/>
      <c r="C69" s="7"/>
      <c r="D69" s="3"/>
      <c r="E69" s="35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73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58"/>
      <c r="BJ69" s="94"/>
    </row>
    <row r="70" spans="1:62" s="5" customFormat="1" x14ac:dyDescent="0.3">
      <c r="A70" s="3"/>
      <c r="B70" s="7"/>
      <c r="C70" s="7"/>
      <c r="D70" s="3"/>
      <c r="E70" s="35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73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58"/>
      <c r="BJ70" s="94"/>
    </row>
    <row r="71" spans="1:62" s="5" customFormat="1" x14ac:dyDescent="0.3">
      <c r="A71" s="2" t="s">
        <v>25</v>
      </c>
      <c r="B71" s="7"/>
      <c r="C71" s="8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73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58"/>
      <c r="BJ71" s="94"/>
    </row>
    <row r="72" spans="1:62" s="5" customFormat="1" x14ac:dyDescent="0.3">
      <c r="A72" s="3"/>
      <c r="B72" s="7"/>
      <c r="C72" s="8"/>
      <c r="D72" s="9"/>
      <c r="E72" s="10"/>
      <c r="F72" s="45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71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71"/>
      <c r="BJ72" s="94"/>
    </row>
    <row r="73" spans="1:62" s="5" customFormat="1" x14ac:dyDescent="0.3">
      <c r="A73" s="3" t="s">
        <v>26</v>
      </c>
      <c r="B73" s="83">
        <v>350</v>
      </c>
      <c r="C73" s="8">
        <v>50</v>
      </c>
      <c r="D73" s="9"/>
      <c r="E73" s="46">
        <f>ROUNDUP(E32/$C$73,)*$B$73</f>
        <v>1400</v>
      </c>
      <c r="F73" s="46">
        <f>ROUNDUP(F32/$C$73,)*$B$73</f>
        <v>0</v>
      </c>
      <c r="G73" s="46">
        <f>ROUNDUP(G32/$C$73,)*$B$73</f>
        <v>350</v>
      </c>
      <c r="H73" s="46">
        <f>ROUNDUP(H32/$C$73,)*$B$73</f>
        <v>0</v>
      </c>
      <c r="I73" s="46">
        <f>ROUNDUP(I32/$C$73,)*$B$73</f>
        <v>0</v>
      </c>
      <c r="J73" s="46">
        <f>ROUNDUP(J32/$C$73,)*$B$73</f>
        <v>0</v>
      </c>
      <c r="K73" s="46">
        <f>ROUNDUP(K32/$C$73,)*$B$73</f>
        <v>350</v>
      </c>
      <c r="L73" s="46">
        <f>ROUNDUP(L32/$C$73,)*$B$73</f>
        <v>0</v>
      </c>
      <c r="M73" s="46">
        <f>ROUNDUP(M32/$C$73,)*$B$73</f>
        <v>0</v>
      </c>
      <c r="N73" s="46">
        <f>ROUNDUP(N32/$C$73,)*$B$73</f>
        <v>0</v>
      </c>
      <c r="O73" s="46">
        <f>ROUNDUP(O32/$C$73,)*$B$73</f>
        <v>0</v>
      </c>
      <c r="P73" s="46">
        <f>ROUNDUP(P32/$C$73,)*$B$73</f>
        <v>0</v>
      </c>
      <c r="Q73" s="46">
        <f>ROUNDUP(Q32/$C$73,)*$B$73</f>
        <v>0</v>
      </c>
      <c r="R73" s="46">
        <f>ROUNDUP(R32/$C$73,)*$B$73</f>
        <v>350</v>
      </c>
      <c r="S73" s="46">
        <f>ROUNDUP(S32/$C$73,)*$B$73</f>
        <v>0</v>
      </c>
      <c r="T73" s="46">
        <f>ROUNDUP(T32/$C$73,)*$B$73</f>
        <v>0</v>
      </c>
      <c r="U73" s="46">
        <f>ROUNDUP(U32/$C$73,)*$B$73</f>
        <v>0</v>
      </c>
      <c r="V73" s="46">
        <f>ROUNDUP(V32/$C$73,)*$B$73</f>
        <v>0</v>
      </c>
      <c r="W73" s="46">
        <f>ROUNDUP(W32/$C$73,)*$B$73</f>
        <v>0</v>
      </c>
      <c r="X73" s="46">
        <f>ROUNDUP(X32/$C$73,)*$B$73</f>
        <v>0</v>
      </c>
      <c r="Y73" s="46">
        <f>ROUNDUP(Y32/$C$73,)*$B$73</f>
        <v>350</v>
      </c>
      <c r="Z73" s="46">
        <f>ROUNDUP(Z32/$C$73,)*$B$73</f>
        <v>0</v>
      </c>
      <c r="AA73" s="46">
        <f>ROUNDUP(AA32/$C$73,)*$B$73</f>
        <v>0</v>
      </c>
      <c r="AB73" s="46">
        <f>ROUNDUP(AB32/$C$73,)*$B$73</f>
        <v>0</v>
      </c>
      <c r="AC73" s="46">
        <f>ROUNDUP(AC32/$C$73,)*$B$73</f>
        <v>0</v>
      </c>
      <c r="AD73" s="46">
        <f>ROUNDUP(AD32/$C$73,)*$B$73</f>
        <v>0</v>
      </c>
      <c r="AE73" s="46">
        <f>ROUNDUP(AE32/$C$73,)*$B$73</f>
        <v>0</v>
      </c>
      <c r="AF73" s="46">
        <f>ROUNDUP(AF32/$C$73,)*$B$73</f>
        <v>350</v>
      </c>
      <c r="AG73" s="46">
        <f>ROUNDUP(AG32/$C$73,)*$B$73</f>
        <v>0</v>
      </c>
      <c r="AH73" s="46">
        <f>ROUNDUP(AH32/$C$73,)*$B$73</f>
        <v>0</v>
      </c>
      <c r="AI73" s="46">
        <f>ROUNDUP(AI32/$C$73,)*$B$73</f>
        <v>0</v>
      </c>
      <c r="AJ73" s="71">
        <f t="shared" ref="AJ73:AJ77" si="139">SUM(E73:AI73)</f>
        <v>3150</v>
      </c>
      <c r="AK73" s="148">
        <f>ROUNDUP(AK32/$C$73,)*$B$73</f>
        <v>0</v>
      </c>
      <c r="AL73" s="148">
        <f>ROUNDUP(AL32/$C$73,)*$B$73</f>
        <v>350</v>
      </c>
      <c r="AM73" s="148">
        <f>ROUNDUP(AM32/$C$73,)*$B$73</f>
        <v>350</v>
      </c>
      <c r="AN73" s="148">
        <f>ROUNDUP(AN32/$C$73,)*$B$73</f>
        <v>350</v>
      </c>
      <c r="AO73" s="148">
        <f>ROUNDUP(AO32/$C$73,)*$B$73</f>
        <v>350</v>
      </c>
      <c r="AP73" s="148">
        <f>ROUNDUP(AP32/$C$73,)*$B$73</f>
        <v>350</v>
      </c>
      <c r="AQ73" s="148">
        <f>ROUNDUP(AQ32/$C$73,)*$B$73</f>
        <v>350</v>
      </c>
      <c r="AR73" s="148">
        <f>ROUNDUP(AR32/$C$73,)*$B$73</f>
        <v>350</v>
      </c>
      <c r="AS73" s="148">
        <f>ROUNDUP(AS32/$C$73,)*$B$73</f>
        <v>350</v>
      </c>
      <c r="AT73" s="148">
        <f>ROUNDUP(AT32/$C$73,)*$B$73</f>
        <v>350</v>
      </c>
      <c r="AU73" s="148">
        <f>ROUNDUP(AU32/$C$73,)*$B$73</f>
        <v>350</v>
      </c>
      <c r="AV73" s="148">
        <f>ROUNDUP(AV32/$C$73,)*$B$73</f>
        <v>350</v>
      </c>
      <c r="AW73" s="148">
        <f>ROUNDUP(AW32/$C$73,)*$B$73</f>
        <v>350</v>
      </c>
      <c r="AX73" s="148">
        <f>ROUNDUP(AX32/$C$73,)*$B$73</f>
        <v>350</v>
      </c>
      <c r="AY73" s="148">
        <f>ROUNDUP(AY32/$C$73,)*$B$73</f>
        <v>350</v>
      </c>
      <c r="AZ73" s="148">
        <f>ROUNDUP(AZ32/$C$73,)*$B$73</f>
        <v>350</v>
      </c>
      <c r="BA73" s="148">
        <f>ROUNDUP(BA32/$C$73,)*$B$73</f>
        <v>350</v>
      </c>
      <c r="BB73" s="148">
        <f>ROUNDUP(BB32/$C$73,)*$B$73</f>
        <v>350</v>
      </c>
      <c r="BC73" s="148">
        <f>ROUNDUP(BC32/$C$73,)*$B$73</f>
        <v>350</v>
      </c>
      <c r="BD73" s="148">
        <f>ROUNDUP(BD32/$C$73,)*$B$73</f>
        <v>350</v>
      </c>
      <c r="BE73" s="148">
        <f>ROUNDUP(BE32/$C$73,)*$B$73</f>
        <v>350</v>
      </c>
      <c r="BF73" s="148">
        <f>ROUNDUP(BF32/$C$73,)*$B$73</f>
        <v>350</v>
      </c>
      <c r="BG73" s="148">
        <f>ROUNDUP(BG32/$C$73,)*$B$73</f>
        <v>350</v>
      </c>
      <c r="BH73" s="148">
        <f>ROUNDUP(BH32/$C$73,)*$B$73</f>
        <v>350</v>
      </c>
      <c r="BI73" s="71">
        <f t="shared" ref="BI73:BI75" si="140">SUM(AK73:BH73)</f>
        <v>8050</v>
      </c>
      <c r="BJ73" s="94">
        <f t="shared" si="124"/>
        <v>11200</v>
      </c>
    </row>
    <row r="74" spans="1:62" s="5" customFormat="1" x14ac:dyDescent="0.3">
      <c r="A74" s="3" t="s">
        <v>27</v>
      </c>
      <c r="B74" s="7" t="s">
        <v>28</v>
      </c>
      <c r="C74" s="8">
        <v>9</v>
      </c>
      <c r="D74" s="9"/>
      <c r="E74" s="10" t="s">
        <v>29</v>
      </c>
      <c r="F74" s="10">
        <f>F32*$C$74</f>
        <v>0</v>
      </c>
      <c r="G74" s="10">
        <f>G32*$C$74</f>
        <v>306</v>
      </c>
      <c r="H74" s="10">
        <f>H32*$C$74</f>
        <v>0</v>
      </c>
      <c r="I74" s="10">
        <f>I32*$C$74</f>
        <v>0</v>
      </c>
      <c r="J74" s="10">
        <f>J32*$C$74</f>
        <v>0</v>
      </c>
      <c r="K74" s="10">
        <f>K32*$C$74</f>
        <v>396</v>
      </c>
      <c r="L74" s="10">
        <f>L32*$C$74</f>
        <v>0</v>
      </c>
      <c r="M74" s="10">
        <f>M32*$C$74</f>
        <v>0</v>
      </c>
      <c r="N74" s="10">
        <f>N32*$C$74</f>
        <v>0</v>
      </c>
      <c r="O74" s="10">
        <f>O32*$C$74</f>
        <v>0</v>
      </c>
      <c r="P74" s="10">
        <f>P32*$C$74</f>
        <v>0</v>
      </c>
      <c r="Q74" s="10">
        <f>Q32*$C$74</f>
        <v>0</v>
      </c>
      <c r="R74" s="10">
        <f>R32*$C$74</f>
        <v>189</v>
      </c>
      <c r="S74" s="10">
        <f>S32*$C$74</f>
        <v>0</v>
      </c>
      <c r="T74" s="10">
        <f>T32*$C$74</f>
        <v>0</v>
      </c>
      <c r="U74" s="10">
        <f>U32*$C$74</f>
        <v>0</v>
      </c>
      <c r="V74" s="10">
        <f>V32*$C$74</f>
        <v>0</v>
      </c>
      <c r="W74" s="10">
        <f>W32*$C$74</f>
        <v>0</v>
      </c>
      <c r="X74" s="10">
        <f>X32*$C$74</f>
        <v>0</v>
      </c>
      <c r="Y74" s="10">
        <f>Y32*$C$74</f>
        <v>405</v>
      </c>
      <c r="Z74" s="10">
        <f>Z32*$C$74</f>
        <v>0</v>
      </c>
      <c r="AA74" s="10">
        <f>AA32*$C$74</f>
        <v>0</v>
      </c>
      <c r="AB74" s="10">
        <f>AB32*$C$74</f>
        <v>0</v>
      </c>
      <c r="AC74" s="10">
        <f>AC32*$C$74</f>
        <v>0</v>
      </c>
      <c r="AD74" s="10">
        <f>AD32*$C$74</f>
        <v>0</v>
      </c>
      <c r="AE74" s="10">
        <f>AE32*$C$74</f>
        <v>0</v>
      </c>
      <c r="AF74" s="10">
        <f>AF32*$C$74</f>
        <v>99</v>
      </c>
      <c r="AG74" s="10">
        <f>AG32*$C$74</f>
        <v>0</v>
      </c>
      <c r="AH74" s="10">
        <f>AH32*$C$74</f>
        <v>0</v>
      </c>
      <c r="AI74" s="10">
        <f>AI32*$C$74</f>
        <v>0</v>
      </c>
      <c r="AJ74" s="71">
        <f t="shared" si="139"/>
        <v>1395</v>
      </c>
      <c r="AK74" s="10">
        <f>AK32*$C$74</f>
        <v>0</v>
      </c>
      <c r="AL74" s="10">
        <f>AL32*$C$74</f>
        <v>18</v>
      </c>
      <c r="AM74" s="10">
        <f>AM32*$C$74</f>
        <v>36</v>
      </c>
      <c r="AN74" s="10">
        <f>AN32*$C$74</f>
        <v>54</v>
      </c>
      <c r="AO74" s="10">
        <f>AO32*$C$74</f>
        <v>72</v>
      </c>
      <c r="AP74" s="10">
        <f>AP32*$C$74</f>
        <v>90</v>
      </c>
      <c r="AQ74" s="10">
        <f>AQ32*$C$74</f>
        <v>108</v>
      </c>
      <c r="AR74" s="10">
        <f>AR32*$C$74</f>
        <v>126</v>
      </c>
      <c r="AS74" s="10">
        <f>AS32*$C$74</f>
        <v>144</v>
      </c>
      <c r="AT74" s="10">
        <f>AT32*$C$74</f>
        <v>162</v>
      </c>
      <c r="AU74" s="10">
        <f>AU32*$C$74</f>
        <v>180</v>
      </c>
      <c r="AV74" s="10">
        <f>AV32*$C$74</f>
        <v>198</v>
      </c>
      <c r="AW74" s="10">
        <f>AW32*$C$74</f>
        <v>216</v>
      </c>
      <c r="AX74" s="10">
        <f>AX32*$C$74</f>
        <v>234</v>
      </c>
      <c r="AY74" s="10">
        <f>AY32*$C$74</f>
        <v>252</v>
      </c>
      <c r="AZ74" s="10">
        <f>AZ32*$C$74</f>
        <v>270</v>
      </c>
      <c r="BA74" s="10">
        <f>BA32*$C$74</f>
        <v>288</v>
      </c>
      <c r="BB74" s="10">
        <f>BB32*$C$74</f>
        <v>306</v>
      </c>
      <c r="BC74" s="10">
        <f>BC32*$C$74</f>
        <v>324</v>
      </c>
      <c r="BD74" s="10">
        <f>BD32*$C$74</f>
        <v>342</v>
      </c>
      <c r="BE74" s="10">
        <f>BE32*$C$74</f>
        <v>360</v>
      </c>
      <c r="BF74" s="10">
        <f>BF32*$C$74</f>
        <v>378</v>
      </c>
      <c r="BG74" s="10">
        <f>BG32*$C$74</f>
        <v>396</v>
      </c>
      <c r="BH74" s="10">
        <f>BH32*$C$74</f>
        <v>414</v>
      </c>
      <c r="BI74" s="71">
        <f t="shared" si="140"/>
        <v>4968</v>
      </c>
      <c r="BJ74" s="94">
        <f t="shared" si="124"/>
        <v>6363</v>
      </c>
    </row>
    <row r="75" spans="1:62" s="5" customFormat="1" x14ac:dyDescent="0.3">
      <c r="A75" s="3" t="s">
        <v>30</v>
      </c>
      <c r="B75" s="7"/>
      <c r="C75" s="8">
        <f>16+2+3.25+2</f>
        <v>23.25</v>
      </c>
      <c r="D75" s="9"/>
      <c r="E75" s="10">
        <f>E32*$C$75</f>
        <v>3510.75</v>
      </c>
      <c r="F75" s="10">
        <f>F32*$C$75</f>
        <v>0</v>
      </c>
      <c r="G75" s="10">
        <f>G32*$C$75</f>
        <v>790.5</v>
      </c>
      <c r="H75" s="10">
        <f>H32*$C$75</f>
        <v>0</v>
      </c>
      <c r="I75" s="10">
        <f>I32*$C$75</f>
        <v>0</v>
      </c>
      <c r="J75" s="10">
        <f>J32*$C$75</f>
        <v>0</v>
      </c>
      <c r="K75" s="10">
        <f>K32*$C$75</f>
        <v>1023</v>
      </c>
      <c r="L75" s="10">
        <f>L32*$C$75</f>
        <v>0</v>
      </c>
      <c r="M75" s="10">
        <f>M32*$C$75</f>
        <v>0</v>
      </c>
      <c r="N75" s="10">
        <f>N32*$C$75</f>
        <v>0</v>
      </c>
      <c r="O75" s="10">
        <f>O32*$C$75</f>
        <v>0</v>
      </c>
      <c r="P75" s="10">
        <f>P32*$C$75</f>
        <v>0</v>
      </c>
      <c r="Q75" s="10">
        <f>Q32*$C$75</f>
        <v>0</v>
      </c>
      <c r="R75" s="10">
        <f>R32*$C$75</f>
        <v>488.25</v>
      </c>
      <c r="S75" s="10">
        <f>S32*$C$75</f>
        <v>0</v>
      </c>
      <c r="T75" s="10">
        <f>T32*$C$75</f>
        <v>0</v>
      </c>
      <c r="U75" s="10">
        <f>U32*$C$75</f>
        <v>0</v>
      </c>
      <c r="V75" s="10">
        <f>V32*$C$75</f>
        <v>0</v>
      </c>
      <c r="W75" s="10">
        <f>W32*$C$75</f>
        <v>0</v>
      </c>
      <c r="X75" s="10">
        <f>X32*$C$75</f>
        <v>0</v>
      </c>
      <c r="Y75" s="10">
        <f>Y32*$C$75</f>
        <v>1046.25</v>
      </c>
      <c r="Z75" s="10">
        <f>Z32*$C$75</f>
        <v>0</v>
      </c>
      <c r="AA75" s="10">
        <f>AA32*$C$75</f>
        <v>0</v>
      </c>
      <c r="AB75" s="10">
        <f>AB32*$C$75</f>
        <v>0</v>
      </c>
      <c r="AC75" s="10">
        <f>AC32*$C$75</f>
        <v>0</v>
      </c>
      <c r="AD75" s="10">
        <f>AD32*$C$75</f>
        <v>0</v>
      </c>
      <c r="AE75" s="10">
        <f>AE32*$C$75</f>
        <v>0</v>
      </c>
      <c r="AF75" s="10">
        <f>AF32*$C$75</f>
        <v>255.75</v>
      </c>
      <c r="AG75" s="10">
        <f>AG32*$C$75</f>
        <v>0</v>
      </c>
      <c r="AH75" s="10">
        <f>AH32*$C$75</f>
        <v>0</v>
      </c>
      <c r="AI75" s="10">
        <f>AI32*$C$75</f>
        <v>0</v>
      </c>
      <c r="AJ75" s="71">
        <f t="shared" si="139"/>
        <v>7114.5</v>
      </c>
      <c r="AK75" s="10">
        <f>AK32*$C$75</f>
        <v>0</v>
      </c>
      <c r="AL75" s="10">
        <f>AL32*$C$75</f>
        <v>46.5</v>
      </c>
      <c r="AM75" s="10">
        <f>AM32*$C$75</f>
        <v>93</v>
      </c>
      <c r="AN75" s="10">
        <f>AN32*$C$75</f>
        <v>139.5</v>
      </c>
      <c r="AO75" s="10">
        <f>AO32*$C$75</f>
        <v>186</v>
      </c>
      <c r="AP75" s="10">
        <f>AP32*$C$75</f>
        <v>232.5</v>
      </c>
      <c r="AQ75" s="10">
        <f>AQ32*$C$75</f>
        <v>279</v>
      </c>
      <c r="AR75" s="10">
        <f>AR32*$C$75</f>
        <v>325.5</v>
      </c>
      <c r="AS75" s="10">
        <f>AS32*$C$75</f>
        <v>372</v>
      </c>
      <c r="AT75" s="10">
        <f>AT32*$C$75</f>
        <v>418.5</v>
      </c>
      <c r="AU75" s="10">
        <f>AU32*$C$75</f>
        <v>465</v>
      </c>
      <c r="AV75" s="10">
        <f>AV32*$C$75</f>
        <v>511.5</v>
      </c>
      <c r="AW75" s="10">
        <f>AW32*$C$75</f>
        <v>558</v>
      </c>
      <c r="AX75" s="10">
        <f>AX32*$C$75</f>
        <v>604.5</v>
      </c>
      <c r="AY75" s="10">
        <f>AY32*$C$75</f>
        <v>651</v>
      </c>
      <c r="AZ75" s="10">
        <f>AZ32*$C$75</f>
        <v>697.5</v>
      </c>
      <c r="BA75" s="10">
        <f>BA32*$C$75</f>
        <v>744</v>
      </c>
      <c r="BB75" s="10">
        <f>BB32*$C$75</f>
        <v>790.5</v>
      </c>
      <c r="BC75" s="10">
        <f>BC32*$C$75</f>
        <v>837</v>
      </c>
      <c r="BD75" s="10">
        <f>BD32*$C$75</f>
        <v>883.5</v>
      </c>
      <c r="BE75" s="10">
        <f>BE32*$C$75</f>
        <v>930</v>
      </c>
      <c r="BF75" s="10">
        <f>BF32*$C$75</f>
        <v>976.5</v>
      </c>
      <c r="BG75" s="10">
        <f>BG32*$C$75</f>
        <v>1023</v>
      </c>
      <c r="BH75" s="10">
        <f>BH32*$C$75</f>
        <v>1069.5</v>
      </c>
      <c r="BI75" s="71">
        <f t="shared" si="140"/>
        <v>12834</v>
      </c>
      <c r="BJ75" s="94">
        <f t="shared" si="124"/>
        <v>19948.5</v>
      </c>
    </row>
    <row r="76" spans="1:62" s="5" customFormat="1" x14ac:dyDescent="0.3">
      <c r="A76" s="3"/>
      <c r="B76" s="7"/>
      <c r="C76" s="8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73" t="s">
        <v>0</v>
      </c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58"/>
      <c r="BJ76" s="94" t="s">
        <v>0</v>
      </c>
    </row>
    <row r="77" spans="1:62" s="5" customFormat="1" x14ac:dyDescent="0.3">
      <c r="A77" s="21" t="str">
        <f>"Total "&amp;A71</f>
        <v>Total Program Orientation Expenses</v>
      </c>
      <c r="B77" s="22"/>
      <c r="C77" s="22"/>
      <c r="D77" s="21"/>
      <c r="E77" s="34">
        <f t="shared" ref="E77:AI77" si="141">SUM(E72:E74)</f>
        <v>1400</v>
      </c>
      <c r="F77" s="34">
        <f t="shared" si="141"/>
        <v>0</v>
      </c>
      <c r="G77" s="34">
        <f t="shared" si="141"/>
        <v>656</v>
      </c>
      <c r="H77" s="34">
        <f t="shared" si="141"/>
        <v>0</v>
      </c>
      <c r="I77" s="34">
        <f t="shared" si="141"/>
        <v>0</v>
      </c>
      <c r="J77" s="34">
        <f t="shared" si="141"/>
        <v>0</v>
      </c>
      <c r="K77" s="34">
        <f t="shared" si="141"/>
        <v>746</v>
      </c>
      <c r="L77" s="34">
        <f t="shared" si="141"/>
        <v>0</v>
      </c>
      <c r="M77" s="34">
        <f t="shared" si="141"/>
        <v>0</v>
      </c>
      <c r="N77" s="34">
        <f t="shared" si="141"/>
        <v>0</v>
      </c>
      <c r="O77" s="34">
        <f t="shared" si="141"/>
        <v>0</v>
      </c>
      <c r="P77" s="34">
        <f t="shared" si="141"/>
        <v>0</v>
      </c>
      <c r="Q77" s="34">
        <f t="shared" si="141"/>
        <v>0</v>
      </c>
      <c r="R77" s="34">
        <f t="shared" si="141"/>
        <v>539</v>
      </c>
      <c r="S77" s="34">
        <f t="shared" si="141"/>
        <v>0</v>
      </c>
      <c r="T77" s="34">
        <f t="shared" si="141"/>
        <v>0</v>
      </c>
      <c r="U77" s="34">
        <f t="shared" si="141"/>
        <v>0</v>
      </c>
      <c r="V77" s="34">
        <f t="shared" si="141"/>
        <v>0</v>
      </c>
      <c r="W77" s="34">
        <f t="shared" si="141"/>
        <v>0</v>
      </c>
      <c r="X77" s="34">
        <f t="shared" si="141"/>
        <v>0</v>
      </c>
      <c r="Y77" s="34">
        <f t="shared" si="141"/>
        <v>755</v>
      </c>
      <c r="Z77" s="34">
        <f t="shared" si="141"/>
        <v>0</v>
      </c>
      <c r="AA77" s="34">
        <f t="shared" si="141"/>
        <v>0</v>
      </c>
      <c r="AB77" s="34">
        <f t="shared" si="141"/>
        <v>0</v>
      </c>
      <c r="AC77" s="34">
        <f t="shared" si="141"/>
        <v>0</v>
      </c>
      <c r="AD77" s="34">
        <f t="shared" si="141"/>
        <v>0</v>
      </c>
      <c r="AE77" s="34">
        <f t="shared" si="141"/>
        <v>0</v>
      </c>
      <c r="AF77" s="34">
        <f t="shared" si="141"/>
        <v>449</v>
      </c>
      <c r="AG77" s="34">
        <f t="shared" si="141"/>
        <v>0</v>
      </c>
      <c r="AH77" s="34">
        <f t="shared" si="141"/>
        <v>0</v>
      </c>
      <c r="AI77" s="34">
        <f t="shared" si="141"/>
        <v>0</v>
      </c>
      <c r="AJ77" s="73">
        <f t="shared" si="139"/>
        <v>4545</v>
      </c>
      <c r="AK77" s="34">
        <f t="shared" ref="AK77:BH77" si="142">SUM(AK72:AK74)</f>
        <v>0</v>
      </c>
      <c r="AL77" s="34">
        <f t="shared" si="142"/>
        <v>368</v>
      </c>
      <c r="AM77" s="34">
        <f t="shared" si="142"/>
        <v>386</v>
      </c>
      <c r="AN77" s="34">
        <f t="shared" si="142"/>
        <v>404</v>
      </c>
      <c r="AO77" s="34">
        <f t="shared" si="142"/>
        <v>422</v>
      </c>
      <c r="AP77" s="34">
        <f t="shared" si="142"/>
        <v>440</v>
      </c>
      <c r="AQ77" s="34">
        <f t="shared" si="142"/>
        <v>458</v>
      </c>
      <c r="AR77" s="34">
        <f t="shared" si="142"/>
        <v>476</v>
      </c>
      <c r="AS77" s="34">
        <f t="shared" si="142"/>
        <v>494</v>
      </c>
      <c r="AT77" s="34">
        <f t="shared" si="142"/>
        <v>512</v>
      </c>
      <c r="AU77" s="34">
        <f t="shared" si="142"/>
        <v>530</v>
      </c>
      <c r="AV77" s="34">
        <f t="shared" si="142"/>
        <v>548</v>
      </c>
      <c r="AW77" s="34">
        <f t="shared" si="142"/>
        <v>566</v>
      </c>
      <c r="AX77" s="34">
        <f t="shared" si="142"/>
        <v>584</v>
      </c>
      <c r="AY77" s="34">
        <f t="shared" si="142"/>
        <v>602</v>
      </c>
      <c r="AZ77" s="34">
        <f t="shared" si="142"/>
        <v>620</v>
      </c>
      <c r="BA77" s="34">
        <f t="shared" si="142"/>
        <v>638</v>
      </c>
      <c r="BB77" s="34">
        <f t="shared" si="142"/>
        <v>656</v>
      </c>
      <c r="BC77" s="34">
        <f t="shared" si="142"/>
        <v>674</v>
      </c>
      <c r="BD77" s="34">
        <f t="shared" si="142"/>
        <v>692</v>
      </c>
      <c r="BE77" s="34">
        <f t="shared" si="142"/>
        <v>710</v>
      </c>
      <c r="BF77" s="34">
        <f t="shared" si="142"/>
        <v>728</v>
      </c>
      <c r="BG77" s="34">
        <f t="shared" si="142"/>
        <v>746</v>
      </c>
      <c r="BH77" s="34">
        <f t="shared" si="142"/>
        <v>764</v>
      </c>
      <c r="BI77" s="73">
        <f>SUM(AK77:BH77)</f>
        <v>13018</v>
      </c>
      <c r="BJ77" s="91">
        <f t="shared" si="124"/>
        <v>17563</v>
      </c>
    </row>
    <row r="78" spans="1:62" s="5" customFormat="1" x14ac:dyDescent="0.3">
      <c r="A78" s="3"/>
      <c r="B78" s="7"/>
      <c r="C78" s="7"/>
      <c r="D78" s="3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73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58"/>
      <c r="BJ78" s="94"/>
    </row>
    <row r="79" spans="1:62" s="5" customFormat="1" x14ac:dyDescent="0.3">
      <c r="A79" s="21" t="s">
        <v>31</v>
      </c>
      <c r="B79" s="30" t="s">
        <v>32</v>
      </c>
      <c r="C79" s="30" t="s">
        <v>0</v>
      </c>
      <c r="F79" s="4"/>
      <c r="G79" s="31" t="s">
        <v>33</v>
      </c>
      <c r="H79" s="47"/>
      <c r="I79" s="31" t="s">
        <v>34</v>
      </c>
      <c r="M79" s="147" t="s">
        <v>35</v>
      </c>
      <c r="N79" s="31" t="s">
        <v>36</v>
      </c>
      <c r="O79" s="47"/>
      <c r="P79" s="31" t="s">
        <v>37</v>
      </c>
      <c r="S79" s="31" t="s">
        <v>38</v>
      </c>
      <c r="T79" s="31" t="s">
        <v>38</v>
      </c>
      <c r="U79" s="31" t="s">
        <v>38</v>
      </c>
      <c r="V79" s="4"/>
      <c r="W79" s="4" t="s">
        <v>39</v>
      </c>
      <c r="AA79" s="4"/>
      <c r="AB79" s="31" t="s">
        <v>40</v>
      </c>
      <c r="AC79" s="47"/>
      <c r="AD79" s="31" t="s">
        <v>41</v>
      </c>
      <c r="AH79" s="147" t="s">
        <v>35</v>
      </c>
      <c r="AI79" s="31" t="s">
        <v>33</v>
      </c>
      <c r="AJ79" s="78"/>
      <c r="AK79" s="4"/>
      <c r="AL79" s="31" t="s">
        <v>34</v>
      </c>
      <c r="AP79" s="4"/>
      <c r="AQ79" s="31" t="s">
        <v>38</v>
      </c>
      <c r="AR79" s="4"/>
      <c r="AS79" s="31" t="s">
        <v>37</v>
      </c>
      <c r="AW79" s="4" t="s">
        <v>42</v>
      </c>
      <c r="AX79" s="31" t="s">
        <v>36</v>
      </c>
      <c r="AY79" s="4" t="s">
        <v>43</v>
      </c>
      <c r="AZ79" s="31" t="s">
        <v>44</v>
      </c>
      <c r="BD79" s="31"/>
      <c r="BE79" s="31" t="s">
        <v>45</v>
      </c>
      <c r="BF79" s="31"/>
      <c r="BG79" s="31" t="s">
        <v>46</v>
      </c>
      <c r="BI79" s="158"/>
      <c r="BJ79" s="94"/>
    </row>
    <row r="80" spans="1:62" s="5" customFormat="1" x14ac:dyDescent="0.3">
      <c r="A80" s="21"/>
      <c r="B80" s="30" t="s">
        <v>47</v>
      </c>
      <c r="C80" s="30"/>
      <c r="F80" s="4"/>
      <c r="G80" s="90">
        <v>25</v>
      </c>
      <c r="H80" s="90"/>
      <c r="I80" s="90">
        <v>30</v>
      </c>
      <c r="M80" s="90">
        <v>25</v>
      </c>
      <c r="N80" s="90">
        <v>28.5</v>
      </c>
      <c r="O80" s="84"/>
      <c r="P80" s="90">
        <v>17.350000000000001</v>
      </c>
      <c r="S80" s="90">
        <v>40</v>
      </c>
      <c r="T80" s="90">
        <v>40</v>
      </c>
      <c r="U80" s="90">
        <v>40</v>
      </c>
      <c r="V80" s="84"/>
      <c r="W80" s="84">
        <v>15</v>
      </c>
      <c r="X80" s="85"/>
      <c r="Y80" s="85"/>
      <c r="Z80" s="85"/>
      <c r="AA80" s="84"/>
      <c r="AB80" s="84">
        <v>0</v>
      </c>
      <c r="AC80" s="84"/>
      <c r="AD80" s="84">
        <v>20</v>
      </c>
      <c r="AE80" s="85"/>
      <c r="AF80" s="85"/>
      <c r="AG80" s="85"/>
      <c r="AH80" s="84">
        <v>25</v>
      </c>
      <c r="AI80" s="84">
        <v>25</v>
      </c>
      <c r="AJ80" s="72"/>
      <c r="AK80" s="4"/>
      <c r="AL80" s="84">
        <v>30</v>
      </c>
      <c r="AM80" s="85"/>
      <c r="AN80" s="85"/>
      <c r="AO80" s="85"/>
      <c r="AP80" s="84"/>
      <c r="AQ80" s="84">
        <v>80</v>
      </c>
      <c r="AR80" s="84"/>
      <c r="AS80" s="84">
        <v>17.350000000000001</v>
      </c>
      <c r="AT80" s="85"/>
      <c r="AU80" s="85"/>
      <c r="AV80" s="85"/>
      <c r="AW80" s="84" t="s">
        <v>48</v>
      </c>
      <c r="AX80" s="84">
        <v>28.5</v>
      </c>
      <c r="AY80" s="84">
        <v>1500</v>
      </c>
      <c r="AZ80" s="84">
        <v>15</v>
      </c>
      <c r="BA80" s="85"/>
      <c r="BB80" s="85"/>
      <c r="BC80" s="85"/>
      <c r="BD80" s="84"/>
      <c r="BE80" s="84">
        <v>25</v>
      </c>
      <c r="BF80" s="84"/>
      <c r="BG80" s="84">
        <v>0</v>
      </c>
      <c r="BH80" s="85"/>
      <c r="BI80" s="158"/>
      <c r="BJ80" s="94"/>
    </row>
    <row r="81" spans="1:62" s="5" customFormat="1" x14ac:dyDescent="0.3">
      <c r="A81" s="21"/>
      <c r="B81" s="30" t="s">
        <v>49</v>
      </c>
      <c r="C81" s="30">
        <v>0.75</v>
      </c>
      <c r="F81" s="4"/>
      <c r="G81" s="90">
        <f ca="1">G34*$C$81</f>
        <v>138.75</v>
      </c>
      <c r="H81" s="90"/>
      <c r="I81" s="90">
        <f ca="1">I34*$C$81</f>
        <v>138.75</v>
      </c>
      <c r="M81" s="84">
        <f ca="1">M34*0.5</f>
        <v>114.5</v>
      </c>
      <c r="N81" s="90">
        <f ca="1">N34*$C$81</f>
        <v>171.75</v>
      </c>
      <c r="O81" s="84"/>
      <c r="P81" s="90">
        <f ca="1">P34*$C$81</f>
        <v>166.5</v>
      </c>
      <c r="S81" s="90">
        <f ca="1">(S34*$C$81)*0.333</f>
        <v>60.689250000000001</v>
      </c>
      <c r="T81" s="90">
        <f ca="1">(T34*$C$81)*0.333</f>
        <v>60.689250000000001</v>
      </c>
      <c r="U81" s="90">
        <f ca="1">(U34*$C$81)*0.333</f>
        <v>60.689250000000001</v>
      </c>
      <c r="V81" s="84"/>
      <c r="W81" s="84">
        <f ca="1">W34*$C$81</f>
        <v>138</v>
      </c>
      <c r="X81" s="85"/>
      <c r="Y81" s="85"/>
      <c r="Z81" s="85"/>
      <c r="AA81" s="84"/>
      <c r="AB81" s="84"/>
      <c r="AC81" s="84"/>
      <c r="AD81" s="84"/>
      <c r="AE81" s="85"/>
      <c r="AF81" s="85"/>
      <c r="AG81" s="85"/>
      <c r="AH81" s="84"/>
      <c r="AI81" s="84"/>
      <c r="AJ81" s="72"/>
      <c r="AK81" s="4"/>
      <c r="AL81" s="84"/>
      <c r="AM81" s="85"/>
      <c r="AN81" s="85"/>
      <c r="AO81" s="85"/>
      <c r="AP81" s="84"/>
      <c r="AQ81" s="84"/>
      <c r="AR81" s="84"/>
      <c r="AS81" s="84"/>
      <c r="AT81" s="85"/>
      <c r="AU81" s="85"/>
      <c r="AV81" s="85"/>
      <c r="AW81" s="84"/>
      <c r="AX81" s="84"/>
      <c r="AY81" s="84"/>
      <c r="AZ81" s="84"/>
      <c r="BA81" s="85"/>
      <c r="BB81" s="85"/>
      <c r="BC81" s="85"/>
      <c r="BD81" s="84"/>
      <c r="BE81" s="84"/>
      <c r="BF81" s="84"/>
      <c r="BG81" s="84"/>
      <c r="BH81" s="85"/>
      <c r="BI81" s="158"/>
      <c r="BJ81" s="94"/>
    </row>
    <row r="82" spans="1:62" s="5" customFormat="1" x14ac:dyDescent="0.3">
      <c r="A82" s="21"/>
      <c r="C82" s="149" t="s">
        <v>50</v>
      </c>
      <c r="F82" s="4"/>
      <c r="G82" s="84"/>
      <c r="H82" s="84"/>
      <c r="I82" s="84"/>
      <c r="M82" s="84"/>
      <c r="N82" s="84"/>
      <c r="O82" s="84"/>
      <c r="P82" s="84"/>
      <c r="S82" s="84"/>
      <c r="T82" s="84"/>
      <c r="U82" s="84"/>
      <c r="V82" s="84"/>
      <c r="W82" s="84"/>
      <c r="X82" s="85"/>
      <c r="Y82" s="85"/>
      <c r="Z82" s="85"/>
      <c r="AA82" s="84"/>
      <c r="AB82" s="84"/>
      <c r="AC82" s="84"/>
      <c r="AD82" s="84"/>
      <c r="AE82" s="85"/>
      <c r="AF82" s="85"/>
      <c r="AG82" s="85"/>
      <c r="AH82" s="84"/>
      <c r="AI82" s="84"/>
      <c r="AJ82" s="72"/>
      <c r="AK82" s="4"/>
      <c r="AL82" s="84"/>
      <c r="AM82" s="85"/>
      <c r="AN82" s="85"/>
      <c r="AO82" s="85"/>
      <c r="AP82" s="84"/>
      <c r="AQ82" s="84"/>
      <c r="AR82" s="84"/>
      <c r="AS82" s="84"/>
      <c r="AT82" s="85"/>
      <c r="AU82" s="85"/>
      <c r="AV82" s="85"/>
      <c r="AW82" s="84" t="s">
        <v>51</v>
      </c>
      <c r="AX82" s="84">
        <f>'SYC Camp Revenue '!AX59*'SYC Camp Revenue '!$C$66</f>
        <v>0</v>
      </c>
      <c r="AY82" s="84" t="s">
        <v>51</v>
      </c>
      <c r="AZ82" s="84">
        <f>'SYC Camp Revenue '!AZ59*'SYC Camp Revenue '!$C$66</f>
        <v>0</v>
      </c>
      <c r="BA82" s="85"/>
      <c r="BB82" s="85"/>
      <c r="BC82" s="85"/>
      <c r="BD82" s="84"/>
      <c r="BE82" s="84">
        <f>'SYC Camp Revenue '!BE59*'SYC Camp Revenue '!$C$66</f>
        <v>0</v>
      </c>
      <c r="BF82" s="84"/>
      <c r="BG82" s="84">
        <f>'SYC Camp Revenue '!BG59*'SYC Camp Revenue '!$C$66</f>
        <v>0</v>
      </c>
      <c r="BH82" s="85"/>
      <c r="BI82" s="158"/>
      <c r="BJ82" s="94"/>
    </row>
    <row r="83" spans="1:62" s="5" customFormat="1" x14ac:dyDescent="0.3">
      <c r="A83" s="3" t="s">
        <v>26</v>
      </c>
      <c r="B83" s="83">
        <v>350</v>
      </c>
      <c r="C83" s="8">
        <v>50</v>
      </c>
      <c r="D83" s="21"/>
      <c r="E83" s="10"/>
      <c r="F83" s="10"/>
      <c r="G83" s="46">
        <f ca="1">ROUNDUP(G34/$C$83,)*B83</f>
        <v>1400</v>
      </c>
      <c r="H83" s="10"/>
      <c r="I83" s="46">
        <f ca="1">ROUNDUP(I34/$C$83,)*$B$83</f>
        <v>1400</v>
      </c>
      <c r="J83" s="10"/>
      <c r="K83" s="10"/>
      <c r="L83" s="10"/>
      <c r="M83" s="46">
        <f ca="1">ROUNDUP(M34/$C$83,)*$B$83</f>
        <v>1750</v>
      </c>
      <c r="N83" s="46">
        <f ca="1">ROUNDUP(N34/$C$83,)*$B$83</f>
        <v>1750</v>
      </c>
      <c r="O83" s="10"/>
      <c r="P83" s="46">
        <f ca="1">ROUNDUP(P34/$C$83,)*$B$83</f>
        <v>1750</v>
      </c>
      <c r="Q83" s="10"/>
      <c r="R83" s="10"/>
      <c r="S83" s="46">
        <f ca="1">ROUNDUP((S34/3)/$C$83,)*$B$83</f>
        <v>700</v>
      </c>
      <c r="T83" s="46">
        <f ca="1">ROUNDUP((T34/3)/$C$83,)*$B$83</f>
        <v>700</v>
      </c>
      <c r="U83" s="46">
        <f ca="1">ROUNDUP((U34/3)/$C$83,)*$B$83</f>
        <v>700</v>
      </c>
      <c r="V83" s="10"/>
      <c r="W83" s="10" t="s">
        <v>52</v>
      </c>
      <c r="X83" s="10"/>
      <c r="Y83" s="10"/>
      <c r="Z83" s="10"/>
      <c r="AA83" s="10"/>
      <c r="AB83" s="46">
        <f ca="1">ROUNDUP(AB34/$C$83,)*$B$83</f>
        <v>1400</v>
      </c>
      <c r="AC83" s="10"/>
      <c r="AD83" s="46">
        <f ca="1">ROUNDUP(AD34/$C$83,)*$B$83</f>
        <v>1400</v>
      </c>
      <c r="AE83" s="10"/>
      <c r="AF83" s="10"/>
      <c r="AG83" s="10"/>
      <c r="AH83" s="46">
        <f ca="1">ROUNDUP(AH34/$C$83,)*$B$83</f>
        <v>1400</v>
      </c>
      <c r="AI83" s="46">
        <f ca="1">ROUNDUP(AI34/$C$83,)*$B$83</f>
        <v>1050</v>
      </c>
      <c r="AJ83" s="71">
        <f ca="1">SUM(E83:AI83)</f>
        <v>15400</v>
      </c>
      <c r="AK83" s="10"/>
      <c r="AL83" s="46">
        <f ca="1">ROUNDUP(AL34/$C$83,)*$B$83</f>
        <v>1400</v>
      </c>
      <c r="AM83" s="10"/>
      <c r="AN83" s="10"/>
      <c r="AO83" s="10"/>
      <c r="AP83" s="10"/>
      <c r="AQ83" s="46">
        <f ca="1">ROUNDUP(AQ34/$C$83,)*$B$83</f>
        <v>1400</v>
      </c>
      <c r="AR83" s="10"/>
      <c r="AS83" s="46">
        <f ca="1">ROUNDUP(AS34/$C$83,)*$B$83</f>
        <v>1750</v>
      </c>
      <c r="AT83" s="10"/>
      <c r="AU83" s="10"/>
      <c r="AV83" s="10"/>
      <c r="AW83" s="10" t="s">
        <v>53</v>
      </c>
      <c r="AX83" s="46">
        <f ca="1">ROUNDUP(AX34/$C$83,)*$B$83</f>
        <v>2450</v>
      </c>
      <c r="AY83" s="10" t="s">
        <v>53</v>
      </c>
      <c r="AZ83" s="46">
        <f ca="1">ROUNDUP(AZ34/$C$83,)*$B$83</f>
        <v>2800</v>
      </c>
      <c r="BA83" s="10"/>
      <c r="BB83" s="10"/>
      <c r="BC83" s="10"/>
      <c r="BD83" s="46"/>
      <c r="BE83" s="46">
        <f ca="1">ROUNDUP(BE34/$C$83,)*$B$83</f>
        <v>4200</v>
      </c>
      <c r="BF83" s="46"/>
      <c r="BG83" s="46">
        <f ca="1">ROUNDUP(BG34/$C$83,)*$B$83</f>
        <v>4900</v>
      </c>
      <c r="BH83" s="10">
        <f ca="1">(BH34/$C$83)*$B$83</f>
        <v>4907</v>
      </c>
      <c r="BI83" s="71">
        <f ca="1">SUM(AK83:BH83)</f>
        <v>23807</v>
      </c>
      <c r="BJ83" s="94">
        <f ca="1">BI83+AJ83</f>
        <v>39207</v>
      </c>
    </row>
    <row r="84" spans="1:62" s="5" customFormat="1" x14ac:dyDescent="0.3">
      <c r="A84" s="3" t="s">
        <v>54</v>
      </c>
      <c r="B84" s="7" t="s">
        <v>0</v>
      </c>
      <c r="C84" s="7"/>
      <c r="D84" s="3"/>
      <c r="E84" s="10"/>
      <c r="F84" s="10"/>
      <c r="G84" s="10">
        <f ca="1">G80*G81</f>
        <v>3468.75</v>
      </c>
      <c r="H84" s="10"/>
      <c r="I84" s="10">
        <f ca="1">I80*I81</f>
        <v>4162.5</v>
      </c>
      <c r="J84" s="10"/>
      <c r="K84" s="10"/>
      <c r="L84" s="10"/>
      <c r="M84" s="10">
        <f t="shared" ref="M84:N84" ca="1" si="143">M80*M81</f>
        <v>2862.5</v>
      </c>
      <c r="N84" s="10">
        <f t="shared" ca="1" si="143"/>
        <v>4894.875</v>
      </c>
      <c r="O84" s="10"/>
      <c r="P84" s="10">
        <f ca="1">P80*P81</f>
        <v>2888.7750000000001</v>
      </c>
      <c r="Q84" s="10"/>
      <c r="R84" s="10"/>
      <c r="S84" s="10">
        <f ca="1">S80*S81</f>
        <v>2427.5700000000002</v>
      </c>
      <c r="T84" s="10">
        <f t="shared" ref="T84:U84" ca="1" si="144">T80*T81</f>
        <v>2427.5700000000002</v>
      </c>
      <c r="U84" s="10">
        <f t="shared" ca="1" si="144"/>
        <v>2427.5700000000002</v>
      </c>
      <c r="V84" s="10"/>
      <c r="W84" s="10"/>
      <c r="X84" s="10"/>
      <c r="Y84" s="10"/>
      <c r="Z84" s="10"/>
      <c r="AA84" s="10"/>
      <c r="AB84" s="10">
        <f ca="1">AB80*AB34</f>
        <v>0</v>
      </c>
      <c r="AC84" s="10"/>
      <c r="AD84" s="10">
        <f ca="1">AD80*AD34</f>
        <v>3440</v>
      </c>
      <c r="AE84" s="10"/>
      <c r="AF84" s="10"/>
      <c r="AG84" s="10"/>
      <c r="AH84" s="10">
        <f ca="1">AH80*AH34</f>
        <v>4575</v>
      </c>
      <c r="AI84" s="10">
        <f ca="1">AI80*AI34</f>
        <v>3725</v>
      </c>
      <c r="AJ84" s="71">
        <f ca="1">SUM(E84:AI84)</f>
        <v>37300.11</v>
      </c>
      <c r="AK84" s="10"/>
      <c r="AL84" s="10">
        <f ca="1">AL80*AL34</f>
        <v>4530</v>
      </c>
      <c r="AM84" s="10"/>
      <c r="AN84" s="10"/>
      <c r="AO84" s="10"/>
      <c r="AP84" s="10"/>
      <c r="AQ84" s="10">
        <f ca="1">AQ80*AQ34</f>
        <v>15280</v>
      </c>
      <c r="AR84" s="10"/>
      <c r="AS84" s="10">
        <f ca="1">AS80*AS34</f>
        <v>3834.3500000000004</v>
      </c>
      <c r="AT84" s="10"/>
      <c r="AU84" s="10"/>
      <c r="AV84" s="10"/>
      <c r="AW84" s="10"/>
      <c r="AX84" s="10">
        <f ca="1">AX80*AX34</f>
        <v>9433.5</v>
      </c>
      <c r="AY84" s="10"/>
      <c r="AZ84" s="10">
        <f ca="1">AZ80*AZ34</f>
        <v>5835</v>
      </c>
      <c r="BA84" s="10"/>
      <c r="BB84" s="10"/>
      <c r="BC84" s="10"/>
      <c r="BD84" s="10"/>
      <c r="BE84" s="10">
        <f ca="1">BE80*BE34</f>
        <v>14225</v>
      </c>
      <c r="BF84" s="10"/>
      <c r="BG84" s="10">
        <f ca="1">BG80*BG34</f>
        <v>0</v>
      </c>
      <c r="BH84" s="10"/>
      <c r="BI84" s="71">
        <f ca="1">SUM(AK84:BH84)</f>
        <v>53137.85</v>
      </c>
      <c r="BJ84" s="94">
        <f ca="1">BI84+AJ84</f>
        <v>90437.959999999992</v>
      </c>
    </row>
    <row r="85" spans="1:62" s="5" customFormat="1" x14ac:dyDescent="0.3">
      <c r="A85" s="3" t="s">
        <v>0</v>
      </c>
      <c r="B85" s="7"/>
      <c r="C85" s="8" t="s">
        <v>0</v>
      </c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73" t="s">
        <v>0</v>
      </c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73" t="s">
        <v>0</v>
      </c>
      <c r="BJ85" s="94" t="s">
        <v>0</v>
      </c>
    </row>
    <row r="86" spans="1:62" s="5" customFormat="1" x14ac:dyDescent="0.3">
      <c r="A86" s="3"/>
      <c r="B86" s="7"/>
      <c r="C86" s="8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73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73"/>
      <c r="BJ86" s="94"/>
    </row>
    <row r="87" spans="1:62" s="5" customFormat="1" x14ac:dyDescent="0.3">
      <c r="A87" s="21" t="str">
        <f>"Total "&amp;A79</f>
        <v>Total Weekday Activity Fees</v>
      </c>
      <c r="B87" s="22"/>
      <c r="C87" s="39" t="s">
        <v>0</v>
      </c>
      <c r="D87" s="40"/>
      <c r="E87" s="34">
        <f t="shared" ref="E87:AI87" si="145">SUM(E83:E84)</f>
        <v>0</v>
      </c>
      <c r="F87" s="34">
        <f t="shared" si="145"/>
        <v>0</v>
      </c>
      <c r="G87" s="34">
        <f t="shared" ca="1" si="145"/>
        <v>4868.75</v>
      </c>
      <c r="H87" s="34">
        <f t="shared" si="145"/>
        <v>0</v>
      </c>
      <c r="I87" s="34">
        <f t="shared" ca="1" si="145"/>
        <v>5562.5</v>
      </c>
      <c r="J87" s="34">
        <f t="shared" si="145"/>
        <v>0</v>
      </c>
      <c r="K87" s="34">
        <f t="shared" si="145"/>
        <v>0</v>
      </c>
      <c r="L87" s="34">
        <f t="shared" si="145"/>
        <v>0</v>
      </c>
      <c r="M87" s="34">
        <f t="shared" ca="1" si="145"/>
        <v>4612.5</v>
      </c>
      <c r="N87" s="34">
        <f t="shared" ca="1" si="145"/>
        <v>6644.875</v>
      </c>
      <c r="O87" s="34">
        <f t="shared" si="145"/>
        <v>0</v>
      </c>
      <c r="P87" s="34">
        <f t="shared" ca="1" si="145"/>
        <v>4638.7749999999996</v>
      </c>
      <c r="Q87" s="34">
        <f t="shared" si="145"/>
        <v>0</v>
      </c>
      <c r="R87" s="34">
        <f t="shared" si="145"/>
        <v>0</v>
      </c>
      <c r="S87" s="34">
        <f t="shared" ca="1" si="145"/>
        <v>3127.57</v>
      </c>
      <c r="T87" s="34">
        <f t="shared" ca="1" si="145"/>
        <v>3127.57</v>
      </c>
      <c r="U87" s="34">
        <f t="shared" ca="1" si="145"/>
        <v>3127.57</v>
      </c>
      <c r="V87" s="34">
        <f t="shared" si="145"/>
        <v>0</v>
      </c>
      <c r="W87" s="34">
        <f t="shared" si="145"/>
        <v>0</v>
      </c>
      <c r="X87" s="34">
        <f t="shared" si="145"/>
        <v>0</v>
      </c>
      <c r="Y87" s="34">
        <f t="shared" si="145"/>
        <v>0</v>
      </c>
      <c r="Z87" s="34">
        <f t="shared" si="145"/>
        <v>0</v>
      </c>
      <c r="AA87" s="34">
        <f t="shared" si="145"/>
        <v>0</v>
      </c>
      <c r="AB87" s="34">
        <f t="shared" ca="1" si="145"/>
        <v>1400</v>
      </c>
      <c r="AC87" s="34">
        <f t="shared" si="145"/>
        <v>0</v>
      </c>
      <c r="AD87" s="34">
        <f t="shared" ca="1" si="145"/>
        <v>4840</v>
      </c>
      <c r="AE87" s="34">
        <f t="shared" si="145"/>
        <v>0</v>
      </c>
      <c r="AF87" s="34">
        <f t="shared" si="145"/>
        <v>0</v>
      </c>
      <c r="AG87" s="34">
        <f t="shared" si="145"/>
        <v>0</v>
      </c>
      <c r="AH87" s="34">
        <f t="shared" ca="1" si="145"/>
        <v>5975</v>
      </c>
      <c r="AI87" s="34">
        <f t="shared" ca="1" si="145"/>
        <v>4775</v>
      </c>
      <c r="AJ87" s="73">
        <f ca="1">SUM(E87:AI87)</f>
        <v>52700.11</v>
      </c>
      <c r="AK87" s="34">
        <f t="shared" ref="AK87:BH87" si="146">SUM(AK83:AK84)</f>
        <v>0</v>
      </c>
      <c r="AL87" s="34">
        <f t="shared" ca="1" si="146"/>
        <v>5930</v>
      </c>
      <c r="AM87" s="34">
        <f t="shared" si="146"/>
        <v>0</v>
      </c>
      <c r="AN87" s="34">
        <f t="shared" si="146"/>
        <v>0</v>
      </c>
      <c r="AO87" s="34">
        <f t="shared" si="146"/>
        <v>0</v>
      </c>
      <c r="AP87" s="34">
        <f t="shared" si="146"/>
        <v>0</v>
      </c>
      <c r="AQ87" s="34">
        <f t="shared" ca="1" si="146"/>
        <v>16680</v>
      </c>
      <c r="AR87" s="34">
        <f t="shared" si="146"/>
        <v>0</v>
      </c>
      <c r="AS87" s="34">
        <f t="shared" ca="1" si="146"/>
        <v>5584.35</v>
      </c>
      <c r="AT87" s="34">
        <f t="shared" si="146"/>
        <v>0</v>
      </c>
      <c r="AU87" s="34">
        <f t="shared" si="146"/>
        <v>0</v>
      </c>
      <c r="AV87" s="34">
        <f t="shared" si="146"/>
        <v>0</v>
      </c>
      <c r="AW87" s="34">
        <f t="shared" si="146"/>
        <v>0</v>
      </c>
      <c r="AX87" s="34">
        <f t="shared" ca="1" si="146"/>
        <v>11883.5</v>
      </c>
      <c r="AY87" s="34">
        <f t="shared" si="146"/>
        <v>0</v>
      </c>
      <c r="AZ87" s="34">
        <f t="shared" ca="1" si="146"/>
        <v>8635</v>
      </c>
      <c r="BA87" s="34">
        <f t="shared" si="146"/>
        <v>0</v>
      </c>
      <c r="BB87" s="34">
        <f t="shared" si="146"/>
        <v>0</v>
      </c>
      <c r="BC87" s="34">
        <f t="shared" si="146"/>
        <v>0</v>
      </c>
      <c r="BD87" s="34">
        <f t="shared" si="146"/>
        <v>0</v>
      </c>
      <c r="BE87" s="34">
        <f t="shared" ca="1" si="146"/>
        <v>18425</v>
      </c>
      <c r="BF87" s="34">
        <f t="shared" si="146"/>
        <v>0</v>
      </c>
      <c r="BG87" s="34">
        <f t="shared" ca="1" si="146"/>
        <v>4900</v>
      </c>
      <c r="BH87" s="34">
        <f t="shared" ca="1" si="146"/>
        <v>4907</v>
      </c>
      <c r="BI87" s="73">
        <f ca="1">SUM(AK87:BH87)</f>
        <v>76944.850000000006</v>
      </c>
      <c r="BJ87" s="91">
        <f ca="1">BI87+AJ87</f>
        <v>129644.96</v>
      </c>
    </row>
    <row r="88" spans="1:62" s="5" customFormat="1" x14ac:dyDescent="0.3">
      <c r="A88" s="3"/>
      <c r="B88" s="7"/>
      <c r="C88" s="7"/>
      <c r="D88" s="3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73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58"/>
      <c r="BJ88" s="94"/>
    </row>
    <row r="89" spans="1:62" s="5" customFormat="1" x14ac:dyDescent="0.3">
      <c r="A89" s="21" t="s">
        <v>55</v>
      </c>
      <c r="B89" s="48" t="s">
        <v>56</v>
      </c>
      <c r="C89" s="38" t="s">
        <v>57</v>
      </c>
      <c r="D89" s="3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73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58"/>
      <c r="BJ89" s="94"/>
    </row>
    <row r="90" spans="1:62" s="5" customFormat="1" x14ac:dyDescent="0.3">
      <c r="A90" s="21"/>
      <c r="B90" s="48"/>
      <c r="C90" s="38"/>
      <c r="D90" s="3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73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58"/>
      <c r="BJ90" s="94"/>
    </row>
    <row r="91" spans="1:62" s="33" customFormat="1" x14ac:dyDescent="0.3">
      <c r="A91" s="97" t="s">
        <v>58</v>
      </c>
      <c r="B91" s="150">
        <f>31*6</f>
        <v>186</v>
      </c>
      <c r="C91" s="87">
        <v>14</v>
      </c>
      <c r="D91" s="3"/>
      <c r="E91" s="10" t="s">
        <v>0</v>
      </c>
      <c r="F91" s="10">
        <f>(F34/$C$91)*$B$91</f>
        <v>2006.1428571428573</v>
      </c>
      <c r="G91" s="10" t="s">
        <v>0</v>
      </c>
      <c r="H91" s="10">
        <f ca="1">(H34/$C$91)*$B$91</f>
        <v>2457.8571428571427</v>
      </c>
      <c r="I91" s="10" t="s">
        <v>0</v>
      </c>
      <c r="J91" s="10"/>
      <c r="K91" s="10"/>
      <c r="L91" s="10" t="s">
        <v>0</v>
      </c>
      <c r="M91" s="10">
        <f ca="1">(M34/$C$91)*$B$91</f>
        <v>3042.4285714285716</v>
      </c>
      <c r="N91" s="10" t="s">
        <v>0</v>
      </c>
      <c r="O91" s="10">
        <f ca="1">(O34/$C$91)*$B$91</f>
        <v>3042.4285714285716</v>
      </c>
      <c r="P91" s="10" t="s">
        <v>0</v>
      </c>
      <c r="Q91" s="10"/>
      <c r="R91" s="10"/>
      <c r="S91" s="10" t="s">
        <v>0</v>
      </c>
      <c r="T91" s="10">
        <f ca="1">(T34/$C$91)*$B$91</f>
        <v>3228.4285714285716</v>
      </c>
      <c r="U91" s="10" t="s">
        <v>0</v>
      </c>
      <c r="V91" s="10">
        <f ca="1">(V34/$C$91)*$B$91</f>
        <v>2444.5714285714284</v>
      </c>
      <c r="W91" s="10" t="s">
        <v>0</v>
      </c>
      <c r="X91" s="10"/>
      <c r="Y91" s="10"/>
      <c r="Z91" s="10" t="s">
        <v>0</v>
      </c>
      <c r="AA91" s="10">
        <f ca="1">(AA34/$C$91)*$B$91</f>
        <v>2285.1428571428573</v>
      </c>
      <c r="AB91" s="10" t="s">
        <v>0</v>
      </c>
      <c r="AC91" s="10">
        <f ca="1">(AC34/$C$91)*$B$91</f>
        <v>2285.1428571428573</v>
      </c>
      <c r="AD91" s="10" t="s">
        <v>0</v>
      </c>
      <c r="AE91" s="10"/>
      <c r="AF91" s="10"/>
      <c r="AG91" s="10" t="s">
        <v>0</v>
      </c>
      <c r="AH91" s="10">
        <f ca="1">(AH34/$C$91)*$B$91</f>
        <v>2431.2857142857142</v>
      </c>
      <c r="AI91" s="10" t="s">
        <v>0</v>
      </c>
      <c r="AJ91" s="71">
        <f ca="1">SUM(E91:AI91)</f>
        <v>23223.428571428572</v>
      </c>
      <c r="AK91" s="10">
        <f ca="1">(AK34/$C$91)*$B$91</f>
        <v>1979.5714285714284</v>
      </c>
      <c r="AL91" s="10" t="s">
        <v>0</v>
      </c>
      <c r="AM91" s="10"/>
      <c r="AN91" s="10"/>
      <c r="AO91" s="10" t="s">
        <v>0</v>
      </c>
      <c r="AP91" s="10">
        <f ca="1">(AP34/$C$91)*$B$91</f>
        <v>2378.1428571428573</v>
      </c>
      <c r="AQ91" s="10" t="s">
        <v>0</v>
      </c>
      <c r="AR91" s="10">
        <f ca="1">(AR34/$C$91)*$B$91</f>
        <v>2723.5714285714284</v>
      </c>
      <c r="AS91" s="10" t="s">
        <v>0</v>
      </c>
      <c r="AT91" s="10"/>
      <c r="AU91" s="10"/>
      <c r="AV91" s="10" t="s">
        <v>0</v>
      </c>
      <c r="AW91" s="10">
        <f ca="1">(AW34/$C$91)*$B$91</f>
        <v>4052.1428571428569</v>
      </c>
      <c r="AX91" s="10" t="s">
        <v>0</v>
      </c>
      <c r="AY91" s="10">
        <f ca="1">(AY34/$C$91)*$B$91</f>
        <v>4769.5714285714284</v>
      </c>
      <c r="AZ91" s="10" t="s">
        <v>0</v>
      </c>
      <c r="BA91" s="10"/>
      <c r="BB91" s="10"/>
      <c r="BC91" s="10" t="s">
        <v>0</v>
      </c>
      <c r="BD91" s="10">
        <f ca="1">(BD34/$C$91)*$B$91</f>
        <v>7028.1428571428569</v>
      </c>
      <c r="BE91" s="10" t="s">
        <v>0</v>
      </c>
      <c r="BF91" s="10">
        <f ca="1">(BF34/$C$91)*$B$91</f>
        <v>8117.5714285714294</v>
      </c>
      <c r="BG91" s="10" t="s">
        <v>0</v>
      </c>
      <c r="BH91" s="10"/>
      <c r="BI91" s="71">
        <f ca="1">SUM(AK91:BH91)</f>
        <v>31048.714285714283</v>
      </c>
      <c r="BJ91" s="94">
        <f ca="1">BI91+AJ91</f>
        <v>54272.142857142855</v>
      </c>
    </row>
    <row r="92" spans="1:62" s="5" customFormat="1" x14ac:dyDescent="0.3">
      <c r="A92" s="97" t="s">
        <v>59</v>
      </c>
      <c r="B92" s="150">
        <f>31*5.5</f>
        <v>170.5</v>
      </c>
      <c r="C92" s="87">
        <v>14</v>
      </c>
      <c r="D92" s="3"/>
      <c r="E92" s="10">
        <f>(E34/$C$92)*$B$92</f>
        <v>1838.9642857142858</v>
      </c>
      <c r="F92" s="10"/>
      <c r="G92" s="10">
        <f ca="1">(G34/$C$92)*$B$92</f>
        <v>2253.0357142857142</v>
      </c>
      <c r="H92" s="10"/>
      <c r="I92" s="10">
        <f ca="1">(I34/$C$92)*$B$92</f>
        <v>2253.0357142857142</v>
      </c>
      <c r="J92" s="10"/>
      <c r="K92" s="10"/>
      <c r="L92" s="10">
        <f ca="1">(L34/$C$92)*$B$92</f>
        <v>2788.8928571428573</v>
      </c>
      <c r="M92" s="10"/>
      <c r="N92" s="10">
        <f ca="1">(N34/$C$92)*$B$92</f>
        <v>2788.8928571428573</v>
      </c>
      <c r="O92" s="10"/>
      <c r="P92" s="10">
        <f ca="1">(P34/$C$92)*$B$92</f>
        <v>2703.6428571428573</v>
      </c>
      <c r="Q92" s="10"/>
      <c r="R92" s="10"/>
      <c r="S92" s="10">
        <f ca="1">(S34/$C$92)*$B$92</f>
        <v>2959.3928571428573</v>
      </c>
      <c r="T92" s="10"/>
      <c r="U92" s="10">
        <f ca="1">(U34/$C$92)*$B$92</f>
        <v>2959.3928571428573</v>
      </c>
      <c r="V92" s="10"/>
      <c r="W92" s="10">
        <f ca="1">(W34/$C$92)*$B$92</f>
        <v>2240.8571428571427</v>
      </c>
      <c r="X92" s="10"/>
      <c r="Y92" s="10"/>
      <c r="Z92" s="10">
        <f ca="1">(Z34/$C$92)*$B$92</f>
        <v>2094.7142857142858</v>
      </c>
      <c r="AA92" s="10"/>
      <c r="AB92" s="10">
        <f ca="1">(AB34/$C$92)*$B$92</f>
        <v>2094.7142857142858</v>
      </c>
      <c r="AC92" s="10"/>
      <c r="AD92" s="10">
        <f ca="1">(AD34/$C$92)*$B$92</f>
        <v>2094.7142857142858</v>
      </c>
      <c r="AE92" s="10"/>
      <c r="AF92" s="10"/>
      <c r="AG92" s="10">
        <f ca="1">(AG34/$C$92)*$B$92</f>
        <v>2228.6785714285716</v>
      </c>
      <c r="AH92" s="10"/>
      <c r="AI92" s="10">
        <f ca="1">(AI34/$C$92)*$B$92</f>
        <v>1814.6071428571427</v>
      </c>
      <c r="AJ92" s="71">
        <f ca="1">SUM(E92:AI92)</f>
        <v>33113.535714285717</v>
      </c>
      <c r="AK92" s="10"/>
      <c r="AL92" s="10">
        <f ca="1">(AL34/$C$92)*$B$92</f>
        <v>1838.9642857142858</v>
      </c>
      <c r="AM92" s="10"/>
      <c r="AN92" s="10"/>
      <c r="AO92" s="10">
        <f ca="1">(AO34/$C$92)*$B$92</f>
        <v>2058.1785714285716</v>
      </c>
      <c r="AP92" s="10"/>
      <c r="AQ92" s="10">
        <f ca="1">(AQ34/$C$92)*$B$92</f>
        <v>2326.1071428571427</v>
      </c>
      <c r="AR92" s="10"/>
      <c r="AS92" s="10">
        <f ca="1">(AS34/$C$92)*$B$92</f>
        <v>2691.4642857142858</v>
      </c>
      <c r="AT92" s="10"/>
      <c r="AU92" s="10"/>
      <c r="AV92" s="10">
        <f ca="1">(AV34/$C$92)*$B$92</f>
        <v>3422.1785714285716</v>
      </c>
      <c r="AW92" s="10"/>
      <c r="AX92" s="10">
        <f ca="1">(AX34/$C$92)*$B$92</f>
        <v>4031.1071428571427</v>
      </c>
      <c r="AY92" s="10"/>
      <c r="AZ92" s="10">
        <f ca="1">(AZ34/$C$92)*$B$92</f>
        <v>4737.4642857142853</v>
      </c>
      <c r="BA92" s="10"/>
      <c r="BB92" s="10"/>
      <c r="BC92" s="10">
        <f ca="1">(BC34/$C$92)*$B$92</f>
        <v>5979.6785714285706</v>
      </c>
      <c r="BD92" s="10"/>
      <c r="BE92" s="10">
        <f ca="1">(BE34/$C$92)*$B$92</f>
        <v>6929.6071428571431</v>
      </c>
      <c r="BF92" s="10"/>
      <c r="BG92" s="10">
        <f ca="1">(BG34/$C$92)*$B$92</f>
        <v>7976.9642857142853</v>
      </c>
      <c r="BH92" s="10">
        <f ca="1">(BH34/$C$92)*$B$92</f>
        <v>8537.1785714285706</v>
      </c>
      <c r="BI92" s="71">
        <f ca="1">SUM(AK92:BH92)</f>
        <v>50528.892857142855</v>
      </c>
      <c r="BJ92" s="94">
        <f ca="1">BI92+AJ92</f>
        <v>83642.42857142858</v>
      </c>
    </row>
    <row r="93" spans="1:62" s="5" customFormat="1" x14ac:dyDescent="0.3">
      <c r="A93" s="97" t="s">
        <v>60</v>
      </c>
      <c r="B93" s="150">
        <f>16*8</f>
        <v>128</v>
      </c>
      <c r="C93" s="87">
        <v>14</v>
      </c>
      <c r="D93" s="3"/>
      <c r="E93" s="10">
        <f>E34/$C$93*$B$93</f>
        <v>1380.5714285714287</v>
      </c>
      <c r="F93" s="10">
        <f>F34/$C$93*$B$93</f>
        <v>1380.5714285714287</v>
      </c>
      <c r="G93" s="10">
        <f ca="1">G34/$C$93*$B$93</f>
        <v>1691.4285714285713</v>
      </c>
      <c r="H93" s="10">
        <f ca="1">H34/$C$93*$B$93</f>
        <v>1691.4285714285713</v>
      </c>
      <c r="I93" s="10">
        <f ca="1">I34/$C$93*$B$93</f>
        <v>1691.4285714285713</v>
      </c>
      <c r="J93" s="10"/>
      <c r="K93" s="10"/>
      <c r="L93" s="10">
        <f ca="1">L34/$C$93*$B$93</f>
        <v>2093.7142857142858</v>
      </c>
      <c r="M93" s="10">
        <f ca="1">M34/$C$93*$B$93</f>
        <v>2093.7142857142858</v>
      </c>
      <c r="N93" s="10">
        <f ca="1">N34/$C$93*$B$93</f>
        <v>2093.7142857142858</v>
      </c>
      <c r="O93" s="10">
        <f ca="1">O34/$C$93*$B$93</f>
        <v>2093.7142857142858</v>
      </c>
      <c r="P93" s="10">
        <f ca="1">P34/$C$93*$B$93</f>
        <v>2029.7142857142858</v>
      </c>
      <c r="Q93" s="10"/>
      <c r="R93" s="10"/>
      <c r="S93" s="10">
        <f ca="1">S34/$C$93*$B$93</f>
        <v>2221.7142857142858</v>
      </c>
      <c r="T93" s="10">
        <f ca="1">T34/$C$93*$B$93</f>
        <v>2221.7142857142858</v>
      </c>
      <c r="U93" s="10">
        <f ca="1">U34/$C$93*$B$93</f>
        <v>2221.7142857142858</v>
      </c>
      <c r="V93" s="10">
        <f ca="1">V34/$C$93*$B$93</f>
        <v>1682.2857142857142</v>
      </c>
      <c r="W93" s="10">
        <f ca="1">W34/$C$93*$B$93</f>
        <v>1682.2857142857142</v>
      </c>
      <c r="X93" s="10"/>
      <c r="Y93" s="10"/>
      <c r="Z93" s="10">
        <f ca="1">Z34/$C$93*$B$93</f>
        <v>1572.5714285714287</v>
      </c>
      <c r="AA93" s="10">
        <f ca="1">AA34/$C$93*$B$93</f>
        <v>1572.5714285714287</v>
      </c>
      <c r="AB93" s="10">
        <f ca="1">AB34/$C$93*$B$93</f>
        <v>1572.5714285714287</v>
      </c>
      <c r="AC93" s="10">
        <f ca="1">AC34/$C$93*$B$93</f>
        <v>1572.5714285714287</v>
      </c>
      <c r="AD93" s="10">
        <f ca="1">AD34/$C$93*$B$93</f>
        <v>1572.5714285714287</v>
      </c>
      <c r="AE93" s="10"/>
      <c r="AF93" s="10"/>
      <c r="AG93" s="10">
        <f ca="1">AG34/$C$93*$B$93</f>
        <v>1673.1428571428571</v>
      </c>
      <c r="AH93" s="10">
        <f ca="1">AH34/$C$93*$B$93</f>
        <v>1673.1428571428571</v>
      </c>
      <c r="AI93" s="10">
        <f ca="1">AI34/$C$93*$B$93</f>
        <v>1362.2857142857142</v>
      </c>
      <c r="AJ93" s="71">
        <f ca="1">SUM(E93:AI93)</f>
        <v>40841.142857142855</v>
      </c>
      <c r="AK93" s="10">
        <f ca="1">AK34/$C$93*$B$93</f>
        <v>1362.2857142857142</v>
      </c>
      <c r="AL93" s="10">
        <f ca="1">AL34/$C$93*$B$93</f>
        <v>1380.5714285714287</v>
      </c>
      <c r="AM93" s="10"/>
      <c r="AN93" s="10"/>
      <c r="AO93" s="10">
        <f ca="1">AO34/$C$93*$B$93</f>
        <v>1545.1428571428571</v>
      </c>
      <c r="AP93" s="10">
        <f ca="1">AP34/$C$93*$B$93</f>
        <v>1636.5714285714287</v>
      </c>
      <c r="AQ93" s="10">
        <f ca="1">AQ34/$C$93*$B$93</f>
        <v>1746.2857142857142</v>
      </c>
      <c r="AR93" s="10">
        <f ca="1">AR34/$C$93*$B$93</f>
        <v>1874.2857142857142</v>
      </c>
      <c r="AS93" s="10">
        <f ca="1">AS34/$C$93*$B$93</f>
        <v>2020.5714285714287</v>
      </c>
      <c r="AT93" s="10"/>
      <c r="AU93" s="10"/>
      <c r="AV93" s="10">
        <f ca="1">AV34/$C$93*$B$93</f>
        <v>2569.1428571428573</v>
      </c>
      <c r="AW93" s="10">
        <f ca="1">AW34/$C$93*$B$93</f>
        <v>2788.5714285714284</v>
      </c>
      <c r="AX93" s="10">
        <f ca="1">AX34/$C$93*$B$93</f>
        <v>3026.2857142857142</v>
      </c>
      <c r="AY93" s="10">
        <f ca="1">AY34/$C$93*$B$93</f>
        <v>3282.2857142857142</v>
      </c>
      <c r="AZ93" s="10">
        <f ca="1">AZ34/$C$93*$B$93</f>
        <v>3556.5714285714284</v>
      </c>
      <c r="BA93" s="10"/>
      <c r="BB93" s="10"/>
      <c r="BC93" s="10">
        <f ca="1">BC34/$C$93*$B$93</f>
        <v>4489.1428571428569</v>
      </c>
      <c r="BD93" s="10">
        <f ca="1">BD34/$C$93*$B$93</f>
        <v>4836.5714285714284</v>
      </c>
      <c r="BE93" s="10">
        <f ca="1">BE34/$C$93*$B$93</f>
        <v>5202.2857142857147</v>
      </c>
      <c r="BF93" s="10">
        <f ca="1">BF34/$C$93*$B$93</f>
        <v>5586.2857142857147</v>
      </c>
      <c r="BG93" s="10">
        <f ca="1">BG34/$C$93*$B$93</f>
        <v>5988.5714285714284</v>
      </c>
      <c r="BH93" s="10">
        <f ca="1">(BH34/$B$93)*$C$93</f>
        <v>76.671875</v>
      </c>
      <c r="BI93" s="71">
        <f ca="1">SUM(AK93:BH93)</f>
        <v>52968.100446428572</v>
      </c>
      <c r="BJ93" s="94">
        <f ca="1">BI93+AJ93</f>
        <v>93809.24330357142</v>
      </c>
    </row>
    <row r="94" spans="1:62" s="5" customFormat="1" x14ac:dyDescent="0.3">
      <c r="A94" s="97" t="s">
        <v>61</v>
      </c>
      <c r="B94" s="150"/>
      <c r="C94" s="87"/>
      <c r="D94" s="3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71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71"/>
      <c r="BJ94" s="94"/>
    </row>
    <row r="95" spans="1:62" s="5" customFormat="1" x14ac:dyDescent="0.3">
      <c r="A95" s="97"/>
      <c r="B95" s="150"/>
      <c r="C95" s="87"/>
      <c r="D95" s="3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71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71"/>
      <c r="BJ95" s="94"/>
    </row>
    <row r="96" spans="1:62" s="42" customFormat="1" x14ac:dyDescent="0.3">
      <c r="A96" s="97"/>
      <c r="B96" s="86"/>
      <c r="C96" s="87"/>
      <c r="D96" s="3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71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71"/>
      <c r="BJ96" s="94"/>
    </row>
    <row r="97" spans="1:62" s="42" customFormat="1" x14ac:dyDescent="0.3">
      <c r="A97" s="21" t="str">
        <f>"Total "&amp;A89</f>
        <v>Total Weekday Academic Program Fees</v>
      </c>
      <c r="B97" s="22"/>
      <c r="C97" s="22"/>
      <c r="D97" s="21"/>
      <c r="E97" s="34">
        <f t="shared" ref="E97:AI97" si="147">SUM(E91:E96)</f>
        <v>3219.5357142857147</v>
      </c>
      <c r="F97" s="34">
        <f t="shared" si="147"/>
        <v>3386.7142857142862</v>
      </c>
      <c r="G97" s="34">
        <f t="shared" ca="1" si="147"/>
        <v>3944.4642857142853</v>
      </c>
      <c r="H97" s="34">
        <f t="shared" ca="1" si="147"/>
        <v>4149.2857142857138</v>
      </c>
      <c r="I97" s="34">
        <f t="shared" ca="1" si="147"/>
        <v>3944.4642857142853</v>
      </c>
      <c r="J97" s="34">
        <f t="shared" si="147"/>
        <v>0</v>
      </c>
      <c r="K97" s="34">
        <f t="shared" si="147"/>
        <v>0</v>
      </c>
      <c r="L97" s="34">
        <f t="shared" ca="1" si="147"/>
        <v>4882.6071428571431</v>
      </c>
      <c r="M97" s="34">
        <f t="shared" ca="1" si="147"/>
        <v>5136.1428571428569</v>
      </c>
      <c r="N97" s="34">
        <f t="shared" ca="1" si="147"/>
        <v>4882.6071428571431</v>
      </c>
      <c r="O97" s="34">
        <f t="shared" ca="1" si="147"/>
        <v>5136.1428571428569</v>
      </c>
      <c r="P97" s="34">
        <f t="shared" ca="1" si="147"/>
        <v>4733.3571428571431</v>
      </c>
      <c r="Q97" s="34">
        <f t="shared" si="147"/>
        <v>0</v>
      </c>
      <c r="R97" s="34">
        <f t="shared" si="147"/>
        <v>0</v>
      </c>
      <c r="S97" s="34">
        <f t="shared" ca="1" si="147"/>
        <v>5181.1071428571431</v>
      </c>
      <c r="T97" s="34">
        <f t="shared" ca="1" si="147"/>
        <v>5450.1428571428569</v>
      </c>
      <c r="U97" s="34">
        <f t="shared" ca="1" si="147"/>
        <v>5181.1071428571431</v>
      </c>
      <c r="V97" s="34">
        <f t="shared" ca="1" si="147"/>
        <v>4126.8571428571431</v>
      </c>
      <c r="W97" s="34">
        <f t="shared" ca="1" si="147"/>
        <v>3923.1428571428569</v>
      </c>
      <c r="X97" s="34">
        <f t="shared" si="147"/>
        <v>0</v>
      </c>
      <c r="Y97" s="34">
        <f t="shared" si="147"/>
        <v>0</v>
      </c>
      <c r="Z97" s="34">
        <f t="shared" ca="1" si="147"/>
        <v>3667.2857142857147</v>
      </c>
      <c r="AA97" s="34">
        <f t="shared" ca="1" si="147"/>
        <v>3857.7142857142862</v>
      </c>
      <c r="AB97" s="34">
        <f t="shared" ca="1" si="147"/>
        <v>3667.2857142857147</v>
      </c>
      <c r="AC97" s="34">
        <f t="shared" ca="1" si="147"/>
        <v>3857.7142857142862</v>
      </c>
      <c r="AD97" s="34">
        <f t="shared" ca="1" si="147"/>
        <v>3667.2857142857147</v>
      </c>
      <c r="AE97" s="34">
        <f t="shared" si="147"/>
        <v>0</v>
      </c>
      <c r="AF97" s="34">
        <f t="shared" si="147"/>
        <v>0</v>
      </c>
      <c r="AG97" s="34">
        <f t="shared" ca="1" si="147"/>
        <v>3901.8214285714284</v>
      </c>
      <c r="AH97" s="34">
        <f t="shared" ca="1" si="147"/>
        <v>4104.4285714285716</v>
      </c>
      <c r="AI97" s="34">
        <f t="shared" ca="1" si="147"/>
        <v>3176.8928571428569</v>
      </c>
      <c r="AJ97" s="73">
        <f ca="1">SUM(E97:AI97)</f>
        <v>97178.107142857145</v>
      </c>
      <c r="AK97" s="34">
        <f t="shared" ref="AK97:BH97" ca="1" si="148">SUM(AK91:AK96)</f>
        <v>3341.8571428571427</v>
      </c>
      <c r="AL97" s="34">
        <f t="shared" ca="1" si="148"/>
        <v>3219.5357142857147</v>
      </c>
      <c r="AM97" s="34">
        <f t="shared" si="148"/>
        <v>0</v>
      </c>
      <c r="AN97" s="34">
        <f t="shared" si="148"/>
        <v>0</v>
      </c>
      <c r="AO97" s="34">
        <f t="shared" ca="1" si="148"/>
        <v>3603.3214285714284</v>
      </c>
      <c r="AP97" s="34">
        <f t="shared" ca="1" si="148"/>
        <v>4014.7142857142862</v>
      </c>
      <c r="AQ97" s="34">
        <f t="shared" ca="1" si="148"/>
        <v>4072.3928571428569</v>
      </c>
      <c r="AR97" s="34">
        <f t="shared" ca="1" si="148"/>
        <v>4597.8571428571431</v>
      </c>
      <c r="AS97" s="34">
        <f t="shared" ca="1" si="148"/>
        <v>4712.0357142857147</v>
      </c>
      <c r="AT97" s="34">
        <f t="shared" si="148"/>
        <v>0</v>
      </c>
      <c r="AU97" s="34">
        <f t="shared" si="148"/>
        <v>0</v>
      </c>
      <c r="AV97" s="34">
        <f t="shared" ca="1" si="148"/>
        <v>5991.3214285714294</v>
      </c>
      <c r="AW97" s="34">
        <f t="shared" ca="1" si="148"/>
        <v>6840.7142857142853</v>
      </c>
      <c r="AX97" s="34">
        <f t="shared" ca="1" si="148"/>
        <v>7057.3928571428569</v>
      </c>
      <c r="AY97" s="34">
        <f t="shared" ca="1" si="148"/>
        <v>8051.8571428571431</v>
      </c>
      <c r="AZ97" s="34">
        <f t="shared" ca="1" si="148"/>
        <v>8294.0357142857138</v>
      </c>
      <c r="BA97" s="34">
        <f t="shared" si="148"/>
        <v>0</v>
      </c>
      <c r="BB97" s="34">
        <f t="shared" si="148"/>
        <v>0</v>
      </c>
      <c r="BC97" s="34">
        <f t="shared" ca="1" si="148"/>
        <v>10468.821428571428</v>
      </c>
      <c r="BD97" s="34">
        <f t="shared" ca="1" si="148"/>
        <v>11864.714285714286</v>
      </c>
      <c r="BE97" s="34">
        <f t="shared" ca="1" si="148"/>
        <v>12131.892857142859</v>
      </c>
      <c r="BF97" s="34">
        <f t="shared" ca="1" si="148"/>
        <v>13703.857142857145</v>
      </c>
      <c r="BG97" s="34">
        <f t="shared" ca="1" si="148"/>
        <v>13965.535714285714</v>
      </c>
      <c r="BH97" s="34">
        <f t="shared" ca="1" si="148"/>
        <v>8613.8504464285706</v>
      </c>
      <c r="BI97" s="73">
        <f ca="1">SUM(AK97:BH97)</f>
        <v>134545.70758928571</v>
      </c>
      <c r="BJ97" s="91">
        <f ca="1">BI97+AJ97</f>
        <v>231723.81473214284</v>
      </c>
    </row>
    <row r="98" spans="1:62" s="42" customFormat="1" x14ac:dyDescent="0.3">
      <c r="A98" s="3"/>
      <c r="B98" s="7"/>
      <c r="C98" s="7"/>
      <c r="D98" s="3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73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58"/>
      <c r="BJ98" s="94"/>
    </row>
    <row r="99" spans="1:62" s="42" customFormat="1" x14ac:dyDescent="0.3">
      <c r="A99" s="41" t="s">
        <v>0</v>
      </c>
      <c r="B99" s="7"/>
      <c r="C99" s="7"/>
      <c r="D99" s="3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73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58"/>
      <c r="BJ99" s="94"/>
    </row>
    <row r="100" spans="1:62" s="42" customFormat="1" x14ac:dyDescent="0.3">
      <c r="A100" s="21" t="s">
        <v>62</v>
      </c>
      <c r="B100" s="30" t="s">
        <v>32</v>
      </c>
      <c r="C100" s="30"/>
      <c r="D100" s="5"/>
      <c r="E100" s="4"/>
      <c r="F100" s="4"/>
      <c r="G100" s="4"/>
      <c r="H100" s="4"/>
      <c r="I100" s="4"/>
      <c r="J100" s="31" t="s">
        <v>63</v>
      </c>
      <c r="K100" s="31" t="s">
        <v>64</v>
      </c>
      <c r="L100" s="4"/>
      <c r="M100" s="4"/>
      <c r="N100" s="4"/>
      <c r="O100" s="4"/>
      <c r="P100" s="4"/>
      <c r="Q100" s="31" t="s">
        <v>65</v>
      </c>
      <c r="R100" s="31" t="s">
        <v>66</v>
      </c>
      <c r="S100" s="4"/>
      <c r="T100" s="4"/>
      <c r="U100" s="4"/>
      <c r="V100" s="31" t="s">
        <v>67</v>
      </c>
      <c r="W100" s="31" t="s">
        <v>67</v>
      </c>
      <c r="X100" s="31" t="s">
        <v>67</v>
      </c>
      <c r="Y100" s="31" t="s">
        <v>67</v>
      </c>
      <c r="Z100" s="4"/>
      <c r="AA100" s="4"/>
      <c r="AB100" s="4"/>
      <c r="AC100" s="4"/>
      <c r="AD100" s="4"/>
      <c r="AE100" s="31" t="s">
        <v>63</v>
      </c>
      <c r="AF100" s="31" t="s">
        <v>64</v>
      </c>
      <c r="AG100" s="4"/>
      <c r="AH100" s="4"/>
      <c r="AI100" s="4"/>
      <c r="AJ100" s="72"/>
      <c r="AK100" s="4"/>
      <c r="AL100" s="4"/>
      <c r="AM100" s="31" t="s">
        <v>65</v>
      </c>
      <c r="AN100" s="31" t="s">
        <v>66</v>
      </c>
      <c r="AO100" s="4"/>
      <c r="AP100" s="4"/>
      <c r="AQ100" s="4"/>
      <c r="AR100" s="31" t="s">
        <v>67</v>
      </c>
      <c r="AS100" s="31" t="s">
        <v>67</v>
      </c>
      <c r="AT100" s="31" t="s">
        <v>67</v>
      </c>
      <c r="AU100" s="31" t="s">
        <v>67</v>
      </c>
      <c r="AV100" s="4"/>
      <c r="AW100" s="4"/>
      <c r="AX100" s="4"/>
      <c r="AY100" s="4"/>
      <c r="AZ100" s="4"/>
      <c r="BA100" s="31" t="s">
        <v>68</v>
      </c>
      <c r="BB100" s="4"/>
      <c r="BC100" s="4"/>
      <c r="BD100" s="4"/>
      <c r="BE100" s="4"/>
      <c r="BF100" s="4"/>
      <c r="BG100" s="4"/>
      <c r="BH100" s="4"/>
      <c r="BI100" s="158"/>
      <c r="BJ100" s="94"/>
    </row>
    <row r="101" spans="1:62" s="42" customFormat="1" x14ac:dyDescent="0.3">
      <c r="A101" s="21"/>
      <c r="B101" s="30" t="s">
        <v>69</v>
      </c>
      <c r="C101" s="30" t="s">
        <v>0</v>
      </c>
      <c r="D101" s="5"/>
      <c r="E101" s="5"/>
      <c r="F101" s="4"/>
      <c r="G101" s="4"/>
      <c r="H101" s="4"/>
      <c r="I101" s="5"/>
      <c r="J101" s="84">
        <v>85</v>
      </c>
      <c r="K101" s="84">
        <v>25</v>
      </c>
      <c r="L101" s="85"/>
      <c r="M101" s="84"/>
      <c r="N101" s="84"/>
      <c r="O101" s="84"/>
      <c r="P101" s="85"/>
      <c r="Q101" s="84">
        <f>15+18+17+15+90</f>
        <v>155</v>
      </c>
      <c r="R101" s="84">
        <v>80</v>
      </c>
      <c r="S101" s="85"/>
      <c r="T101" s="84"/>
      <c r="U101" s="84"/>
      <c r="V101" s="84">
        <v>24645</v>
      </c>
      <c r="W101" s="84">
        <v>0</v>
      </c>
      <c r="X101" s="84">
        <v>0</v>
      </c>
      <c r="Y101" s="84">
        <v>0</v>
      </c>
      <c r="Z101" s="85" t="s">
        <v>0</v>
      </c>
      <c r="AA101" s="84"/>
      <c r="AB101" s="84"/>
      <c r="AC101" s="84"/>
      <c r="AD101" s="85"/>
      <c r="AE101" s="84">
        <v>85</v>
      </c>
      <c r="AF101" s="84">
        <v>25</v>
      </c>
      <c r="AG101" s="85"/>
      <c r="AH101" s="84"/>
      <c r="AI101" s="84"/>
      <c r="AJ101" s="88"/>
      <c r="AK101" s="84"/>
      <c r="AL101" s="85"/>
      <c r="AM101" s="84">
        <f>15+18+17+15+90</f>
        <v>155</v>
      </c>
      <c r="AN101" s="84">
        <v>80</v>
      </c>
      <c r="AO101" s="85"/>
      <c r="AP101" s="84"/>
      <c r="AQ101" s="84"/>
      <c r="AR101" s="84">
        <v>24645</v>
      </c>
      <c r="AS101" s="84">
        <v>0</v>
      </c>
      <c r="AT101" s="84">
        <v>0</v>
      </c>
      <c r="AU101" s="84">
        <v>0</v>
      </c>
      <c r="AV101" s="85"/>
      <c r="AW101" s="84"/>
      <c r="AX101" s="84"/>
      <c r="AY101" s="84"/>
      <c r="AZ101" s="85"/>
      <c r="BA101" s="84">
        <v>150</v>
      </c>
      <c r="BB101" s="84"/>
      <c r="BC101" s="85"/>
      <c r="BD101" s="84"/>
      <c r="BE101" s="84"/>
      <c r="BF101" s="84"/>
      <c r="BG101" s="85"/>
      <c r="BH101" s="85"/>
      <c r="BI101" s="158"/>
      <c r="BJ101" s="94"/>
    </row>
    <row r="102" spans="1:62" s="42" customFormat="1" x14ac:dyDescent="0.3">
      <c r="A102" s="21"/>
      <c r="B102" s="38" t="s">
        <v>70</v>
      </c>
      <c r="C102" s="38" t="s">
        <v>0</v>
      </c>
      <c r="D102" s="5"/>
      <c r="E102" s="5"/>
      <c r="F102" s="4"/>
      <c r="G102" s="4"/>
      <c r="H102" s="4"/>
      <c r="I102" s="5"/>
      <c r="J102" s="90">
        <f ca="1">'SYC Camp Revenue '!J66</f>
        <v>138.75</v>
      </c>
      <c r="K102" s="90">
        <f ca="1">'SYC Camp Revenue '!K66</f>
        <v>171.75</v>
      </c>
      <c r="L102" s="85"/>
      <c r="M102" s="84"/>
      <c r="N102" s="84"/>
      <c r="O102" s="84"/>
      <c r="P102" s="85"/>
      <c r="Q102" s="90">
        <f ca="1">'SYC Camp Revenue '!Q66</f>
        <v>166.5</v>
      </c>
      <c r="R102" s="84">
        <f ca="1">Q102*0.75</f>
        <v>124.875</v>
      </c>
      <c r="S102" s="85"/>
      <c r="T102" s="84"/>
      <c r="U102" s="84"/>
      <c r="V102" s="90">
        <f ca="1">'SYC Camp Revenue '!V66</f>
        <v>92</v>
      </c>
      <c r="W102" s="90">
        <f ca="1">'SYC Camp Revenue '!W66</f>
        <v>92</v>
      </c>
      <c r="X102" s="90">
        <f ca="1">'SYC Camp Revenue '!X66</f>
        <v>92</v>
      </c>
      <c r="Y102" s="90">
        <f ca="1">'SYC Camp Revenue '!Y66</f>
        <v>92</v>
      </c>
      <c r="Z102" s="85"/>
      <c r="AA102" s="84"/>
      <c r="AB102" s="84"/>
      <c r="AC102" s="84"/>
      <c r="AD102" s="85"/>
      <c r="AE102" s="90">
        <f ca="1">'SYC Camp Revenue '!AE66</f>
        <v>129</v>
      </c>
      <c r="AF102" s="90">
        <f ca="1">'SYC Camp Revenue '!AF66</f>
        <v>137.25</v>
      </c>
      <c r="AG102" s="85"/>
      <c r="AH102" s="84"/>
      <c r="AI102" s="84"/>
      <c r="AJ102" s="88"/>
      <c r="AK102" s="84"/>
      <c r="AL102" s="85"/>
      <c r="AM102" s="90">
        <f ca="1">'SYC Camp Revenue '!AM66</f>
        <v>116.25</v>
      </c>
      <c r="AN102" s="90">
        <f ca="1">AM102*0.75</f>
        <v>87.1875</v>
      </c>
      <c r="AO102" s="85"/>
      <c r="AP102" s="84"/>
      <c r="AQ102" s="84"/>
      <c r="AR102" s="90">
        <f ca="1">'SYC Camp Revenue '!AR66</f>
        <v>92</v>
      </c>
      <c r="AS102" s="90">
        <f>'SYC Camp Revenue '!AS66</f>
        <v>0</v>
      </c>
      <c r="AT102" s="90">
        <f>'SYC Camp Revenue '!AT66</f>
        <v>0</v>
      </c>
      <c r="AU102" s="90">
        <f>'SYC Camp Revenue '!AU66</f>
        <v>0</v>
      </c>
      <c r="AV102" s="85"/>
      <c r="AW102" s="84"/>
      <c r="AX102" s="84"/>
      <c r="AY102" s="84"/>
      <c r="AZ102" s="85"/>
      <c r="BA102" s="90">
        <f ca="1">'SYC Camp Revenue '!BA66</f>
        <v>315.75</v>
      </c>
      <c r="BB102" s="84"/>
      <c r="BC102" s="85"/>
      <c r="BD102" s="84"/>
      <c r="BE102" s="84"/>
      <c r="BF102" s="84"/>
      <c r="BG102" s="85"/>
      <c r="BH102" s="85"/>
      <c r="BI102" s="158"/>
      <c r="BJ102" s="94"/>
    </row>
    <row r="103" spans="1:62" s="42" customFormat="1" x14ac:dyDescent="0.3">
      <c r="A103" s="21"/>
      <c r="B103" s="5"/>
      <c r="C103" s="38"/>
      <c r="D103" s="5"/>
      <c r="E103" s="5"/>
      <c r="F103" s="4"/>
      <c r="G103" s="4"/>
      <c r="H103" s="4"/>
      <c r="I103" s="5"/>
      <c r="J103" s="4"/>
      <c r="K103" s="4"/>
      <c r="L103" s="5"/>
      <c r="M103" s="4"/>
      <c r="N103" s="4"/>
      <c r="O103" s="4"/>
      <c r="P103" s="5"/>
      <c r="Q103" s="4"/>
      <c r="R103" s="4"/>
      <c r="S103" s="5"/>
      <c r="T103" s="4"/>
      <c r="U103" s="4"/>
      <c r="V103" s="4"/>
      <c r="W103" s="4"/>
      <c r="X103" s="4"/>
      <c r="Y103" s="4"/>
      <c r="Z103" s="5"/>
      <c r="AA103" s="4"/>
      <c r="AB103" s="4"/>
      <c r="AC103" s="4"/>
      <c r="AD103" s="5"/>
      <c r="AE103" s="4"/>
      <c r="AF103" s="4"/>
      <c r="AG103" s="5"/>
      <c r="AH103" s="4"/>
      <c r="AI103" s="4"/>
      <c r="AJ103" s="72"/>
      <c r="AK103" s="4"/>
      <c r="AL103" s="5"/>
      <c r="AM103" s="4"/>
      <c r="AN103" s="4"/>
      <c r="AO103" s="5"/>
      <c r="AP103" s="4"/>
      <c r="AQ103" s="4"/>
      <c r="AR103" s="4"/>
      <c r="AS103" s="4"/>
      <c r="AT103" s="4"/>
      <c r="AU103" s="4"/>
      <c r="AV103" s="5"/>
      <c r="AW103" s="4"/>
      <c r="AX103" s="4"/>
      <c r="AY103" s="4"/>
      <c r="AZ103" s="5"/>
      <c r="BA103" s="4"/>
      <c r="BB103" s="4"/>
      <c r="BC103" s="5"/>
      <c r="BD103" s="4"/>
      <c r="BE103" s="4"/>
      <c r="BF103" s="4"/>
      <c r="BG103" s="5"/>
      <c r="BH103" s="5"/>
      <c r="BI103" s="158"/>
      <c r="BJ103" s="94"/>
    </row>
    <row r="104" spans="1:62" s="42" customFormat="1" x14ac:dyDescent="0.3">
      <c r="A104" s="21"/>
      <c r="B104" s="5"/>
      <c r="C104" s="38" t="s">
        <v>71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3"/>
      <c r="W104" s="3"/>
      <c r="X104" s="3"/>
      <c r="Y104" s="3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77"/>
      <c r="AK104" s="5"/>
      <c r="AL104" s="5"/>
      <c r="AM104" s="5"/>
      <c r="AN104" s="5"/>
      <c r="AO104" s="5"/>
      <c r="AP104" s="5"/>
      <c r="AQ104" s="5"/>
      <c r="AR104" s="3"/>
      <c r="AS104" s="3"/>
      <c r="AT104" s="3"/>
      <c r="AU104" s="3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158"/>
      <c r="BJ104" s="94"/>
    </row>
    <row r="105" spans="1:62" s="42" customFormat="1" x14ac:dyDescent="0.3">
      <c r="A105" s="3" t="s">
        <v>72</v>
      </c>
      <c r="B105" s="82" t="s">
        <v>0</v>
      </c>
      <c r="C105" s="8">
        <v>15</v>
      </c>
      <c r="D105" s="9"/>
      <c r="E105" s="10"/>
      <c r="F105" s="10"/>
      <c r="G105" s="10"/>
      <c r="H105" s="10"/>
      <c r="I105" s="10"/>
      <c r="J105" s="8">
        <f ca="1">160*(J102/$C$105)</f>
        <v>1480</v>
      </c>
      <c r="K105" s="8">
        <f ca="1">(K102/$C$105)*6*16</f>
        <v>1099.1999999999998</v>
      </c>
      <c r="L105" s="10"/>
      <c r="M105" s="10"/>
      <c r="N105" s="10"/>
      <c r="O105" s="10"/>
      <c r="P105" s="10"/>
      <c r="Q105" s="8">
        <f ca="1">135*(Q102/$C$105)</f>
        <v>1498.5</v>
      </c>
      <c r="R105" s="8">
        <f ca="1">(Q102/$C$105)*135</f>
        <v>1498.5</v>
      </c>
      <c r="S105" s="10"/>
      <c r="T105" s="10"/>
      <c r="U105" s="10"/>
      <c r="V105" s="8">
        <f ca="1">$V$102/90*120</f>
        <v>122.66666666666666</v>
      </c>
      <c r="W105" s="8">
        <f t="shared" ref="W105:Y105" ca="1" si="149">$V$102/90*120</f>
        <v>122.66666666666666</v>
      </c>
      <c r="X105" s="8">
        <f t="shared" ca="1" si="149"/>
        <v>122.66666666666666</v>
      </c>
      <c r="Y105" s="8">
        <f t="shared" ca="1" si="149"/>
        <v>122.66666666666666</v>
      </c>
      <c r="Z105" s="10"/>
      <c r="AA105" s="10"/>
      <c r="AB105" s="10"/>
      <c r="AC105" s="10"/>
      <c r="AD105" s="10"/>
      <c r="AE105" s="8">
        <f ca="1">160*(AE102/$C$105)</f>
        <v>1376</v>
      </c>
      <c r="AF105" s="8">
        <f ca="1">(AF102/$C$105)*6*16</f>
        <v>878.40000000000009</v>
      </c>
      <c r="AG105" s="10"/>
      <c r="AH105" s="10"/>
      <c r="AI105" s="10"/>
      <c r="AJ105" s="71">
        <f ca="1">SUM(E105:AI105)</f>
        <v>8321.2666666666682</v>
      </c>
      <c r="AK105" s="10"/>
      <c r="AL105" s="10"/>
      <c r="AM105" s="10">
        <f ca="1">135*(AM102/$C$105)</f>
        <v>1046.25</v>
      </c>
      <c r="AN105" s="10">
        <f ca="1">(AM102/$C$105)*135</f>
        <v>1046.25</v>
      </c>
      <c r="AO105" s="10"/>
      <c r="AP105" s="10"/>
      <c r="AQ105" s="10"/>
      <c r="AR105" s="8">
        <f ca="1">$V$102/90*120</f>
        <v>122.66666666666666</v>
      </c>
      <c r="AS105" s="8">
        <f t="shared" ref="AS105:AU105" ca="1" si="150">$V$102/90*120</f>
        <v>122.66666666666666</v>
      </c>
      <c r="AT105" s="8">
        <f t="shared" ca="1" si="150"/>
        <v>122.66666666666666</v>
      </c>
      <c r="AU105" s="8">
        <f t="shared" ca="1" si="150"/>
        <v>122.66666666666666</v>
      </c>
      <c r="AV105" s="10"/>
      <c r="AW105" s="10"/>
      <c r="AX105" s="10"/>
      <c r="AY105" s="10"/>
      <c r="AZ105" s="10"/>
      <c r="BA105" s="10" t="s">
        <v>73</v>
      </c>
      <c r="BB105" s="10"/>
      <c r="BC105" s="10"/>
      <c r="BD105" s="10"/>
      <c r="BE105" s="10"/>
      <c r="BF105" s="10"/>
      <c r="BG105" s="10"/>
      <c r="BH105" s="10"/>
      <c r="BI105" s="71">
        <f ca="1">SUM(AK105:BH105)</f>
        <v>2583.1666666666661</v>
      </c>
      <c r="BJ105" s="94">
        <f ca="1">BI105+AJ105</f>
        <v>10904.433333333334</v>
      </c>
    </row>
    <row r="106" spans="1:62" s="42" customFormat="1" x14ac:dyDescent="0.3">
      <c r="A106" s="3" t="s">
        <v>74</v>
      </c>
      <c r="B106" s="8" t="s">
        <v>0</v>
      </c>
      <c r="C106" s="8">
        <v>15</v>
      </c>
      <c r="D106" s="3"/>
      <c r="E106" s="10"/>
      <c r="F106" s="10"/>
      <c r="G106" s="10"/>
      <c r="H106" s="10"/>
      <c r="I106" s="10"/>
      <c r="J106" s="8">
        <f ca="1">25*(J102/$C$106)</f>
        <v>231.25</v>
      </c>
      <c r="K106" s="8">
        <f ca="1">(K102/$C$106)*20</f>
        <v>229</v>
      </c>
      <c r="L106" s="10"/>
      <c r="M106" s="10"/>
      <c r="N106" s="10"/>
      <c r="O106" s="10"/>
      <c r="P106" s="10"/>
      <c r="Q106" s="8">
        <f ca="1">(Q102/$C$106)*Q101</f>
        <v>1720.5</v>
      </c>
      <c r="R106" s="8">
        <f ca="1">(Q102/$C$106)*20</f>
        <v>222</v>
      </c>
      <c r="S106" s="10"/>
      <c r="T106" s="10"/>
      <c r="U106" s="10"/>
      <c r="V106" s="8">
        <f ca="1">$V$102/90*40</f>
        <v>40.888888888888886</v>
      </c>
      <c r="W106" s="8">
        <f t="shared" ref="W106:Y106" ca="1" si="151">$V$102/90*40</f>
        <v>40.888888888888886</v>
      </c>
      <c r="X106" s="8">
        <f t="shared" ca="1" si="151"/>
        <v>40.888888888888886</v>
      </c>
      <c r="Y106" s="8">
        <f t="shared" ca="1" si="151"/>
        <v>40.888888888888886</v>
      </c>
      <c r="Z106" s="10"/>
      <c r="AA106" s="10"/>
      <c r="AB106" s="10"/>
      <c r="AC106" s="10"/>
      <c r="AD106" s="10"/>
      <c r="AE106" s="8">
        <f ca="1">25*(AE102/$C$106)</f>
        <v>215</v>
      </c>
      <c r="AF106" s="8">
        <f ca="1">(AF102/$C$106)*20</f>
        <v>183</v>
      </c>
      <c r="AG106" s="10"/>
      <c r="AH106" s="10"/>
      <c r="AI106" s="10"/>
      <c r="AJ106" s="71">
        <f t="shared" ref="AJ106:AJ111" ca="1" si="152">SUM(E106:AI106)</f>
        <v>2964.3055555555547</v>
      </c>
      <c r="AK106" s="10"/>
      <c r="AL106" s="10"/>
      <c r="AM106" s="10">
        <f ca="1">(AM102/$C$106)*AM101</f>
        <v>1201.25</v>
      </c>
      <c r="AN106" s="10">
        <f ca="1">(AM102/$C$106)*20</f>
        <v>155</v>
      </c>
      <c r="AO106" s="10"/>
      <c r="AP106" s="10"/>
      <c r="AQ106" s="10"/>
      <c r="AR106" s="8">
        <f ca="1">$V$102/90*40</f>
        <v>40.888888888888886</v>
      </c>
      <c r="AS106" s="8">
        <f t="shared" ref="AS106:AU106" ca="1" si="153">$V$102/90*40</f>
        <v>40.888888888888886</v>
      </c>
      <c r="AT106" s="8">
        <f t="shared" ca="1" si="153"/>
        <v>40.888888888888886</v>
      </c>
      <c r="AU106" s="8">
        <f t="shared" ca="1" si="153"/>
        <v>40.888888888888886</v>
      </c>
      <c r="AV106" s="10"/>
      <c r="AW106" s="10"/>
      <c r="AX106" s="10"/>
      <c r="AY106" s="10"/>
      <c r="AZ106" s="10"/>
      <c r="BA106" s="10">
        <v>20</v>
      </c>
      <c r="BB106" s="10"/>
      <c r="BC106" s="10"/>
      <c r="BD106" s="10"/>
      <c r="BE106" s="10"/>
      <c r="BF106" s="10"/>
      <c r="BG106" s="10"/>
      <c r="BH106" s="10"/>
      <c r="BI106" s="71">
        <f ca="1">SUM(AK106:BH106)</f>
        <v>1539.8055555555557</v>
      </c>
      <c r="BJ106" s="94">
        <f ca="1">BI106+AJ106</f>
        <v>4504.1111111111104</v>
      </c>
    </row>
    <row r="107" spans="1:62" s="42" customFormat="1" x14ac:dyDescent="0.3">
      <c r="A107" s="3" t="s">
        <v>75</v>
      </c>
      <c r="B107" s="83" t="s">
        <v>0</v>
      </c>
      <c r="C107" s="8">
        <v>40</v>
      </c>
      <c r="D107" s="21"/>
      <c r="E107" s="10"/>
      <c r="F107" s="10"/>
      <c r="G107" s="10"/>
      <c r="H107" s="10"/>
      <c r="I107" s="10"/>
      <c r="J107" s="8">
        <f ca="1">900*ROUNDUP(J102/$C$107,)</f>
        <v>3600</v>
      </c>
      <c r="K107" s="8">
        <v>0</v>
      </c>
      <c r="L107" s="10"/>
      <c r="M107" s="10"/>
      <c r="N107" s="10"/>
      <c r="O107" s="10"/>
      <c r="P107" s="10"/>
      <c r="Q107" s="8">
        <f ca="1">(350+250)*ROUNDUP(Q102/$C$107,)</f>
        <v>3000</v>
      </c>
      <c r="R107" s="8">
        <f ca="1">(350+250)*ROUNDUP(R102/$C$107,)</f>
        <v>2400</v>
      </c>
      <c r="S107" s="10"/>
      <c r="T107" s="10"/>
      <c r="U107" s="10"/>
      <c r="V107" s="10">
        <v>0</v>
      </c>
      <c r="W107" s="10">
        <v>0</v>
      </c>
      <c r="X107" s="10">
        <v>0</v>
      </c>
      <c r="Y107" s="10">
        <v>0</v>
      </c>
      <c r="Z107" s="10"/>
      <c r="AA107" s="10"/>
      <c r="AB107" s="10"/>
      <c r="AC107" s="10"/>
      <c r="AD107" s="10"/>
      <c r="AE107" s="8">
        <f ca="1">900*ROUNDUP(AE102/$C$107,)</f>
        <v>3600</v>
      </c>
      <c r="AF107" s="8">
        <v>0</v>
      </c>
      <c r="AG107" s="10"/>
      <c r="AH107" s="10"/>
      <c r="AI107" s="10"/>
      <c r="AJ107" s="71">
        <f t="shared" ca="1" si="152"/>
        <v>12600</v>
      </c>
      <c r="AK107" s="10"/>
      <c r="AL107" s="10"/>
      <c r="AM107" s="10">
        <f ca="1">(350+250)*ROUNDUP(AM102/$C$107,)</f>
        <v>1800</v>
      </c>
      <c r="AN107" s="10">
        <f ca="1">(350+250)*ROUNDUP(AN102/$C$107,)</f>
        <v>1800</v>
      </c>
      <c r="AO107" s="10"/>
      <c r="AP107" s="10"/>
      <c r="AQ107" s="10"/>
      <c r="AR107" s="10">
        <v>0</v>
      </c>
      <c r="AS107" s="10">
        <v>0</v>
      </c>
      <c r="AT107" s="10">
        <v>0</v>
      </c>
      <c r="AU107" s="10">
        <v>0</v>
      </c>
      <c r="AV107" s="10"/>
      <c r="AW107" s="10"/>
      <c r="AX107" s="10"/>
      <c r="AY107" s="10"/>
      <c r="AZ107" s="10"/>
      <c r="BA107" s="10">
        <f ca="1">(350)*ROUNDUP(BA102/$C$107,)</f>
        <v>2800</v>
      </c>
      <c r="BB107" s="10"/>
      <c r="BC107" s="10"/>
      <c r="BD107" s="10"/>
      <c r="BE107" s="10"/>
      <c r="BF107" s="10"/>
      <c r="BG107" s="10"/>
      <c r="BH107" s="10"/>
      <c r="BI107" s="71">
        <f ca="1">SUM(AK107:BH107)</f>
        <v>6400</v>
      </c>
      <c r="BJ107" s="94">
        <f ca="1">BI107+AJ107</f>
        <v>19000</v>
      </c>
    </row>
    <row r="108" spans="1:62" s="42" customFormat="1" x14ac:dyDescent="0.3">
      <c r="A108" s="3" t="s">
        <v>76</v>
      </c>
      <c r="B108" s="83" t="s">
        <v>0</v>
      </c>
      <c r="C108" s="8">
        <v>16</v>
      </c>
      <c r="D108" s="21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52">
        <f ca="1">Q102*C108</f>
        <v>2664</v>
      </c>
      <c r="R108" s="8">
        <f ca="1">C108*Q102</f>
        <v>2664</v>
      </c>
      <c r="S108" s="10"/>
      <c r="T108" s="10"/>
      <c r="U108" s="10"/>
      <c r="V108" s="10">
        <v>0</v>
      </c>
      <c r="W108" s="10">
        <v>0</v>
      </c>
      <c r="X108" s="10">
        <v>0</v>
      </c>
      <c r="Y108" s="10">
        <v>0</v>
      </c>
      <c r="Z108" s="10"/>
      <c r="AA108" s="10"/>
      <c r="AB108" s="10"/>
      <c r="AC108" s="10"/>
      <c r="AD108" s="10"/>
      <c r="AE108" s="10">
        <v>0</v>
      </c>
      <c r="AF108" s="10">
        <v>0</v>
      </c>
      <c r="AG108" s="10"/>
      <c r="AH108" s="10"/>
      <c r="AI108" s="10"/>
      <c r="AJ108" s="71">
        <f t="shared" ca="1" si="152"/>
        <v>5328</v>
      </c>
      <c r="AK108" s="10"/>
      <c r="AL108" s="10"/>
      <c r="AM108" s="152">
        <f ca="1">16*AM102</f>
        <v>1860</v>
      </c>
      <c r="AN108" s="10">
        <f ca="1">16*AM102</f>
        <v>1860</v>
      </c>
      <c r="AO108" s="10"/>
      <c r="AP108" s="10"/>
      <c r="AQ108" s="10"/>
      <c r="AR108" s="10">
        <v>0</v>
      </c>
      <c r="AS108" s="10">
        <v>0</v>
      </c>
      <c r="AT108" s="10">
        <v>0</v>
      </c>
      <c r="AU108" s="10">
        <v>0</v>
      </c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71">
        <f ca="1">SUM(AK108:BH108)</f>
        <v>3720</v>
      </c>
      <c r="BJ108" s="94">
        <f ca="1">BI108+AJ108</f>
        <v>9048</v>
      </c>
    </row>
    <row r="109" spans="1:62" s="42" customFormat="1" x14ac:dyDescent="0.3">
      <c r="A109" s="3" t="s">
        <v>77</v>
      </c>
      <c r="B109" s="83"/>
      <c r="C109" s="8">
        <v>1</v>
      </c>
      <c r="D109" s="21"/>
      <c r="E109" s="10"/>
      <c r="F109" s="10"/>
      <c r="G109" s="10"/>
      <c r="H109" s="10"/>
      <c r="I109" s="10"/>
      <c r="J109" s="10">
        <f ca="1">J102*J101</f>
        <v>11793.75</v>
      </c>
      <c r="K109" s="10">
        <f ca="1">K102*K101</f>
        <v>4293.75</v>
      </c>
      <c r="L109" s="10"/>
      <c r="M109" s="10"/>
      <c r="N109" s="10"/>
      <c r="O109" s="10"/>
      <c r="P109" s="10"/>
      <c r="Q109" s="10">
        <f ca="1">Q102*Q101</f>
        <v>25807.5</v>
      </c>
      <c r="R109" s="10">
        <f ca="1">R102*R101</f>
        <v>9990</v>
      </c>
      <c r="S109" s="10"/>
      <c r="T109" s="10"/>
      <c r="U109" s="10"/>
      <c r="V109" s="10">
        <f ca="1">ROUNDUP(V102/54,1)*V101</f>
        <v>44361</v>
      </c>
      <c r="W109" s="10">
        <f ca="1">W102*W101</f>
        <v>0</v>
      </c>
      <c r="X109" s="10">
        <f ca="1">X102*X101</f>
        <v>0</v>
      </c>
      <c r="Y109" s="10">
        <f ca="1">Y102*Y101</f>
        <v>0</v>
      </c>
      <c r="Z109" s="10"/>
      <c r="AA109" s="10"/>
      <c r="AB109" s="10"/>
      <c r="AC109" s="10"/>
      <c r="AD109" s="10"/>
      <c r="AE109" s="10">
        <f ca="1">AE102*AE101</f>
        <v>10965</v>
      </c>
      <c r="AF109" s="10">
        <f ca="1">AF102*AF101</f>
        <v>3431.25</v>
      </c>
      <c r="AG109" s="10"/>
      <c r="AH109" s="10"/>
      <c r="AI109" s="10"/>
      <c r="AJ109" s="71">
        <f t="shared" ca="1" si="152"/>
        <v>110642.25</v>
      </c>
      <c r="AK109" s="10"/>
      <c r="AL109" s="10"/>
      <c r="AM109" s="10">
        <f ca="1">AM102*AM101</f>
        <v>18018.75</v>
      </c>
      <c r="AN109" s="10">
        <f ca="1">AN102*AN101</f>
        <v>6975</v>
      </c>
      <c r="AO109" s="10"/>
      <c r="AP109" s="10"/>
      <c r="AQ109" s="10"/>
      <c r="AR109" s="10">
        <f ca="1">ROUNDUP(AR102/54,)*AR101</f>
        <v>49290</v>
      </c>
      <c r="AS109" s="10">
        <f>AS102*AS101</f>
        <v>0</v>
      </c>
      <c r="AT109" s="10">
        <f>AT102*AT101</f>
        <v>0</v>
      </c>
      <c r="AU109" s="10">
        <f>AU102*AU101</f>
        <v>0</v>
      </c>
      <c r="AV109" s="10"/>
      <c r="AW109" s="10"/>
      <c r="AX109" s="10"/>
      <c r="AY109" s="10"/>
      <c r="AZ109" s="10"/>
      <c r="BA109" s="10">
        <f t="shared" ref="BA109" ca="1" si="154">BA102*BA101</f>
        <v>47362.5</v>
      </c>
      <c r="BB109" s="10"/>
      <c r="BC109" s="10"/>
      <c r="BD109" s="10"/>
      <c r="BE109" s="10"/>
      <c r="BF109" s="10"/>
      <c r="BG109" s="10"/>
      <c r="BH109" s="10"/>
      <c r="BI109" s="71">
        <f ca="1">SUM(AK109:BH109)</f>
        <v>121646.25</v>
      </c>
      <c r="BJ109" s="94">
        <f ca="1">BI109+AJ109</f>
        <v>232288.5</v>
      </c>
    </row>
    <row r="110" spans="1:62" s="42" customFormat="1" x14ac:dyDescent="0.3">
      <c r="A110" s="3" t="s">
        <v>78</v>
      </c>
      <c r="B110" s="37"/>
      <c r="C110" s="8"/>
      <c r="D110" s="21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71">
        <f t="shared" si="152"/>
        <v>0</v>
      </c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71" t="s">
        <v>0</v>
      </c>
      <c r="BJ110" s="94"/>
    </row>
    <row r="111" spans="1:62" s="42" customFormat="1" x14ac:dyDescent="0.3">
      <c r="A111" s="3" t="s">
        <v>79</v>
      </c>
      <c r="B111" s="37"/>
      <c r="C111" s="8"/>
      <c r="D111" s="21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71">
        <f t="shared" si="152"/>
        <v>0</v>
      </c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71" t="s">
        <v>0</v>
      </c>
      <c r="BJ111" s="94"/>
    </row>
    <row r="112" spans="1:62" s="42" customFormat="1" x14ac:dyDescent="0.3">
      <c r="A112" s="3" t="s">
        <v>78</v>
      </c>
      <c r="B112" s="7"/>
      <c r="C112" s="7"/>
      <c r="D112" s="3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71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71" t="s">
        <v>0</v>
      </c>
      <c r="BJ112" s="94"/>
    </row>
    <row r="113" spans="1:62" s="42" customFormat="1" x14ac:dyDescent="0.3">
      <c r="A113" s="3" t="s">
        <v>0</v>
      </c>
      <c r="B113" s="7"/>
      <c r="C113" s="8" t="s">
        <v>0</v>
      </c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73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58" t="s">
        <v>0</v>
      </c>
      <c r="BJ113" s="94"/>
    </row>
    <row r="114" spans="1:62" s="60" customFormat="1" x14ac:dyDescent="0.3">
      <c r="A114" s="21" t="str">
        <f>"Total "&amp;A100</f>
        <v>Total Weekend Activity Fees</v>
      </c>
      <c r="B114" s="22"/>
      <c r="C114" s="39" t="s">
        <v>0</v>
      </c>
      <c r="D114" s="40"/>
      <c r="E114" s="34">
        <f t="shared" ref="E114:AI114" si="155">SUM(E105:E112)</f>
        <v>0</v>
      </c>
      <c r="F114" s="34">
        <f t="shared" si="155"/>
        <v>0</v>
      </c>
      <c r="G114" s="34">
        <f t="shared" si="155"/>
        <v>0</v>
      </c>
      <c r="H114" s="34">
        <f t="shared" si="155"/>
        <v>0</v>
      </c>
      <c r="I114" s="34">
        <f t="shared" si="155"/>
        <v>0</v>
      </c>
      <c r="J114" s="34">
        <f t="shared" ca="1" si="155"/>
        <v>17105</v>
      </c>
      <c r="K114" s="34">
        <f t="shared" ca="1" si="155"/>
        <v>5621.95</v>
      </c>
      <c r="L114" s="34">
        <f t="shared" si="155"/>
        <v>0</v>
      </c>
      <c r="M114" s="34">
        <f t="shared" si="155"/>
        <v>0</v>
      </c>
      <c r="N114" s="34">
        <f t="shared" si="155"/>
        <v>0</v>
      </c>
      <c r="O114" s="34">
        <f t="shared" si="155"/>
        <v>0</v>
      </c>
      <c r="P114" s="34">
        <f t="shared" si="155"/>
        <v>0</v>
      </c>
      <c r="Q114" s="34">
        <f t="shared" ca="1" si="155"/>
        <v>34690.5</v>
      </c>
      <c r="R114" s="34">
        <f t="shared" ca="1" si="155"/>
        <v>16774.5</v>
      </c>
      <c r="S114" s="34">
        <f t="shared" si="155"/>
        <v>0</v>
      </c>
      <c r="T114" s="34">
        <f t="shared" si="155"/>
        <v>0</v>
      </c>
      <c r="U114" s="34">
        <f t="shared" si="155"/>
        <v>0</v>
      </c>
      <c r="V114" s="34">
        <f t="shared" ca="1" si="155"/>
        <v>44524.555555555555</v>
      </c>
      <c r="W114" s="34">
        <f t="shared" ca="1" si="155"/>
        <v>163.55555555555554</v>
      </c>
      <c r="X114" s="34">
        <f t="shared" ca="1" si="155"/>
        <v>163.55555555555554</v>
      </c>
      <c r="Y114" s="34">
        <f t="shared" ca="1" si="155"/>
        <v>163.55555555555554</v>
      </c>
      <c r="Z114" s="34">
        <f t="shared" si="155"/>
        <v>0</v>
      </c>
      <c r="AA114" s="34">
        <f t="shared" si="155"/>
        <v>0</v>
      </c>
      <c r="AB114" s="34">
        <f t="shared" si="155"/>
        <v>0</v>
      </c>
      <c r="AC114" s="34">
        <f t="shared" si="155"/>
        <v>0</v>
      </c>
      <c r="AD114" s="34">
        <f t="shared" si="155"/>
        <v>0</v>
      </c>
      <c r="AE114" s="34">
        <f t="shared" ca="1" si="155"/>
        <v>16156</v>
      </c>
      <c r="AF114" s="34">
        <f t="shared" ca="1" si="155"/>
        <v>4492.6499999999996</v>
      </c>
      <c r="AG114" s="34">
        <f t="shared" si="155"/>
        <v>0</v>
      </c>
      <c r="AH114" s="34">
        <f t="shared" si="155"/>
        <v>0</v>
      </c>
      <c r="AI114" s="34">
        <f t="shared" si="155"/>
        <v>0</v>
      </c>
      <c r="AJ114" s="73">
        <f ca="1">SUM(E114:AI114)</f>
        <v>139855.82222222222</v>
      </c>
      <c r="AK114" s="34">
        <f t="shared" ref="AK114:BH114" si="156">SUM(AK105:AK112)</f>
        <v>0</v>
      </c>
      <c r="AL114" s="34">
        <f t="shared" si="156"/>
        <v>0</v>
      </c>
      <c r="AM114" s="34">
        <f t="shared" ca="1" si="156"/>
        <v>23926.25</v>
      </c>
      <c r="AN114" s="34">
        <f t="shared" ca="1" si="156"/>
        <v>11836.25</v>
      </c>
      <c r="AO114" s="34">
        <f t="shared" si="156"/>
        <v>0</v>
      </c>
      <c r="AP114" s="34">
        <f t="shared" si="156"/>
        <v>0</v>
      </c>
      <c r="AQ114" s="34">
        <f t="shared" si="156"/>
        <v>0</v>
      </c>
      <c r="AR114" s="34">
        <f t="shared" ca="1" si="156"/>
        <v>49453.555555555555</v>
      </c>
      <c r="AS114" s="34">
        <f t="shared" ca="1" si="156"/>
        <v>163.55555555555554</v>
      </c>
      <c r="AT114" s="34">
        <f t="shared" ca="1" si="156"/>
        <v>163.55555555555554</v>
      </c>
      <c r="AU114" s="34">
        <f t="shared" ca="1" si="156"/>
        <v>163.55555555555554</v>
      </c>
      <c r="AV114" s="34">
        <f t="shared" si="156"/>
        <v>0</v>
      </c>
      <c r="AW114" s="34">
        <f t="shared" si="156"/>
        <v>0</v>
      </c>
      <c r="AX114" s="34">
        <f t="shared" si="156"/>
        <v>0</v>
      </c>
      <c r="AY114" s="34">
        <f t="shared" si="156"/>
        <v>0</v>
      </c>
      <c r="AZ114" s="34">
        <f t="shared" si="156"/>
        <v>0</v>
      </c>
      <c r="BA114" s="34">
        <f t="shared" ca="1" si="156"/>
        <v>50182.5</v>
      </c>
      <c r="BB114" s="34">
        <f t="shared" si="156"/>
        <v>0</v>
      </c>
      <c r="BC114" s="34">
        <f t="shared" si="156"/>
        <v>0</v>
      </c>
      <c r="BD114" s="34">
        <f t="shared" si="156"/>
        <v>0</v>
      </c>
      <c r="BE114" s="34">
        <f t="shared" si="156"/>
        <v>0</v>
      </c>
      <c r="BF114" s="34">
        <f t="shared" si="156"/>
        <v>0</v>
      </c>
      <c r="BG114" s="34">
        <f t="shared" si="156"/>
        <v>0</v>
      </c>
      <c r="BH114" s="34">
        <f t="shared" si="156"/>
        <v>0</v>
      </c>
      <c r="BI114" s="73">
        <f ca="1">SUM(AK114:BH114)</f>
        <v>135889.22222222225</v>
      </c>
      <c r="BJ114" s="91">
        <f ca="1">BI114+AJ114</f>
        <v>275745.04444444447</v>
      </c>
    </row>
    <row r="115" spans="1:62" s="42" customFormat="1" x14ac:dyDescent="0.3">
      <c r="A115" s="3"/>
      <c r="B115" s="43"/>
      <c r="C115" s="43"/>
      <c r="AJ115" s="79"/>
      <c r="AR115" s="153"/>
      <c r="AS115" s="153"/>
      <c r="AT115" s="153"/>
      <c r="AU115" s="153"/>
      <c r="BI115" s="93"/>
      <c r="BJ115" s="94"/>
    </row>
    <row r="116" spans="1:62" s="42" customFormat="1" x14ac:dyDescent="0.3">
      <c r="A116" s="21" t="s">
        <v>0</v>
      </c>
      <c r="B116" s="43"/>
      <c r="C116" s="43"/>
      <c r="AJ116" s="79"/>
      <c r="BI116" s="93"/>
      <c r="BJ116" s="94"/>
    </row>
    <row r="117" spans="1:62" s="42" customFormat="1" x14ac:dyDescent="0.3">
      <c r="A117" s="60" t="s">
        <v>80</v>
      </c>
      <c r="B117" s="48" t="s">
        <v>56</v>
      </c>
      <c r="C117" s="38" t="s">
        <v>57</v>
      </c>
      <c r="AJ117" s="79"/>
      <c r="BI117" s="93"/>
      <c r="BJ117" s="94"/>
    </row>
    <row r="118" spans="1:62" s="42" customFormat="1" x14ac:dyDescent="0.3">
      <c r="B118" s="43"/>
      <c r="C118" s="43"/>
      <c r="AJ118" s="71" t="s">
        <v>0</v>
      </c>
      <c r="BI118" s="93"/>
      <c r="BJ118" s="94"/>
    </row>
    <row r="119" spans="1:62" s="42" customFormat="1" x14ac:dyDescent="0.3">
      <c r="A119" s="42" t="s">
        <v>81</v>
      </c>
      <c r="B119" s="43">
        <f>31.5*8</f>
        <v>252</v>
      </c>
      <c r="C119" s="340" t="s">
        <v>82</v>
      </c>
      <c r="E119" s="43">
        <f>$B$119</f>
        <v>252</v>
      </c>
      <c r="F119" s="43">
        <f t="shared" ref="F119:AL119" si="157">$B$119</f>
        <v>252</v>
      </c>
      <c r="G119" s="43">
        <f t="shared" si="157"/>
        <v>252</v>
      </c>
      <c r="H119" s="43">
        <f t="shared" si="157"/>
        <v>252</v>
      </c>
      <c r="I119" s="43">
        <f t="shared" si="157"/>
        <v>252</v>
      </c>
      <c r="J119" s="43">
        <v>0</v>
      </c>
      <c r="K119" s="43">
        <v>0</v>
      </c>
      <c r="L119" s="43">
        <f t="shared" si="157"/>
        <v>252</v>
      </c>
      <c r="M119" s="43">
        <f t="shared" si="157"/>
        <v>252</v>
      </c>
      <c r="N119" s="43">
        <f t="shared" si="157"/>
        <v>252</v>
      </c>
      <c r="O119" s="43">
        <f t="shared" si="157"/>
        <v>252</v>
      </c>
      <c r="P119" s="43">
        <f t="shared" si="157"/>
        <v>252</v>
      </c>
      <c r="Q119" s="43">
        <v>0</v>
      </c>
      <c r="R119" s="43">
        <v>0</v>
      </c>
      <c r="S119" s="43">
        <f t="shared" si="157"/>
        <v>252</v>
      </c>
      <c r="T119" s="43">
        <f t="shared" si="157"/>
        <v>252</v>
      </c>
      <c r="U119" s="43">
        <f t="shared" si="157"/>
        <v>252</v>
      </c>
      <c r="V119" s="43">
        <f t="shared" si="157"/>
        <v>252</v>
      </c>
      <c r="W119" s="43">
        <f t="shared" si="157"/>
        <v>252</v>
      </c>
      <c r="X119" s="43">
        <v>0</v>
      </c>
      <c r="Y119" s="43">
        <v>0</v>
      </c>
      <c r="Z119" s="43">
        <f t="shared" si="157"/>
        <v>252</v>
      </c>
      <c r="AA119" s="43">
        <f t="shared" si="157"/>
        <v>252</v>
      </c>
      <c r="AB119" s="43">
        <f t="shared" si="157"/>
        <v>252</v>
      </c>
      <c r="AC119" s="43">
        <f t="shared" si="157"/>
        <v>252</v>
      </c>
      <c r="AD119" s="43">
        <f t="shared" si="157"/>
        <v>252</v>
      </c>
      <c r="AE119" s="43">
        <v>0</v>
      </c>
      <c r="AF119" s="43">
        <v>0</v>
      </c>
      <c r="AG119" s="43">
        <f t="shared" si="157"/>
        <v>252</v>
      </c>
      <c r="AH119" s="43">
        <f t="shared" si="157"/>
        <v>252</v>
      </c>
      <c r="AI119" s="43">
        <f t="shared" si="157"/>
        <v>252</v>
      </c>
      <c r="AJ119" s="71">
        <f>SUM(E119:AI119)</f>
        <v>5796</v>
      </c>
      <c r="AK119" s="43">
        <f t="shared" si="157"/>
        <v>252</v>
      </c>
      <c r="AL119" s="43">
        <f t="shared" si="157"/>
        <v>252</v>
      </c>
      <c r="AM119" s="43">
        <v>0</v>
      </c>
      <c r="AN119" s="43">
        <v>0</v>
      </c>
      <c r="AO119" s="43">
        <v>60</v>
      </c>
      <c r="AP119" s="43">
        <v>60</v>
      </c>
      <c r="AQ119" s="43">
        <v>60</v>
      </c>
      <c r="AR119" s="43">
        <v>60</v>
      </c>
      <c r="AS119" s="43">
        <v>60</v>
      </c>
      <c r="AT119" s="43" t="s">
        <v>0</v>
      </c>
      <c r="AU119" s="43" t="s">
        <v>0</v>
      </c>
      <c r="AV119" s="43">
        <v>60</v>
      </c>
      <c r="AW119" s="43">
        <v>60</v>
      </c>
      <c r="AX119" s="43">
        <v>60</v>
      </c>
      <c r="AY119" s="43">
        <v>60</v>
      </c>
      <c r="AZ119" s="43">
        <v>60</v>
      </c>
      <c r="BA119" s="43" t="s">
        <v>0</v>
      </c>
      <c r="BB119" s="43"/>
      <c r="BC119" s="43"/>
      <c r="BD119" s="43"/>
      <c r="BE119" s="43"/>
      <c r="BF119" s="43"/>
      <c r="BG119" s="43"/>
      <c r="BH119" s="43"/>
      <c r="BI119" s="93">
        <f>SUM(AK119:BH119)</f>
        <v>1104</v>
      </c>
      <c r="BJ119" s="91">
        <f>BI119+AJ119</f>
        <v>6900</v>
      </c>
    </row>
    <row r="120" spans="1:62" s="42" customFormat="1" x14ac:dyDescent="0.3">
      <c r="A120" s="42" t="s">
        <v>83</v>
      </c>
      <c r="B120" s="43" t="s">
        <v>84</v>
      </c>
      <c r="C120" s="43" t="s">
        <v>0</v>
      </c>
      <c r="E120" s="43">
        <v>500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500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500</v>
      </c>
      <c r="AH120" s="43">
        <v>0</v>
      </c>
      <c r="AI120" s="43">
        <v>0</v>
      </c>
      <c r="AJ120" s="71">
        <f>SUM(E120:AI120)</f>
        <v>1500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0</v>
      </c>
      <c r="AV120" s="43">
        <v>500</v>
      </c>
      <c r="AW120" s="43">
        <v>0</v>
      </c>
      <c r="AX120" s="43">
        <v>0</v>
      </c>
      <c r="AY120" s="43">
        <v>0</v>
      </c>
      <c r="AZ120" s="43">
        <v>0</v>
      </c>
      <c r="BA120" s="43">
        <v>0</v>
      </c>
      <c r="BB120" s="43">
        <v>0</v>
      </c>
      <c r="BC120" s="43">
        <v>0</v>
      </c>
      <c r="BD120" s="43">
        <v>0</v>
      </c>
      <c r="BE120" s="43">
        <v>0</v>
      </c>
      <c r="BF120" s="43">
        <v>0</v>
      </c>
      <c r="BG120" s="43">
        <v>0</v>
      </c>
      <c r="BH120" s="43">
        <v>500</v>
      </c>
      <c r="BI120" s="93">
        <f>SUM(AK120:BH120)</f>
        <v>1000</v>
      </c>
      <c r="BJ120" s="91">
        <f>BI120+AJ120</f>
        <v>2500</v>
      </c>
    </row>
    <row r="121" spans="1:62" s="42" customFormat="1" x14ac:dyDescent="0.3">
      <c r="A121" s="42" t="s">
        <v>0</v>
      </c>
      <c r="B121" s="43"/>
      <c r="C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92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92"/>
      <c r="BJ121" s="94" t="s">
        <v>0</v>
      </c>
    </row>
    <row r="122" spans="1:62" s="42" customFormat="1" x14ac:dyDescent="0.3">
      <c r="B122" s="43"/>
      <c r="C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92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92"/>
      <c r="BJ122" s="94" t="s">
        <v>0</v>
      </c>
    </row>
    <row r="123" spans="1:62" s="60" customFormat="1" x14ac:dyDescent="0.3">
      <c r="A123" s="21" t="str">
        <f>"Total "&amp;A117</f>
        <v>Total Program Supervisors / Coordinators</v>
      </c>
      <c r="B123" s="66"/>
      <c r="C123" s="66"/>
      <c r="E123" s="66">
        <f t="shared" ref="E123:AI123" si="158">SUM(E119:E122)</f>
        <v>752</v>
      </c>
      <c r="F123" s="66">
        <f t="shared" si="158"/>
        <v>252</v>
      </c>
      <c r="G123" s="66">
        <f t="shared" si="158"/>
        <v>252</v>
      </c>
      <c r="H123" s="66">
        <f t="shared" si="158"/>
        <v>252</v>
      </c>
      <c r="I123" s="66">
        <f t="shared" si="158"/>
        <v>252</v>
      </c>
      <c r="J123" s="66">
        <f t="shared" si="158"/>
        <v>0</v>
      </c>
      <c r="K123" s="66">
        <f t="shared" si="158"/>
        <v>0</v>
      </c>
      <c r="L123" s="66">
        <f t="shared" si="158"/>
        <v>252</v>
      </c>
      <c r="M123" s="66">
        <f t="shared" si="158"/>
        <v>252</v>
      </c>
      <c r="N123" s="66">
        <f t="shared" si="158"/>
        <v>252</v>
      </c>
      <c r="O123" s="66">
        <f t="shared" si="158"/>
        <v>252</v>
      </c>
      <c r="P123" s="66">
        <f t="shared" si="158"/>
        <v>252</v>
      </c>
      <c r="Q123" s="66">
        <f t="shared" si="158"/>
        <v>0</v>
      </c>
      <c r="R123" s="66">
        <f t="shared" si="158"/>
        <v>0</v>
      </c>
      <c r="S123" s="66">
        <f t="shared" si="158"/>
        <v>752</v>
      </c>
      <c r="T123" s="66">
        <f t="shared" si="158"/>
        <v>252</v>
      </c>
      <c r="U123" s="66">
        <f t="shared" si="158"/>
        <v>252</v>
      </c>
      <c r="V123" s="66">
        <f t="shared" si="158"/>
        <v>252</v>
      </c>
      <c r="W123" s="66">
        <f t="shared" si="158"/>
        <v>252</v>
      </c>
      <c r="X123" s="66">
        <f t="shared" si="158"/>
        <v>0</v>
      </c>
      <c r="Y123" s="66">
        <f t="shared" si="158"/>
        <v>0</v>
      </c>
      <c r="Z123" s="66">
        <f t="shared" si="158"/>
        <v>252</v>
      </c>
      <c r="AA123" s="66">
        <f t="shared" si="158"/>
        <v>252</v>
      </c>
      <c r="AB123" s="66">
        <f t="shared" si="158"/>
        <v>252</v>
      </c>
      <c r="AC123" s="66">
        <f t="shared" si="158"/>
        <v>252</v>
      </c>
      <c r="AD123" s="66">
        <f t="shared" si="158"/>
        <v>252</v>
      </c>
      <c r="AE123" s="66">
        <f t="shared" si="158"/>
        <v>0</v>
      </c>
      <c r="AF123" s="66">
        <f t="shared" si="158"/>
        <v>0</v>
      </c>
      <c r="AG123" s="66">
        <f t="shared" si="158"/>
        <v>752</v>
      </c>
      <c r="AH123" s="66">
        <f t="shared" si="158"/>
        <v>252</v>
      </c>
      <c r="AI123" s="66">
        <f t="shared" si="158"/>
        <v>252</v>
      </c>
      <c r="AJ123" s="73">
        <f>SUM(E123:AI123)</f>
        <v>7296</v>
      </c>
      <c r="AK123" s="66">
        <f t="shared" ref="AK123:BH123" si="159">SUM(AK119:AK122)</f>
        <v>252</v>
      </c>
      <c r="AL123" s="66">
        <f t="shared" si="159"/>
        <v>252</v>
      </c>
      <c r="AM123" s="66">
        <f t="shared" si="159"/>
        <v>0</v>
      </c>
      <c r="AN123" s="66">
        <f t="shared" si="159"/>
        <v>0</v>
      </c>
      <c r="AO123" s="66">
        <f t="shared" si="159"/>
        <v>60</v>
      </c>
      <c r="AP123" s="66">
        <f t="shared" si="159"/>
        <v>60</v>
      </c>
      <c r="AQ123" s="66">
        <f t="shared" si="159"/>
        <v>60</v>
      </c>
      <c r="AR123" s="66">
        <f t="shared" si="159"/>
        <v>60</v>
      </c>
      <c r="AS123" s="66">
        <f t="shared" si="159"/>
        <v>60</v>
      </c>
      <c r="AT123" s="66">
        <f t="shared" si="159"/>
        <v>0</v>
      </c>
      <c r="AU123" s="66">
        <f t="shared" si="159"/>
        <v>0</v>
      </c>
      <c r="AV123" s="66">
        <f t="shared" si="159"/>
        <v>560</v>
      </c>
      <c r="AW123" s="66">
        <f t="shared" si="159"/>
        <v>60</v>
      </c>
      <c r="AX123" s="66">
        <f t="shared" si="159"/>
        <v>60</v>
      </c>
      <c r="AY123" s="66">
        <f t="shared" si="159"/>
        <v>60</v>
      </c>
      <c r="AZ123" s="66">
        <f t="shared" si="159"/>
        <v>60</v>
      </c>
      <c r="BA123" s="66">
        <f t="shared" si="159"/>
        <v>0</v>
      </c>
      <c r="BB123" s="66">
        <f t="shared" si="159"/>
        <v>0</v>
      </c>
      <c r="BC123" s="66">
        <f t="shared" si="159"/>
        <v>0</v>
      </c>
      <c r="BD123" s="66">
        <f t="shared" si="159"/>
        <v>0</v>
      </c>
      <c r="BE123" s="66">
        <f t="shared" si="159"/>
        <v>0</v>
      </c>
      <c r="BF123" s="66">
        <f t="shared" si="159"/>
        <v>0</v>
      </c>
      <c r="BG123" s="66">
        <f t="shared" si="159"/>
        <v>0</v>
      </c>
      <c r="BH123" s="66">
        <f t="shared" si="159"/>
        <v>500</v>
      </c>
      <c r="BI123" s="93">
        <f>SUM(AK123:BH123)</f>
        <v>2104</v>
      </c>
      <c r="BJ123" s="91">
        <f>BI123+AJ123</f>
        <v>9400</v>
      </c>
    </row>
    <row r="124" spans="1:62" s="42" customFormat="1" x14ac:dyDescent="0.3">
      <c r="B124" s="43"/>
      <c r="C124" s="43"/>
      <c r="AJ124" s="79"/>
      <c r="BI124" s="71" t="s">
        <v>0</v>
      </c>
      <c r="BJ124" s="91" t="s">
        <v>0</v>
      </c>
    </row>
    <row r="125" spans="1:62" s="42" customFormat="1" x14ac:dyDescent="0.3">
      <c r="B125" s="43"/>
      <c r="C125" s="43"/>
      <c r="AJ125" s="79"/>
      <c r="BI125" s="71"/>
      <c r="BJ125" s="91"/>
    </row>
    <row r="126" spans="1:62" s="42" customFormat="1" x14ac:dyDescent="0.3">
      <c r="A126" s="60" t="s">
        <v>85</v>
      </c>
      <c r="B126" s="43"/>
      <c r="C126" s="43"/>
      <c r="AJ126" s="79"/>
      <c r="BI126" s="71"/>
      <c r="BJ126" s="91"/>
    </row>
    <row r="127" spans="1:62" s="42" customFormat="1" x14ac:dyDescent="0.3">
      <c r="B127" s="43"/>
      <c r="C127" s="43"/>
      <c r="AJ127" s="79"/>
      <c r="BI127" s="71"/>
      <c r="BJ127" s="91"/>
    </row>
    <row r="128" spans="1:62" s="43" customFormat="1" x14ac:dyDescent="0.3">
      <c r="A128" s="177" t="s">
        <v>86</v>
      </c>
      <c r="E128" s="43">
        <v>0</v>
      </c>
      <c r="F128" s="43">
        <v>0</v>
      </c>
      <c r="G128" s="43">
        <v>0</v>
      </c>
      <c r="H128" s="43">
        <v>0</v>
      </c>
      <c r="I128" s="43">
        <v>0</v>
      </c>
      <c r="J128" s="43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3">
        <v>0</v>
      </c>
      <c r="R128" s="43">
        <v>0</v>
      </c>
      <c r="S128" s="43">
        <v>0</v>
      </c>
      <c r="T128" s="43">
        <v>0</v>
      </c>
      <c r="U128" s="43">
        <v>0</v>
      </c>
      <c r="V128" s="43">
        <v>0</v>
      </c>
      <c r="W128" s="43">
        <v>0</v>
      </c>
      <c r="X128" s="43">
        <v>0</v>
      </c>
      <c r="Y128" s="43">
        <v>0</v>
      </c>
      <c r="Z128" s="43">
        <v>0</v>
      </c>
      <c r="AA128" s="43">
        <v>0</v>
      </c>
      <c r="AB128" s="43">
        <v>0</v>
      </c>
      <c r="AC128" s="43">
        <v>0</v>
      </c>
      <c r="AD128" s="43">
        <v>0</v>
      </c>
      <c r="AE128" s="43">
        <v>0</v>
      </c>
      <c r="AF128" s="43">
        <v>0</v>
      </c>
      <c r="AG128" s="43">
        <v>0</v>
      </c>
      <c r="AH128" s="43">
        <v>0</v>
      </c>
      <c r="AI128" s="43">
        <v>0</v>
      </c>
      <c r="AJ128" s="71">
        <f>SUM(E128:AI128)</f>
        <v>0</v>
      </c>
      <c r="AK128" s="43">
        <v>0</v>
      </c>
      <c r="AL128" s="43">
        <v>0</v>
      </c>
      <c r="AM128" s="43">
        <v>0</v>
      </c>
      <c r="AN128" s="43">
        <v>0</v>
      </c>
      <c r="AO128" s="43">
        <v>0</v>
      </c>
      <c r="AP128" s="43">
        <v>0</v>
      </c>
      <c r="AQ128" s="43">
        <v>0</v>
      </c>
      <c r="AR128" s="43">
        <v>0</v>
      </c>
      <c r="AS128" s="43">
        <v>0</v>
      </c>
      <c r="AT128" s="43">
        <v>500</v>
      </c>
      <c r="AU128" s="43">
        <v>0</v>
      </c>
      <c r="AV128" s="43">
        <v>0</v>
      </c>
      <c r="AW128" s="43">
        <v>0</v>
      </c>
      <c r="AX128" s="43">
        <v>0</v>
      </c>
      <c r="AY128" s="43">
        <v>0</v>
      </c>
      <c r="AZ128" s="43">
        <v>0</v>
      </c>
      <c r="BA128" s="43">
        <v>0</v>
      </c>
      <c r="BB128" s="43">
        <v>0</v>
      </c>
      <c r="BC128" s="43">
        <v>0</v>
      </c>
      <c r="BD128" s="43">
        <v>0</v>
      </c>
      <c r="BE128" s="43">
        <v>0</v>
      </c>
      <c r="BF128" s="43">
        <v>500</v>
      </c>
      <c r="BG128" s="43">
        <v>0</v>
      </c>
      <c r="BH128" s="43">
        <v>0</v>
      </c>
      <c r="BI128" s="93">
        <f>SUM(AK128:BH128)</f>
        <v>1000</v>
      </c>
      <c r="BJ128" s="156">
        <f>BI128+AJ128</f>
        <v>1000</v>
      </c>
    </row>
    <row r="129" spans="1:62" s="43" customFormat="1" x14ac:dyDescent="0.3">
      <c r="A129" s="177" t="s">
        <v>87</v>
      </c>
      <c r="B129" s="89">
        <v>100</v>
      </c>
      <c r="E129" s="43">
        <f>$B$129</f>
        <v>100</v>
      </c>
      <c r="F129" s="43">
        <f t="shared" ref="F129:BH129" si="160">$B$129</f>
        <v>100</v>
      </c>
      <c r="G129" s="43">
        <f t="shared" si="160"/>
        <v>100</v>
      </c>
      <c r="H129" s="43">
        <f t="shared" si="160"/>
        <v>100</v>
      </c>
      <c r="I129" s="43">
        <f t="shared" si="160"/>
        <v>100</v>
      </c>
      <c r="J129" s="43">
        <f t="shared" si="160"/>
        <v>100</v>
      </c>
      <c r="K129" s="43">
        <f t="shared" si="160"/>
        <v>100</v>
      </c>
      <c r="L129" s="43">
        <f t="shared" si="160"/>
        <v>100</v>
      </c>
      <c r="M129" s="43">
        <f t="shared" si="160"/>
        <v>100</v>
      </c>
      <c r="N129" s="43">
        <f t="shared" si="160"/>
        <v>100</v>
      </c>
      <c r="O129" s="43">
        <f t="shared" si="160"/>
        <v>100</v>
      </c>
      <c r="P129" s="43">
        <f t="shared" si="160"/>
        <v>100</v>
      </c>
      <c r="Q129" s="43">
        <f t="shared" si="160"/>
        <v>100</v>
      </c>
      <c r="R129" s="43">
        <f t="shared" si="160"/>
        <v>100</v>
      </c>
      <c r="S129" s="43">
        <f t="shared" si="160"/>
        <v>100</v>
      </c>
      <c r="T129" s="43">
        <f t="shared" si="160"/>
        <v>100</v>
      </c>
      <c r="U129" s="43">
        <f t="shared" si="160"/>
        <v>100</v>
      </c>
      <c r="V129" s="43">
        <f t="shared" si="160"/>
        <v>100</v>
      </c>
      <c r="W129" s="43">
        <f t="shared" si="160"/>
        <v>100</v>
      </c>
      <c r="X129" s="43">
        <f t="shared" si="160"/>
        <v>100</v>
      </c>
      <c r="Y129" s="43">
        <f t="shared" si="160"/>
        <v>100</v>
      </c>
      <c r="Z129" s="43">
        <f t="shared" si="160"/>
        <v>100</v>
      </c>
      <c r="AA129" s="43">
        <f t="shared" si="160"/>
        <v>100</v>
      </c>
      <c r="AB129" s="43">
        <f t="shared" si="160"/>
        <v>100</v>
      </c>
      <c r="AC129" s="43">
        <f t="shared" si="160"/>
        <v>100</v>
      </c>
      <c r="AD129" s="43">
        <f t="shared" si="160"/>
        <v>100</v>
      </c>
      <c r="AE129" s="43">
        <f t="shared" si="160"/>
        <v>100</v>
      </c>
      <c r="AF129" s="43">
        <f t="shared" si="160"/>
        <v>100</v>
      </c>
      <c r="AG129" s="43">
        <f t="shared" si="160"/>
        <v>100</v>
      </c>
      <c r="AH129" s="43">
        <f t="shared" si="160"/>
        <v>100</v>
      </c>
      <c r="AI129" s="43">
        <f t="shared" si="160"/>
        <v>100</v>
      </c>
      <c r="AJ129" s="71">
        <f>SUM(E129:AI129)</f>
        <v>3100</v>
      </c>
      <c r="AK129" s="43">
        <f t="shared" si="160"/>
        <v>100</v>
      </c>
      <c r="AL129" s="43">
        <f t="shared" si="160"/>
        <v>100</v>
      </c>
      <c r="AM129" s="43">
        <f t="shared" si="160"/>
        <v>100</v>
      </c>
      <c r="AN129" s="43">
        <f t="shared" si="160"/>
        <v>100</v>
      </c>
      <c r="AO129" s="43">
        <f t="shared" si="160"/>
        <v>100</v>
      </c>
      <c r="AP129" s="43">
        <f t="shared" si="160"/>
        <v>100</v>
      </c>
      <c r="AQ129" s="43">
        <f t="shared" si="160"/>
        <v>100</v>
      </c>
      <c r="AR129" s="43">
        <f t="shared" si="160"/>
        <v>100</v>
      </c>
      <c r="AS129" s="43">
        <f t="shared" si="160"/>
        <v>100</v>
      </c>
      <c r="AT129" s="43">
        <f t="shared" si="160"/>
        <v>100</v>
      </c>
      <c r="AU129" s="43">
        <f t="shared" si="160"/>
        <v>100</v>
      </c>
      <c r="AV129" s="43">
        <f t="shared" si="160"/>
        <v>100</v>
      </c>
      <c r="AW129" s="43">
        <f t="shared" si="160"/>
        <v>100</v>
      </c>
      <c r="AX129" s="43">
        <f t="shared" si="160"/>
        <v>100</v>
      </c>
      <c r="AY129" s="43">
        <f t="shared" si="160"/>
        <v>100</v>
      </c>
      <c r="AZ129" s="43">
        <f t="shared" si="160"/>
        <v>100</v>
      </c>
      <c r="BA129" s="43">
        <f t="shared" si="160"/>
        <v>100</v>
      </c>
      <c r="BB129" s="43">
        <f t="shared" si="160"/>
        <v>100</v>
      </c>
      <c r="BC129" s="43">
        <f t="shared" si="160"/>
        <v>100</v>
      </c>
      <c r="BD129" s="43">
        <f t="shared" si="160"/>
        <v>100</v>
      </c>
      <c r="BE129" s="43">
        <f t="shared" si="160"/>
        <v>100</v>
      </c>
      <c r="BF129" s="43">
        <f t="shared" si="160"/>
        <v>100</v>
      </c>
      <c r="BG129" s="43">
        <f t="shared" si="160"/>
        <v>100</v>
      </c>
      <c r="BH129" s="43">
        <f t="shared" si="160"/>
        <v>100</v>
      </c>
      <c r="BI129" s="93">
        <f t="shared" ref="BI129:BI132" si="161">SUM(AK129:BH129)</f>
        <v>2400</v>
      </c>
      <c r="BJ129" s="156">
        <f t="shared" ref="BJ129:BJ135" si="162">BI129+AJ129</f>
        <v>5500</v>
      </c>
    </row>
    <row r="130" spans="1:62" s="43" customFormat="1" x14ac:dyDescent="0.3">
      <c r="A130" s="119" t="s">
        <v>88</v>
      </c>
      <c r="B130" s="89">
        <f>80*15</f>
        <v>1200</v>
      </c>
      <c r="E130" s="43">
        <f>$B$130</f>
        <v>1200</v>
      </c>
      <c r="F130" s="43">
        <v>0</v>
      </c>
      <c r="G130" s="43">
        <v>0</v>
      </c>
      <c r="H130" s="43">
        <v>0</v>
      </c>
      <c r="I130" s="43">
        <v>0</v>
      </c>
      <c r="J130" s="43">
        <v>0</v>
      </c>
      <c r="K130" s="43">
        <v>0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3">
        <v>0</v>
      </c>
      <c r="R130" s="43">
        <v>0</v>
      </c>
      <c r="S130" s="43">
        <v>0</v>
      </c>
      <c r="T130" s="43">
        <v>0</v>
      </c>
      <c r="U130" s="43">
        <v>0</v>
      </c>
      <c r="V130" s="43">
        <v>0</v>
      </c>
      <c r="W130" s="43">
        <v>0</v>
      </c>
      <c r="X130" s="43">
        <v>0</v>
      </c>
      <c r="Y130" s="43">
        <v>0</v>
      </c>
      <c r="Z130" s="43">
        <v>0</v>
      </c>
      <c r="AA130" s="43">
        <v>0</v>
      </c>
      <c r="AB130" s="43">
        <v>0</v>
      </c>
      <c r="AC130" s="43">
        <v>0</v>
      </c>
      <c r="AD130" s="43">
        <v>0</v>
      </c>
      <c r="AE130" s="43">
        <v>0</v>
      </c>
      <c r="AF130" s="43">
        <v>0</v>
      </c>
      <c r="AG130" s="43">
        <v>0</v>
      </c>
      <c r="AH130" s="43">
        <v>0</v>
      </c>
      <c r="AI130" s="43">
        <v>0</v>
      </c>
      <c r="AJ130" s="71">
        <f>SUM(E130:AI130)</f>
        <v>1200</v>
      </c>
      <c r="AK130" s="43">
        <f t="shared" ref="AK130" si="163">$B$130</f>
        <v>1200</v>
      </c>
      <c r="AL130" s="43">
        <v>0</v>
      </c>
      <c r="AM130" s="43">
        <v>0</v>
      </c>
      <c r="AN130" s="43">
        <v>0</v>
      </c>
      <c r="AO130" s="43">
        <v>0</v>
      </c>
      <c r="AP130" s="43">
        <v>0</v>
      </c>
      <c r="AQ130" s="43">
        <v>0</v>
      </c>
      <c r="AR130" s="43">
        <v>0</v>
      </c>
      <c r="AS130" s="43">
        <v>0</v>
      </c>
      <c r="AT130" s="43">
        <v>0</v>
      </c>
      <c r="AU130" s="43">
        <v>0</v>
      </c>
      <c r="AV130" s="43">
        <v>0</v>
      </c>
      <c r="AW130" s="43">
        <v>0</v>
      </c>
      <c r="AX130" s="43">
        <v>0</v>
      </c>
      <c r="AY130" s="43">
        <v>0</v>
      </c>
      <c r="AZ130" s="43">
        <v>0</v>
      </c>
      <c r="BA130" s="43">
        <v>0</v>
      </c>
      <c r="BB130" s="43">
        <v>0</v>
      </c>
      <c r="BC130" s="43">
        <v>0</v>
      </c>
      <c r="BD130" s="43">
        <v>0</v>
      </c>
      <c r="BE130" s="43">
        <v>0</v>
      </c>
      <c r="BF130" s="43">
        <v>0</v>
      </c>
      <c r="BG130" s="43">
        <v>0</v>
      </c>
      <c r="BH130" s="43">
        <v>23</v>
      </c>
      <c r="BI130" s="93">
        <f t="shared" si="161"/>
        <v>1223</v>
      </c>
      <c r="BJ130" s="156">
        <f t="shared" si="162"/>
        <v>2423</v>
      </c>
    </row>
    <row r="131" spans="1:62" s="43" customFormat="1" x14ac:dyDescent="0.3">
      <c r="A131" s="119" t="s">
        <v>89</v>
      </c>
      <c r="B131" s="89">
        <v>1000</v>
      </c>
      <c r="E131" s="43">
        <f>B131</f>
        <v>1000</v>
      </c>
      <c r="F131" s="43">
        <v>0</v>
      </c>
      <c r="G131" s="43">
        <v>0</v>
      </c>
      <c r="H131" s="43">
        <v>0</v>
      </c>
      <c r="I131" s="43">
        <v>0</v>
      </c>
      <c r="J131" s="43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  <c r="S131" s="43">
        <v>0</v>
      </c>
      <c r="T131" s="43">
        <v>0</v>
      </c>
      <c r="U131" s="43">
        <v>0</v>
      </c>
      <c r="V131" s="43">
        <v>0</v>
      </c>
      <c r="W131" s="43">
        <v>0</v>
      </c>
      <c r="X131" s="43">
        <v>0</v>
      </c>
      <c r="Y131" s="43">
        <v>0</v>
      </c>
      <c r="Z131" s="43">
        <v>0</v>
      </c>
      <c r="AA131" s="43">
        <v>0</v>
      </c>
      <c r="AB131" s="43">
        <v>0</v>
      </c>
      <c r="AC131" s="43">
        <v>0</v>
      </c>
      <c r="AD131" s="43">
        <v>0</v>
      </c>
      <c r="AE131" s="43">
        <v>0</v>
      </c>
      <c r="AF131" s="43">
        <v>0</v>
      </c>
      <c r="AG131" s="43">
        <v>0</v>
      </c>
      <c r="AH131" s="43">
        <v>0</v>
      </c>
      <c r="AI131" s="43">
        <v>0</v>
      </c>
      <c r="AJ131" s="71">
        <f t="shared" ref="AJ131:AJ132" si="164">SUM(E131:AI131)</f>
        <v>1000</v>
      </c>
      <c r="AK131" s="43">
        <v>0</v>
      </c>
      <c r="AL131" s="43">
        <v>0</v>
      </c>
      <c r="AM131" s="43">
        <v>0</v>
      </c>
      <c r="AN131" s="43">
        <v>0</v>
      </c>
      <c r="AO131" s="43">
        <v>0</v>
      </c>
      <c r="AP131" s="43">
        <v>0</v>
      </c>
      <c r="AQ131" s="43">
        <v>0</v>
      </c>
      <c r="AR131" s="43">
        <v>0</v>
      </c>
      <c r="AS131" s="43">
        <v>0</v>
      </c>
      <c r="AT131" s="43">
        <v>0</v>
      </c>
      <c r="AU131" s="43">
        <v>0</v>
      </c>
      <c r="AV131" s="43">
        <v>0</v>
      </c>
      <c r="AW131" s="43">
        <v>0</v>
      </c>
      <c r="AX131" s="43">
        <v>0</v>
      </c>
      <c r="AY131" s="43">
        <v>0</v>
      </c>
      <c r="AZ131" s="43">
        <v>0</v>
      </c>
      <c r="BA131" s="43">
        <v>0</v>
      </c>
      <c r="BB131" s="43">
        <v>0</v>
      </c>
      <c r="BC131" s="43">
        <v>0</v>
      </c>
      <c r="BD131" s="43">
        <v>0</v>
      </c>
      <c r="BE131" s="43">
        <v>0</v>
      </c>
      <c r="BF131" s="43">
        <v>0</v>
      </c>
      <c r="BG131" s="43">
        <v>0</v>
      </c>
      <c r="BH131" s="43">
        <v>0</v>
      </c>
      <c r="BI131" s="93">
        <f t="shared" si="161"/>
        <v>0</v>
      </c>
      <c r="BJ131" s="156">
        <f t="shared" si="162"/>
        <v>1000</v>
      </c>
    </row>
    <row r="132" spans="1:62" s="43" customFormat="1" x14ac:dyDescent="0.3">
      <c r="A132" s="119" t="s">
        <v>90</v>
      </c>
      <c r="B132" s="89">
        <v>2000</v>
      </c>
      <c r="E132" s="43">
        <f>B132</f>
        <v>2000</v>
      </c>
      <c r="F132" s="43">
        <v>0</v>
      </c>
      <c r="G132" s="43">
        <v>0</v>
      </c>
      <c r="H132" s="43">
        <v>0</v>
      </c>
      <c r="I132" s="43">
        <v>0</v>
      </c>
      <c r="J132" s="43">
        <v>0</v>
      </c>
      <c r="K132" s="43">
        <v>0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3">
        <v>0</v>
      </c>
      <c r="R132" s="43">
        <v>0</v>
      </c>
      <c r="S132" s="43">
        <v>0</v>
      </c>
      <c r="T132" s="43">
        <v>0</v>
      </c>
      <c r="U132" s="43">
        <v>0</v>
      </c>
      <c r="V132" s="43">
        <v>0</v>
      </c>
      <c r="W132" s="43">
        <v>0</v>
      </c>
      <c r="X132" s="43">
        <v>0</v>
      </c>
      <c r="Y132" s="43">
        <v>0</v>
      </c>
      <c r="Z132" s="43">
        <v>0</v>
      </c>
      <c r="AA132" s="43">
        <v>0</v>
      </c>
      <c r="AB132" s="43">
        <v>0</v>
      </c>
      <c r="AC132" s="43">
        <v>0</v>
      </c>
      <c r="AD132" s="43">
        <v>0</v>
      </c>
      <c r="AE132" s="43">
        <v>0</v>
      </c>
      <c r="AF132" s="43">
        <v>0</v>
      </c>
      <c r="AG132" s="43">
        <v>0</v>
      </c>
      <c r="AH132" s="43">
        <v>0</v>
      </c>
      <c r="AI132" s="43">
        <v>0</v>
      </c>
      <c r="AJ132" s="71">
        <f t="shared" si="164"/>
        <v>2000</v>
      </c>
      <c r="AK132" s="43">
        <v>0</v>
      </c>
      <c r="AL132" s="43">
        <v>0</v>
      </c>
      <c r="AM132" s="43">
        <v>0</v>
      </c>
      <c r="AN132" s="43">
        <v>0</v>
      </c>
      <c r="AO132" s="43">
        <v>0</v>
      </c>
      <c r="AP132" s="43">
        <v>0</v>
      </c>
      <c r="AQ132" s="43">
        <v>0</v>
      </c>
      <c r="AR132" s="43">
        <v>0</v>
      </c>
      <c r="AS132" s="43">
        <v>0</v>
      </c>
      <c r="AT132" s="43">
        <v>0</v>
      </c>
      <c r="AU132" s="43">
        <v>0</v>
      </c>
      <c r="AV132" s="43">
        <v>0</v>
      </c>
      <c r="AW132" s="43">
        <v>0</v>
      </c>
      <c r="AX132" s="43">
        <v>0</v>
      </c>
      <c r="AY132" s="43">
        <v>0</v>
      </c>
      <c r="AZ132" s="43">
        <v>0</v>
      </c>
      <c r="BA132" s="43">
        <v>0</v>
      </c>
      <c r="BB132" s="43">
        <v>0</v>
      </c>
      <c r="BC132" s="43">
        <v>0</v>
      </c>
      <c r="BD132" s="43">
        <v>0</v>
      </c>
      <c r="BE132" s="43">
        <v>0</v>
      </c>
      <c r="BF132" s="43">
        <v>0</v>
      </c>
      <c r="BG132" s="43">
        <v>0</v>
      </c>
      <c r="BH132" s="43">
        <v>0</v>
      </c>
      <c r="BI132" s="93">
        <f t="shared" si="161"/>
        <v>0</v>
      </c>
      <c r="BJ132" s="156">
        <f t="shared" si="162"/>
        <v>2000</v>
      </c>
    </row>
    <row r="133" spans="1:62" s="43" customFormat="1" x14ac:dyDescent="0.3">
      <c r="A133" s="119"/>
      <c r="B133" s="89"/>
      <c r="AJ133" s="71"/>
      <c r="BI133" s="93"/>
      <c r="BJ133" s="156"/>
    </row>
    <row r="134" spans="1:62" s="43" customFormat="1" x14ac:dyDescent="0.3">
      <c r="AJ134" s="92"/>
      <c r="BI134" s="93"/>
      <c r="BJ134" s="156" t="s">
        <v>0</v>
      </c>
    </row>
    <row r="135" spans="1:62" s="66" customFormat="1" x14ac:dyDescent="0.3">
      <c r="A135" s="22" t="str">
        <f>"Total "&amp;A126</f>
        <v>Total Misc. Expense</v>
      </c>
      <c r="E135" s="66">
        <f t="shared" ref="E135:AH135" si="165">SUM(E128:E132)</f>
        <v>4300</v>
      </c>
      <c r="F135" s="66">
        <f t="shared" si="165"/>
        <v>100</v>
      </c>
      <c r="G135" s="66">
        <f t="shared" si="165"/>
        <v>100</v>
      </c>
      <c r="H135" s="66">
        <f t="shared" si="165"/>
        <v>100</v>
      </c>
      <c r="I135" s="66">
        <f t="shared" si="165"/>
        <v>100</v>
      </c>
      <c r="J135" s="66">
        <f t="shared" si="165"/>
        <v>100</v>
      </c>
      <c r="K135" s="66">
        <f t="shared" si="165"/>
        <v>100</v>
      </c>
      <c r="L135" s="66">
        <f t="shared" si="165"/>
        <v>100</v>
      </c>
      <c r="M135" s="66">
        <f t="shared" si="165"/>
        <v>100</v>
      </c>
      <c r="N135" s="66">
        <f t="shared" si="165"/>
        <v>100</v>
      </c>
      <c r="O135" s="66">
        <f t="shared" si="165"/>
        <v>100</v>
      </c>
      <c r="P135" s="66">
        <f t="shared" si="165"/>
        <v>100</v>
      </c>
      <c r="Q135" s="66">
        <f t="shared" si="165"/>
        <v>100</v>
      </c>
      <c r="R135" s="66">
        <f t="shared" si="165"/>
        <v>100</v>
      </c>
      <c r="S135" s="66">
        <f t="shared" si="165"/>
        <v>100</v>
      </c>
      <c r="T135" s="66">
        <f t="shared" si="165"/>
        <v>100</v>
      </c>
      <c r="U135" s="66">
        <f t="shared" si="165"/>
        <v>100</v>
      </c>
      <c r="V135" s="66">
        <f t="shared" si="165"/>
        <v>100</v>
      </c>
      <c r="W135" s="66">
        <f t="shared" si="165"/>
        <v>100</v>
      </c>
      <c r="X135" s="66">
        <f t="shared" si="165"/>
        <v>100</v>
      </c>
      <c r="Y135" s="66">
        <f t="shared" si="165"/>
        <v>100</v>
      </c>
      <c r="Z135" s="66">
        <f t="shared" si="165"/>
        <v>100</v>
      </c>
      <c r="AA135" s="66">
        <f t="shared" si="165"/>
        <v>100</v>
      </c>
      <c r="AB135" s="66">
        <f t="shared" si="165"/>
        <v>100</v>
      </c>
      <c r="AC135" s="66">
        <f t="shared" si="165"/>
        <v>100</v>
      </c>
      <c r="AD135" s="66">
        <f t="shared" si="165"/>
        <v>100</v>
      </c>
      <c r="AE135" s="66">
        <f t="shared" si="165"/>
        <v>100</v>
      </c>
      <c r="AF135" s="66">
        <f t="shared" si="165"/>
        <v>100</v>
      </c>
      <c r="AG135" s="66">
        <f t="shared" si="165"/>
        <v>100</v>
      </c>
      <c r="AH135" s="66">
        <f t="shared" si="165"/>
        <v>100</v>
      </c>
      <c r="AI135" s="66">
        <f>SUM(AI128:AI132)</f>
        <v>100</v>
      </c>
      <c r="AJ135" s="73">
        <f>SUM(E135:AI135)</f>
        <v>7300</v>
      </c>
      <c r="AK135" s="66">
        <f>SUM(AK128:AK134)</f>
        <v>1300</v>
      </c>
      <c r="AL135" s="66">
        <f t="shared" ref="AL135:BH135" si="166">SUM(AL128:AL134)</f>
        <v>100</v>
      </c>
      <c r="AM135" s="66">
        <f t="shared" si="166"/>
        <v>100</v>
      </c>
      <c r="AN135" s="66">
        <f t="shared" si="166"/>
        <v>100</v>
      </c>
      <c r="AO135" s="66">
        <f t="shared" si="166"/>
        <v>100</v>
      </c>
      <c r="AP135" s="66">
        <f t="shared" si="166"/>
        <v>100</v>
      </c>
      <c r="AQ135" s="66">
        <f t="shared" si="166"/>
        <v>100</v>
      </c>
      <c r="AR135" s="66">
        <f t="shared" si="166"/>
        <v>100</v>
      </c>
      <c r="AS135" s="66">
        <f t="shared" si="166"/>
        <v>100</v>
      </c>
      <c r="AT135" s="66">
        <f t="shared" si="166"/>
        <v>600</v>
      </c>
      <c r="AU135" s="66">
        <f t="shared" si="166"/>
        <v>100</v>
      </c>
      <c r="AV135" s="66">
        <f t="shared" si="166"/>
        <v>100</v>
      </c>
      <c r="AW135" s="66">
        <f t="shared" si="166"/>
        <v>100</v>
      </c>
      <c r="AX135" s="66">
        <f t="shared" si="166"/>
        <v>100</v>
      </c>
      <c r="AY135" s="66">
        <f t="shared" si="166"/>
        <v>100</v>
      </c>
      <c r="AZ135" s="66">
        <f t="shared" si="166"/>
        <v>100</v>
      </c>
      <c r="BA135" s="66">
        <f t="shared" si="166"/>
        <v>100</v>
      </c>
      <c r="BB135" s="66">
        <f t="shared" si="166"/>
        <v>100</v>
      </c>
      <c r="BC135" s="66">
        <f t="shared" si="166"/>
        <v>100</v>
      </c>
      <c r="BD135" s="66">
        <f t="shared" si="166"/>
        <v>100</v>
      </c>
      <c r="BE135" s="66">
        <f t="shared" si="166"/>
        <v>100</v>
      </c>
      <c r="BF135" s="66">
        <f t="shared" si="166"/>
        <v>600</v>
      </c>
      <c r="BG135" s="66">
        <f t="shared" si="166"/>
        <v>100</v>
      </c>
      <c r="BH135" s="66">
        <f t="shared" si="166"/>
        <v>123</v>
      </c>
      <c r="BI135" s="92">
        <f>SUM(BI128:BI134)</f>
        <v>4623</v>
      </c>
      <c r="BJ135" s="157">
        <f t="shared" si="162"/>
        <v>11923</v>
      </c>
    </row>
    <row r="136" spans="1:62" s="42" customFormat="1" x14ac:dyDescent="0.3">
      <c r="AJ136" s="76"/>
      <c r="BI136" s="76"/>
      <c r="BJ136" s="76"/>
    </row>
    <row r="137" spans="1:62" s="42" customFormat="1" x14ac:dyDescent="0.3">
      <c r="AJ137" s="146"/>
      <c r="BI137" s="146"/>
      <c r="BJ137" s="146"/>
    </row>
    <row r="138" spans="1:62" ht="15" thickBot="1" x14ac:dyDescent="0.35">
      <c r="A138" s="154" t="s">
        <v>91</v>
      </c>
      <c r="B138" s="65"/>
      <c r="C138" s="65"/>
      <c r="D138" s="64"/>
      <c r="E138" s="155">
        <f>E135+E123+E114+E97+E87+E77+E68+E55+E47+E61</f>
        <v>40303.53571428571</v>
      </c>
      <c r="F138" s="155">
        <f>F135+F123+F114+F97+F87+F77+F68+F55+F47</f>
        <v>6424.7142857142862</v>
      </c>
      <c r="G138" s="155">
        <f ca="1">G135+G123+G114+G97+G87+G77+G68+G55+G47</f>
        <v>23659.214285714286</v>
      </c>
      <c r="H138" s="155">
        <f ca="1">H135+H123+H114+H97+H87+H77+H68+H55+H47</f>
        <v>8343.2857142857138</v>
      </c>
      <c r="I138" s="155">
        <f ca="1">I135+I123+I114+I97+I87+I77+I68+I55+I47</f>
        <v>13700.964285714286</v>
      </c>
      <c r="J138" s="155">
        <f ca="1">J135+J123+J114+J97+J87+J77+J68+J55+J47</f>
        <v>21047</v>
      </c>
      <c r="K138" s="155">
        <f ca="1">K135+K123+K114+K97+K87+K77+K68+K55+K47</f>
        <v>23429.95</v>
      </c>
      <c r="L138" s="155">
        <f ca="1">L135+L123+L114+L97+L87+L77+L68+L55+L47</f>
        <v>10436.607142857143</v>
      </c>
      <c r="M138" s="155">
        <f ca="1">M135+M123+M114+M97+M87+M77+M68+M55+M47</f>
        <v>15302.642857142857</v>
      </c>
      <c r="N138" s="155">
        <f ca="1">N135+N123+N114+N97+N87+N77+N68+N55+N47</f>
        <v>17081.482142857145</v>
      </c>
      <c r="O138" s="155">
        <f ca="1">O135+O123+O114+O97+O87+O77+O68+O55+O47</f>
        <v>10690.142857142857</v>
      </c>
      <c r="P138" s="155">
        <f ca="1">P135+P123+P114+P97+P87+P77+P68+P55+P47</f>
        <v>14863.132142857143</v>
      </c>
      <c r="Q138" s="155">
        <f ca="1">Q135+Q123+Q114+Q97+Q87+Q77+Q68+Q55+Q47</f>
        <v>39754.5</v>
      </c>
      <c r="R138" s="155">
        <f ca="1">R135+R123+R114+R97+R87+R77+R68+R55+R47</f>
        <v>25479.5</v>
      </c>
      <c r="S138" s="155">
        <f ca="1">S135+S123+S114+S97+S87+S77+S68+S55+S47</f>
        <v>14430.677142857143</v>
      </c>
      <c r="T138" s="155">
        <f ca="1">T135+T123+T114+T97+T87+T77+T68+T55+T47</f>
        <v>14199.712857142857</v>
      </c>
      <c r="U138" s="155">
        <f ca="1">U135+U123+U114+U97+U87+U77+U68+U55+U47</f>
        <v>13930.677142857143</v>
      </c>
      <c r="V138" s="155">
        <f ca="1">V135+V123+V114+V97+V87+V77+V68+V55+V47</f>
        <v>55748.4126984127</v>
      </c>
      <c r="W138" s="155">
        <f ca="1">W135+W123+W114+W97+W87+W77+W68+W55+W47</f>
        <v>9708.6984126984134</v>
      </c>
      <c r="X138" s="155">
        <f ca="1">X135+X123+X114+X97+X87+X77+X68+X55+X47</f>
        <v>5533.5555555555557</v>
      </c>
      <c r="Y138" s="155">
        <f ca="1">Y135+Y123+Y114+Y97+Y87+Y77+Y68+Y55+Y47</f>
        <v>18900.555555555555</v>
      </c>
      <c r="Z138" s="155">
        <f ca="1">Z135+Z123+Z114+Z97+Z87+Z77+Z68+Z55+Z47</f>
        <v>9085.2857142857138</v>
      </c>
      <c r="AA138" s="155">
        <f ca="1">AA135+AA123+AA114+AA97+AA87+AA77+AA68+AA55+AA47</f>
        <v>9275.7142857142862</v>
      </c>
      <c r="AB138" s="155">
        <f ca="1">AB135+AB123+AB114+AB97+AB87+AB77+AB68+AB55+AB47</f>
        <v>10485.285714285714</v>
      </c>
      <c r="AC138" s="155">
        <f ca="1">AC135+AC123+AC114+AC97+AC87+AC77+AC68+AC55+AC47</f>
        <v>9275.7142857142862</v>
      </c>
      <c r="AD138" s="155">
        <f ca="1">AD135+AD123+AD114+AD97+AD87+AD77+AD68+AD55+AD47</f>
        <v>13925.285714285714</v>
      </c>
      <c r="AE138" s="155">
        <f ca="1">AE135+AE123+AE114+AE97+AE87+AE77+AE68+AE55+AE47</f>
        <v>21322</v>
      </c>
      <c r="AF138" s="155">
        <f ca="1">AF135+AF123+AF114+AF97+AF87+AF77+AF68+AF55+AF47</f>
        <v>13715.65</v>
      </c>
      <c r="AG138" s="155">
        <f ca="1">AG135+AG123+AG114+AG97+AG87+AG77+AG68+AG55+AG47</f>
        <v>10193.821428571428</v>
      </c>
      <c r="AH138" s="155">
        <f ca="1">AH135+AH123+AH114+AH97+AH87+AH77+AH68+AH55+AH47</f>
        <v>15871.428571428572</v>
      </c>
      <c r="AI138" s="155">
        <f ca="1">AI135+AI123+AI114+AI97+AI87+AI77+AI68+AI55+AI47</f>
        <v>13437.892857142857</v>
      </c>
      <c r="AJ138" s="75">
        <f ca="1">SUM(E138:AI138)</f>
        <v>529557.03936507949</v>
      </c>
      <c r="AK138" s="155">
        <f ca="1">AK135+AK123+AK114+AK97+AK87+AK77+AK68+AK55+AK47</f>
        <v>9593.8571428571431</v>
      </c>
      <c r="AL138" s="155">
        <f ca="1">AL135+AL123+AL114+AL97+AL87+AL77+AL68+AL55+AL47</f>
        <v>14178.535714285714</v>
      </c>
      <c r="AM138" s="155">
        <f ca="1">AM135+AM123+AM114+AM97+AM87+AM77+AM68+AM55+AM47</f>
        <v>28746.25</v>
      </c>
      <c r="AN138" s="155">
        <f ca="1">AN135+AN123+AN114+AN97+AN87+AN77+AN68+AN55+AN47</f>
        <v>16699.25</v>
      </c>
      <c r="AO138" s="155">
        <f ca="1">AO135+AO123+AO114+AO97+AO87+AO77+AO68+AO55+AO47</f>
        <v>8569.3214285714275</v>
      </c>
      <c r="AP138" s="155">
        <f ca="1">AP135+AP123+AP114+AP97+AP87+AP77+AP68+AP55+AP47</f>
        <v>9023.7142857142862</v>
      </c>
      <c r="AQ138" s="155">
        <f ca="1">AQ135+AQ123+AQ114+AQ97+AQ87+AQ77+AQ68+AQ55+AQ47</f>
        <v>25804.392857142855</v>
      </c>
      <c r="AR138" s="155">
        <f ca="1">AR135+AR123+AR114+AR97+AR87+AR77+AR68+AR55+AR47</f>
        <v>59146.4126984127</v>
      </c>
      <c r="AS138" s="155">
        <f ca="1">AS135+AS123+AS114+AS97+AS87+AS77+AS68+AS55+AS47</f>
        <v>15597.941269841271</v>
      </c>
      <c r="AT138" s="155">
        <f ca="1">AT135+AT123+AT114+AT97+AT87+AT77+AT68+AT55+AT47</f>
        <v>5784.5555555555557</v>
      </c>
      <c r="AU138" s="155">
        <f ca="1">AU135+AU123+AU114+AU97+AU87+AU77+AU68+AU55+AU47</f>
        <v>5327.5555555555557</v>
      </c>
      <c r="AV138" s="155">
        <f ca="1">AV135+AV123+AV114+AV97+AV87+AV77+AV68+AV55+AV47</f>
        <v>11758.321428571429</v>
      </c>
      <c r="AW138" s="155">
        <f ca="1">AW135+AW123+AW114+AW97+AW87+AW77+AW68+AW55+AW47</f>
        <v>12150.714285714286</v>
      </c>
      <c r="AX138" s="155">
        <f ca="1">AX135+AX123+AX114+AX97+AX87+AX77+AX68+AX55+AX47</f>
        <v>24293.892857142855</v>
      </c>
      <c r="AY138" s="155">
        <f ca="1">AY135+AY123+AY114+AY97+AY87+AY77+AY68+AY55+AY47</f>
        <v>13447.857142857143</v>
      </c>
      <c r="AZ138" s="155">
        <f ca="1">AZ135+AZ123+AZ114+AZ97+AZ87+AZ77+AZ68+AZ55+AZ47</f>
        <v>22368.035714285714</v>
      </c>
      <c r="BA138" s="155">
        <f ca="1">BA135+BA123+BA114+BA97+BA87+BA77+BA68+BA55+BA47</f>
        <v>55604.5</v>
      </c>
      <c r="BB138" s="155">
        <f ca="1">BB135+BB123+BB114+BB97+BB87+BB77+BB68+BB55+BB47</f>
        <v>5465</v>
      </c>
      <c r="BC138" s="155">
        <f ca="1">BC135+BC123+BC114+BC97+BC87+BC77+BC68+BC55+BC47</f>
        <v>15976.821428571428</v>
      </c>
      <c r="BD138" s="155">
        <f ca="1">BD135+BD123+BD114+BD97+BD87+BD77+BD68+BD55+BD47</f>
        <v>17415.714285714286</v>
      </c>
      <c r="BE138" s="155">
        <f ca="1">BE135+BE123+BE114+BE97+BE87+BE77+BE68+BE55+BE47</f>
        <v>36150.892857142855</v>
      </c>
      <c r="BF138" s="155">
        <f ca="1">BF135+BF123+BF114+BF97+BF87+BF77+BF68+BF55+BF47</f>
        <v>19840.857142857145</v>
      </c>
      <c r="BG138" s="155">
        <f ca="1">BG135+BG123+BG114+BG97+BG87+BG77+BG68+BG55+BG47</f>
        <v>24545.535714285714</v>
      </c>
      <c r="BH138" s="155">
        <f ca="1">BH135+BH123+BH114+BH97+BH87+BH77+BH68+BH55+BH47</f>
        <v>19766.850446428572</v>
      </c>
      <c r="BI138" s="75">
        <f ca="1">SUM(AK138:BH138)</f>
        <v>477256.77981150796</v>
      </c>
      <c r="BJ138" s="95">
        <f ca="1">BI138+AJ138</f>
        <v>1006813.8191765875</v>
      </c>
    </row>
    <row r="139" spans="1:62" ht="15" thickTop="1" x14ac:dyDescent="0.3">
      <c r="A139" s="42"/>
      <c r="B139" s="43"/>
      <c r="C139" s="43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79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161"/>
    </row>
    <row r="140" spans="1:62" x14ac:dyDescent="0.3">
      <c r="A140" s="42"/>
      <c r="B140" s="43"/>
      <c r="BI140" s="42"/>
      <c r="BJ140" s="42"/>
    </row>
    <row r="141" spans="1:62" x14ac:dyDescent="0.3">
      <c r="B141" s="43"/>
    </row>
    <row r="142" spans="1:62" x14ac:dyDescent="0.3">
      <c r="A142" s="153"/>
      <c r="B142" s="43"/>
    </row>
    <row r="143" spans="1:62" x14ac:dyDescent="0.3">
      <c r="A143" s="250" t="s">
        <v>92</v>
      </c>
      <c r="B143" s="43"/>
    </row>
    <row r="144" spans="1:62" x14ac:dyDescent="0.3">
      <c r="A144" s="250" t="s">
        <v>93</v>
      </c>
      <c r="B144" s="43"/>
    </row>
    <row r="145" spans="1:1" x14ac:dyDescent="0.3">
      <c r="A145" s="250" t="s">
        <v>94</v>
      </c>
    </row>
    <row r="146" spans="1:1" x14ac:dyDescent="0.3">
      <c r="A146" s="42"/>
    </row>
    <row r="147" spans="1:1" x14ac:dyDescent="0.3">
      <c r="A147" s="42"/>
    </row>
    <row r="148" spans="1:1" x14ac:dyDescent="0.3">
      <c r="A148" s="42"/>
    </row>
    <row r="149" spans="1:1" x14ac:dyDescent="0.3">
      <c r="A149" s="42"/>
    </row>
    <row r="150" spans="1:1" x14ac:dyDescent="0.3">
      <c r="A150" s="42"/>
    </row>
    <row r="151" spans="1:1" x14ac:dyDescent="0.3">
      <c r="A151" s="42"/>
    </row>
    <row r="152" spans="1:1" x14ac:dyDescent="0.3">
      <c r="A152" s="42"/>
    </row>
    <row r="153" spans="1:1" x14ac:dyDescent="0.3">
      <c r="A153" s="42"/>
    </row>
    <row r="204" spans="5:60" x14ac:dyDescent="0.3"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63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</row>
    <row r="205" spans="5:60" x14ac:dyDescent="0.3"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63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</row>
    <row r="206" spans="5:60" x14ac:dyDescent="0.3"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63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</row>
    <row r="207" spans="5:60" x14ac:dyDescent="0.3"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63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</row>
    <row r="208" spans="5:60" x14ac:dyDescent="0.3"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63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</row>
    <row r="209" spans="5:60" x14ac:dyDescent="0.3"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63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</row>
    <row r="210" spans="5:60" x14ac:dyDescent="0.3"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63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</row>
    <row r="211" spans="5:60" x14ac:dyDescent="0.3"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63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</row>
    <row r="212" spans="5:60" x14ac:dyDescent="0.3"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63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</row>
    <row r="213" spans="5:60" x14ac:dyDescent="0.3"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63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</row>
    <row r="214" spans="5:60" x14ac:dyDescent="0.3"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63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</row>
    <row r="215" spans="5:60" x14ac:dyDescent="0.3"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63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</row>
    <row r="216" spans="5:60" x14ac:dyDescent="0.3"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63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</row>
    <row r="217" spans="5:60" x14ac:dyDescent="0.3"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63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</row>
    <row r="218" spans="5:60" x14ac:dyDescent="0.3"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63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</row>
    <row r="219" spans="5:60" x14ac:dyDescent="0.3"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63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</row>
    <row r="220" spans="5:60" x14ac:dyDescent="0.3"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63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</row>
    <row r="221" spans="5:60" x14ac:dyDescent="0.3"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63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</row>
    <row r="222" spans="5:60" x14ac:dyDescent="0.3"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63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</row>
    <row r="223" spans="5:60" x14ac:dyDescent="0.3"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63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</row>
    <row r="224" spans="5:60" x14ac:dyDescent="0.3"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63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</row>
    <row r="225" spans="5:60" x14ac:dyDescent="0.3"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63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</row>
    <row r="226" spans="5:60" x14ac:dyDescent="0.3"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63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</row>
    <row r="227" spans="5:60" x14ac:dyDescent="0.3"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63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</row>
    <row r="228" spans="5:60" x14ac:dyDescent="0.3"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63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</row>
    <row r="229" spans="5:60" x14ac:dyDescent="0.3"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63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</row>
    <row r="230" spans="5:60" x14ac:dyDescent="0.3"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63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</row>
    <row r="231" spans="5:60" x14ac:dyDescent="0.3"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63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</row>
    <row r="232" spans="5:60" x14ac:dyDescent="0.3"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63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</row>
    <row r="233" spans="5:60" x14ac:dyDescent="0.3"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63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</row>
    <row r="234" spans="5:60" x14ac:dyDescent="0.3"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63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</row>
    <row r="235" spans="5:60" x14ac:dyDescent="0.3"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63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</row>
    <row r="236" spans="5:60" x14ac:dyDescent="0.3"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63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</row>
    <row r="237" spans="5:60" x14ac:dyDescent="0.3"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63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</row>
    <row r="238" spans="5:60" x14ac:dyDescent="0.3"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63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</row>
    <row r="239" spans="5:60" x14ac:dyDescent="0.3"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63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</row>
    <row r="240" spans="5:60" x14ac:dyDescent="0.3"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63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</row>
    <row r="241" spans="5:60" x14ac:dyDescent="0.3"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63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</row>
    <row r="242" spans="5:60" x14ac:dyDescent="0.3"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63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</row>
    <row r="243" spans="5:60" x14ac:dyDescent="0.3"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63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</row>
    <row r="244" spans="5:60" x14ac:dyDescent="0.3"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63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</row>
    <row r="245" spans="5:60" x14ac:dyDescent="0.3"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63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</row>
    <row r="246" spans="5:60" x14ac:dyDescent="0.3"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63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</row>
    <row r="247" spans="5:60" x14ac:dyDescent="0.3"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63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</row>
    <row r="248" spans="5:60" x14ac:dyDescent="0.3"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63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</row>
    <row r="249" spans="5:60" x14ac:dyDescent="0.3"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63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</row>
    <row r="250" spans="5:60" x14ac:dyDescent="0.3"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63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</row>
    <row r="251" spans="5:60" x14ac:dyDescent="0.3"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63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</row>
    <row r="252" spans="5:60" x14ac:dyDescent="0.3"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63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</row>
    <row r="253" spans="5:60" x14ac:dyDescent="0.3"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63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</row>
    <row r="254" spans="5:60" x14ac:dyDescent="0.3"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63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</row>
    <row r="255" spans="5:60" x14ac:dyDescent="0.3"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63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</row>
    <row r="256" spans="5:60" x14ac:dyDescent="0.3"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63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</row>
    <row r="257" spans="5:60" x14ac:dyDescent="0.3"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63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</row>
    <row r="258" spans="5:60" x14ac:dyDescent="0.3"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63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</row>
    <row r="259" spans="5:60" x14ac:dyDescent="0.3"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63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</row>
    <row r="260" spans="5:60" x14ac:dyDescent="0.3"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63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</row>
    <row r="261" spans="5:60" x14ac:dyDescent="0.3"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63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</row>
    <row r="262" spans="5:60" x14ac:dyDescent="0.3"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63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</row>
    <row r="263" spans="5:60" x14ac:dyDescent="0.3"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63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</row>
    <row r="264" spans="5:60" x14ac:dyDescent="0.3"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63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</row>
    <row r="265" spans="5:60" x14ac:dyDescent="0.3"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63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</row>
    <row r="266" spans="5:60" x14ac:dyDescent="0.3"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63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</row>
    <row r="267" spans="5:60" x14ac:dyDescent="0.3"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63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</row>
    <row r="268" spans="5:60" x14ac:dyDescent="0.3"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63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</row>
    <row r="269" spans="5:60" x14ac:dyDescent="0.3"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63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</row>
    <row r="270" spans="5:60" x14ac:dyDescent="0.3"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63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</row>
    <row r="271" spans="5:60" x14ac:dyDescent="0.3"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63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</row>
    <row r="272" spans="5:60" x14ac:dyDescent="0.3"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63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</row>
    <row r="273" spans="5:60" x14ac:dyDescent="0.3"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63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</row>
    <row r="274" spans="5:60" x14ac:dyDescent="0.3"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63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</row>
    <row r="275" spans="5:60" x14ac:dyDescent="0.3"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63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</row>
    <row r="276" spans="5:60" x14ac:dyDescent="0.3"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63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</row>
    <row r="277" spans="5:60" x14ac:dyDescent="0.3"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63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</row>
    <row r="278" spans="5:60" x14ac:dyDescent="0.3"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63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</row>
    <row r="279" spans="5:60" x14ac:dyDescent="0.3"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63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</row>
    <row r="280" spans="5:60" x14ac:dyDescent="0.3"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63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</row>
    <row r="281" spans="5:60" x14ac:dyDescent="0.3"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63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</row>
    <row r="282" spans="5:60" x14ac:dyDescent="0.3"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63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</row>
    <row r="283" spans="5:60" x14ac:dyDescent="0.3"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63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</row>
    <row r="284" spans="5:60" x14ac:dyDescent="0.3"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63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</row>
    <row r="285" spans="5:60" x14ac:dyDescent="0.3"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63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</row>
    <row r="286" spans="5:60" x14ac:dyDescent="0.3"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63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</row>
    <row r="287" spans="5:60" x14ac:dyDescent="0.3"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63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</row>
    <row r="288" spans="5:60" x14ac:dyDescent="0.3"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63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</row>
    <row r="289" spans="5:60" x14ac:dyDescent="0.3"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63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</row>
    <row r="290" spans="5:60" x14ac:dyDescent="0.3"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63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</row>
    <row r="291" spans="5:60" x14ac:dyDescent="0.3"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63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</row>
    <row r="292" spans="5:60" x14ac:dyDescent="0.3"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63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</row>
    <row r="293" spans="5:60" x14ac:dyDescent="0.3"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63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</row>
    <row r="294" spans="5:60" x14ac:dyDescent="0.3"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63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</row>
    <row r="295" spans="5:60" x14ac:dyDescent="0.3"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63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</row>
    <row r="296" spans="5:60" x14ac:dyDescent="0.3"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63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</row>
    <row r="297" spans="5:60" x14ac:dyDescent="0.3"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63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</row>
    <row r="298" spans="5:60" x14ac:dyDescent="0.3"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63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</row>
    <row r="299" spans="5:60" x14ac:dyDescent="0.3"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63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</row>
    <row r="300" spans="5:60" x14ac:dyDescent="0.3"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63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</row>
    <row r="301" spans="5:60" x14ac:dyDescent="0.3"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63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</row>
    <row r="302" spans="5:60" x14ac:dyDescent="0.3"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63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</row>
    <row r="303" spans="5:60" x14ac:dyDescent="0.3"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63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</row>
    <row r="304" spans="5:60" x14ac:dyDescent="0.3"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63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</row>
    <row r="305" spans="5:60" x14ac:dyDescent="0.3"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63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</row>
    <row r="306" spans="5:60" x14ac:dyDescent="0.3"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63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</row>
    <row r="307" spans="5:60" x14ac:dyDescent="0.3"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63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</row>
    <row r="308" spans="5:60" x14ac:dyDescent="0.3"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63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</row>
    <row r="309" spans="5:60" x14ac:dyDescent="0.3"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63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</row>
    <row r="310" spans="5:60" x14ac:dyDescent="0.3"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63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</row>
    <row r="311" spans="5:60" x14ac:dyDescent="0.3"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63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</row>
    <row r="312" spans="5:60" x14ac:dyDescent="0.3"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63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</row>
    <row r="313" spans="5:60" x14ac:dyDescent="0.3"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63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</row>
    <row r="314" spans="5:60" x14ac:dyDescent="0.3"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63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</row>
    <row r="315" spans="5:60" x14ac:dyDescent="0.3"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63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</row>
    <row r="316" spans="5:60" x14ac:dyDescent="0.3"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63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</row>
    <row r="317" spans="5:60" x14ac:dyDescent="0.3"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63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</row>
    <row r="318" spans="5:60" x14ac:dyDescent="0.3"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63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</row>
    <row r="319" spans="5:60" x14ac:dyDescent="0.3"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63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</row>
    <row r="320" spans="5:60" x14ac:dyDescent="0.3"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63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</row>
    <row r="321" spans="5:60" x14ac:dyDescent="0.3"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63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</row>
    <row r="322" spans="5:60" x14ac:dyDescent="0.3"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63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</row>
    <row r="323" spans="5:60" x14ac:dyDescent="0.3"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63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</row>
    <row r="324" spans="5:60" x14ac:dyDescent="0.3"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63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</row>
    <row r="325" spans="5:60" x14ac:dyDescent="0.3"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63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</row>
    <row r="326" spans="5:60" x14ac:dyDescent="0.3"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63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</row>
    <row r="327" spans="5:60" x14ac:dyDescent="0.3"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63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</row>
    <row r="328" spans="5:60" x14ac:dyDescent="0.3"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63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</row>
    <row r="329" spans="5:60" x14ac:dyDescent="0.3"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63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</row>
    <row r="330" spans="5:60" x14ac:dyDescent="0.3"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63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</row>
    <row r="331" spans="5:60" x14ac:dyDescent="0.3"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63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</row>
    <row r="332" spans="5:60" x14ac:dyDescent="0.3"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63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</row>
    <row r="333" spans="5:60" x14ac:dyDescent="0.3"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63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</row>
    <row r="334" spans="5:60" x14ac:dyDescent="0.3"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63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</row>
    <row r="335" spans="5:60" x14ac:dyDescent="0.3"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63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</row>
    <row r="336" spans="5:60" x14ac:dyDescent="0.3"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63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</row>
    <row r="337" spans="5:60" x14ac:dyDescent="0.3"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63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</row>
    <row r="338" spans="5:60" x14ac:dyDescent="0.3"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63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</row>
    <row r="339" spans="5:60" x14ac:dyDescent="0.3"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63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</row>
    <row r="340" spans="5:60" x14ac:dyDescent="0.3"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63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</row>
    <row r="341" spans="5:60" x14ac:dyDescent="0.3"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63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</row>
    <row r="342" spans="5:60" x14ac:dyDescent="0.3"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63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</row>
    <row r="343" spans="5:60" x14ac:dyDescent="0.3"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63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</row>
    <row r="344" spans="5:60" x14ac:dyDescent="0.3"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63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</row>
    <row r="345" spans="5:60" x14ac:dyDescent="0.3"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63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</row>
    <row r="346" spans="5:60" x14ac:dyDescent="0.3"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63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</row>
    <row r="347" spans="5:60" x14ac:dyDescent="0.3"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63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</row>
    <row r="348" spans="5:60" x14ac:dyDescent="0.3"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63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</row>
    <row r="349" spans="5:60" x14ac:dyDescent="0.3"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63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</row>
    <row r="350" spans="5:60" x14ac:dyDescent="0.3"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63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</row>
    <row r="351" spans="5:60" x14ac:dyDescent="0.3"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63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</row>
    <row r="352" spans="5:60" x14ac:dyDescent="0.3"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63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</row>
    <row r="353" spans="5:60" x14ac:dyDescent="0.3"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63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</row>
    <row r="354" spans="5:60" x14ac:dyDescent="0.3"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63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</row>
    <row r="355" spans="5:60" x14ac:dyDescent="0.3"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63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</row>
    <row r="356" spans="5:60" x14ac:dyDescent="0.3"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63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</row>
    <row r="357" spans="5:60" x14ac:dyDescent="0.3"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63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</row>
    <row r="358" spans="5:60" x14ac:dyDescent="0.3"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63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</row>
    <row r="359" spans="5:60" x14ac:dyDescent="0.3"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63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</row>
    <row r="360" spans="5:60" x14ac:dyDescent="0.3"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63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</row>
    <row r="361" spans="5:60" x14ac:dyDescent="0.3"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63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</row>
    <row r="362" spans="5:60" x14ac:dyDescent="0.3"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63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</row>
    <row r="363" spans="5:60" x14ac:dyDescent="0.3"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63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</row>
    <row r="364" spans="5:60" x14ac:dyDescent="0.3"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63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</row>
    <row r="365" spans="5:60" x14ac:dyDescent="0.3"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63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</row>
    <row r="366" spans="5:60" x14ac:dyDescent="0.3"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63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</row>
    <row r="367" spans="5:60" x14ac:dyDescent="0.3"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63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</row>
    <row r="368" spans="5:60" x14ac:dyDescent="0.3"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63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</row>
    <row r="369" spans="5:60" x14ac:dyDescent="0.3"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63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</row>
    <row r="370" spans="5:60" x14ac:dyDescent="0.3"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63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</row>
    <row r="371" spans="5:60" x14ac:dyDescent="0.3"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63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</row>
    <row r="372" spans="5:60" x14ac:dyDescent="0.3"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63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</row>
    <row r="373" spans="5:60" x14ac:dyDescent="0.3"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63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</row>
    <row r="374" spans="5:60" x14ac:dyDescent="0.3"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63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</row>
    <row r="375" spans="5:60" x14ac:dyDescent="0.3"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63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</row>
    <row r="376" spans="5:60" x14ac:dyDescent="0.3"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63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</row>
    <row r="377" spans="5:60" x14ac:dyDescent="0.3"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63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</row>
    <row r="378" spans="5:60" x14ac:dyDescent="0.3"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63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</row>
    <row r="379" spans="5:60" x14ac:dyDescent="0.3"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63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</row>
    <row r="380" spans="5:60" x14ac:dyDescent="0.3"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63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</row>
    <row r="381" spans="5:60" x14ac:dyDescent="0.3"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63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</row>
    <row r="382" spans="5:60" x14ac:dyDescent="0.3"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63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</row>
    <row r="383" spans="5:60" x14ac:dyDescent="0.3"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63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</row>
    <row r="384" spans="5:60" x14ac:dyDescent="0.3"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63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</row>
    <row r="385" spans="5:60" x14ac:dyDescent="0.3"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63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</row>
    <row r="386" spans="5:60" x14ac:dyDescent="0.3"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63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</row>
    <row r="387" spans="5:60" x14ac:dyDescent="0.3"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63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</row>
    <row r="388" spans="5:60" x14ac:dyDescent="0.3"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63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</row>
    <row r="389" spans="5:60" x14ac:dyDescent="0.3"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63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</row>
    <row r="390" spans="5:60" x14ac:dyDescent="0.3"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63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</row>
    <row r="391" spans="5:60" x14ac:dyDescent="0.3"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63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</row>
    <row r="392" spans="5:60" x14ac:dyDescent="0.3"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63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</row>
    <row r="393" spans="5:60" x14ac:dyDescent="0.3"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63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</row>
    <row r="394" spans="5:60" x14ac:dyDescent="0.3"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63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</row>
    <row r="395" spans="5:60" x14ac:dyDescent="0.3"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63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</row>
    <row r="396" spans="5:60" x14ac:dyDescent="0.3"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63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</row>
    <row r="397" spans="5:60" x14ac:dyDescent="0.3"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63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</row>
    <row r="398" spans="5:60" x14ac:dyDescent="0.3"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63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</row>
    <row r="399" spans="5:60" x14ac:dyDescent="0.3"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63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</row>
    <row r="400" spans="5:60" x14ac:dyDescent="0.3"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63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</row>
    <row r="401" spans="5:60" x14ac:dyDescent="0.3"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63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</row>
    <row r="402" spans="5:60" x14ac:dyDescent="0.3"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63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</row>
    <row r="403" spans="5:60" x14ac:dyDescent="0.3"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63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</row>
    <row r="404" spans="5:60" x14ac:dyDescent="0.3"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63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</row>
    <row r="405" spans="5:60" x14ac:dyDescent="0.3"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63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</row>
    <row r="406" spans="5:60" x14ac:dyDescent="0.3"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63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</row>
    <row r="407" spans="5:60" x14ac:dyDescent="0.3"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63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</row>
    <row r="408" spans="5:60" x14ac:dyDescent="0.3"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63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</row>
    <row r="409" spans="5:60" x14ac:dyDescent="0.3"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63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</row>
    <row r="410" spans="5:60" x14ac:dyDescent="0.3"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63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</row>
    <row r="411" spans="5:60" x14ac:dyDescent="0.3"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63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</row>
    <row r="412" spans="5:60" x14ac:dyDescent="0.3"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63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</row>
    <row r="413" spans="5:60" x14ac:dyDescent="0.3"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63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</row>
    <row r="414" spans="5:60" x14ac:dyDescent="0.3"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63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</row>
    <row r="415" spans="5:60" x14ac:dyDescent="0.3"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63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</row>
    <row r="416" spans="5:60" x14ac:dyDescent="0.3"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63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</row>
    <row r="417" spans="5:60" x14ac:dyDescent="0.3"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63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</row>
    <row r="418" spans="5:60" x14ac:dyDescent="0.3"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63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</row>
    <row r="419" spans="5:60" x14ac:dyDescent="0.3"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63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</row>
    <row r="420" spans="5:60" x14ac:dyDescent="0.3"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63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</row>
    <row r="421" spans="5:60" x14ac:dyDescent="0.3"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63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</row>
    <row r="422" spans="5:60" x14ac:dyDescent="0.3"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63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</row>
    <row r="423" spans="5:60" x14ac:dyDescent="0.3"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63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</row>
    <row r="424" spans="5:60" x14ac:dyDescent="0.3"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63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</row>
    <row r="425" spans="5:60" x14ac:dyDescent="0.3"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63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</row>
    <row r="426" spans="5:60" x14ac:dyDescent="0.3"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63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</row>
    <row r="427" spans="5:60" x14ac:dyDescent="0.3"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63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</row>
    <row r="428" spans="5:60" x14ac:dyDescent="0.3"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63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</row>
    <row r="429" spans="5:60" x14ac:dyDescent="0.3"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63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</row>
    <row r="430" spans="5:60" x14ac:dyDescent="0.3"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63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</row>
    <row r="431" spans="5:60" x14ac:dyDescent="0.3"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63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</row>
    <row r="432" spans="5:60" x14ac:dyDescent="0.3"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63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</row>
    <row r="433" spans="5:60" x14ac:dyDescent="0.3"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63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</row>
    <row r="434" spans="5:60" x14ac:dyDescent="0.3"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63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</row>
    <row r="435" spans="5:60" x14ac:dyDescent="0.3"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63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</row>
    <row r="436" spans="5:60" x14ac:dyDescent="0.3"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63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</row>
    <row r="437" spans="5:60" x14ac:dyDescent="0.3"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63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</row>
    <row r="438" spans="5:60" x14ac:dyDescent="0.3"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63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</row>
    <row r="439" spans="5:60" x14ac:dyDescent="0.3"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63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</row>
    <row r="440" spans="5:60" x14ac:dyDescent="0.3"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63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</row>
    <row r="441" spans="5:60" x14ac:dyDescent="0.3"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63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</row>
    <row r="442" spans="5:60" x14ac:dyDescent="0.3"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63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</row>
    <row r="443" spans="5:60" x14ac:dyDescent="0.3"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63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</row>
    <row r="444" spans="5:60" x14ac:dyDescent="0.3"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63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</row>
    <row r="445" spans="5:60" x14ac:dyDescent="0.3"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63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</row>
    <row r="446" spans="5:60" x14ac:dyDescent="0.3"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63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</row>
    <row r="447" spans="5:60" x14ac:dyDescent="0.3"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63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</row>
    <row r="448" spans="5:60" x14ac:dyDescent="0.3"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63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</row>
    <row r="449" spans="5:60" x14ac:dyDescent="0.3"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63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</row>
    <row r="450" spans="5:60" x14ac:dyDescent="0.3"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63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</row>
    <row r="451" spans="5:60" x14ac:dyDescent="0.3"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63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</row>
    <row r="452" spans="5:60" x14ac:dyDescent="0.3"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63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</row>
    <row r="453" spans="5:60" x14ac:dyDescent="0.3"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63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</row>
    <row r="454" spans="5:60" x14ac:dyDescent="0.3"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63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</row>
    <row r="455" spans="5:60" x14ac:dyDescent="0.3"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63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</row>
    <row r="456" spans="5:60" x14ac:dyDescent="0.3"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63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</row>
    <row r="457" spans="5:60" x14ac:dyDescent="0.3"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63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</row>
    <row r="458" spans="5:60" x14ac:dyDescent="0.3"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63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</row>
    <row r="459" spans="5:60" x14ac:dyDescent="0.3"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63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</row>
    <row r="460" spans="5:60" x14ac:dyDescent="0.3"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63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</row>
    <row r="461" spans="5:60" x14ac:dyDescent="0.3"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63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</row>
    <row r="462" spans="5:60" x14ac:dyDescent="0.3"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63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</row>
    <row r="463" spans="5:60" x14ac:dyDescent="0.3"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63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</row>
    <row r="464" spans="5:60" x14ac:dyDescent="0.3"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63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</row>
    <row r="465" spans="5:60" x14ac:dyDescent="0.3"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63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</row>
    <row r="466" spans="5:60" x14ac:dyDescent="0.3"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63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</row>
    <row r="467" spans="5:60" x14ac:dyDescent="0.3"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63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</row>
    <row r="468" spans="5:60" x14ac:dyDescent="0.3"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63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</row>
    <row r="469" spans="5:60" x14ac:dyDescent="0.3"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63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</row>
    <row r="470" spans="5:60" x14ac:dyDescent="0.3"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63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</row>
    <row r="471" spans="5:60" x14ac:dyDescent="0.3"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63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</row>
    <row r="472" spans="5:60" x14ac:dyDescent="0.3"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63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  <c r="AX472" s="44"/>
      <c r="AY472" s="44"/>
      <c r="AZ472" s="44"/>
      <c r="BA472" s="44"/>
      <c r="BB472" s="44"/>
      <c r="BC472" s="44"/>
      <c r="BD472" s="44"/>
      <c r="BE472" s="44"/>
      <c r="BF472" s="44"/>
      <c r="BG472" s="44"/>
      <c r="BH472" s="44"/>
    </row>
    <row r="473" spans="5:60" x14ac:dyDescent="0.3"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63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  <c r="AX473" s="44"/>
      <c r="AY473" s="44"/>
      <c r="AZ473" s="44"/>
      <c r="BA473" s="44"/>
      <c r="BB473" s="44"/>
      <c r="BC473" s="44"/>
      <c r="BD473" s="44"/>
      <c r="BE473" s="44"/>
      <c r="BF473" s="44"/>
      <c r="BG473" s="44"/>
      <c r="BH473" s="44"/>
    </row>
    <row r="474" spans="5:60" x14ac:dyDescent="0.3"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63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</row>
    <row r="475" spans="5:60" x14ac:dyDescent="0.3"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63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</row>
    <row r="476" spans="5:60" x14ac:dyDescent="0.3"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63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</row>
    <row r="477" spans="5:60" x14ac:dyDescent="0.3"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63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</row>
    <row r="478" spans="5:60" x14ac:dyDescent="0.3"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63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</row>
    <row r="479" spans="5:60" x14ac:dyDescent="0.3"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63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</row>
    <row r="480" spans="5:60" x14ac:dyDescent="0.3"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63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</row>
    <row r="481" spans="5:60" x14ac:dyDescent="0.3"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63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</row>
    <row r="482" spans="5:60" x14ac:dyDescent="0.3"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63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</row>
    <row r="483" spans="5:60" x14ac:dyDescent="0.3"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63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</row>
    <row r="484" spans="5:60" x14ac:dyDescent="0.3"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63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</row>
    <row r="485" spans="5:60" x14ac:dyDescent="0.3"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63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</row>
    <row r="486" spans="5:60" x14ac:dyDescent="0.3"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63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</row>
    <row r="487" spans="5:60" x14ac:dyDescent="0.3"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63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</row>
    <row r="488" spans="5:60" x14ac:dyDescent="0.3"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63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</row>
    <row r="489" spans="5:60" x14ac:dyDescent="0.3"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63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</row>
    <row r="490" spans="5:60" x14ac:dyDescent="0.3"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63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</row>
    <row r="491" spans="5:60" x14ac:dyDescent="0.3"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63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</row>
    <row r="492" spans="5:60" x14ac:dyDescent="0.3"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63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</row>
    <row r="493" spans="5:60" x14ac:dyDescent="0.3"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63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</row>
    <row r="494" spans="5:60" x14ac:dyDescent="0.3"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63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</row>
    <row r="495" spans="5:60" x14ac:dyDescent="0.3"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63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</row>
    <row r="496" spans="5:60" x14ac:dyDescent="0.3"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63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</row>
    <row r="497" spans="5:60" x14ac:dyDescent="0.3"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63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</row>
    <row r="498" spans="5:60" x14ac:dyDescent="0.3"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63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</row>
    <row r="499" spans="5:60" x14ac:dyDescent="0.3"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63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</row>
    <row r="500" spans="5:60" x14ac:dyDescent="0.3"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63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</row>
    <row r="501" spans="5:60" x14ac:dyDescent="0.3"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63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</row>
    <row r="502" spans="5:60" x14ac:dyDescent="0.3"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63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</row>
    <row r="503" spans="5:60" x14ac:dyDescent="0.3"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63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</row>
    <row r="504" spans="5:60" x14ac:dyDescent="0.3"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63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</row>
    <row r="505" spans="5:60" x14ac:dyDescent="0.3"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63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</row>
    <row r="506" spans="5:60" x14ac:dyDescent="0.3"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63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</row>
    <row r="507" spans="5:60" x14ac:dyDescent="0.3"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63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</row>
    <row r="508" spans="5:60" x14ac:dyDescent="0.3"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63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</row>
    <row r="509" spans="5:60" x14ac:dyDescent="0.3"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63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</row>
    <row r="510" spans="5:60" x14ac:dyDescent="0.3"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63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</row>
    <row r="511" spans="5:60" x14ac:dyDescent="0.3"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63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</row>
    <row r="512" spans="5:60" x14ac:dyDescent="0.3"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63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</row>
    <row r="513" spans="5:60" x14ac:dyDescent="0.3"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63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</row>
    <row r="514" spans="5:60" x14ac:dyDescent="0.3"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63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</row>
    <row r="515" spans="5:60" x14ac:dyDescent="0.3"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63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</row>
    <row r="516" spans="5:60" x14ac:dyDescent="0.3"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63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</row>
    <row r="517" spans="5:60" x14ac:dyDescent="0.3"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63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</row>
    <row r="518" spans="5:60" x14ac:dyDescent="0.3"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63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</row>
    <row r="519" spans="5:60" x14ac:dyDescent="0.3"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63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</row>
    <row r="520" spans="5:60" x14ac:dyDescent="0.3"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63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</row>
    <row r="521" spans="5:60" x14ac:dyDescent="0.3"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63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</row>
    <row r="522" spans="5:60" x14ac:dyDescent="0.3"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63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</row>
    <row r="523" spans="5:60" x14ac:dyDescent="0.3"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63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</row>
    <row r="524" spans="5:60" x14ac:dyDescent="0.3"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63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</row>
    <row r="525" spans="5:60" x14ac:dyDescent="0.3"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63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</row>
    <row r="526" spans="5:60" x14ac:dyDescent="0.3"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63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</row>
    <row r="527" spans="5:60" x14ac:dyDescent="0.3"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63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</row>
    <row r="528" spans="5:60" x14ac:dyDescent="0.3"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63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</row>
    <row r="529" spans="5:60" x14ac:dyDescent="0.3"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63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</row>
    <row r="530" spans="5:60" x14ac:dyDescent="0.3"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63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</row>
    <row r="531" spans="5:60" x14ac:dyDescent="0.3"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63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</row>
    <row r="532" spans="5:60" x14ac:dyDescent="0.3"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63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</row>
    <row r="533" spans="5:60" x14ac:dyDescent="0.3"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63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</row>
    <row r="534" spans="5:60" x14ac:dyDescent="0.3"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63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</row>
    <row r="535" spans="5:60" x14ac:dyDescent="0.3"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63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</row>
    <row r="536" spans="5:60" x14ac:dyDescent="0.3"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63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</row>
    <row r="537" spans="5:60" x14ac:dyDescent="0.3"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63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</row>
    <row r="538" spans="5:60" x14ac:dyDescent="0.3"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63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</row>
    <row r="539" spans="5:60" x14ac:dyDescent="0.3"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63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</row>
    <row r="540" spans="5:60" x14ac:dyDescent="0.3"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63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</row>
    <row r="541" spans="5:60" x14ac:dyDescent="0.3"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63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</row>
    <row r="542" spans="5:60" x14ac:dyDescent="0.3"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63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</row>
    <row r="543" spans="5:60" x14ac:dyDescent="0.3"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63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</row>
    <row r="544" spans="5:60" x14ac:dyDescent="0.3"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63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</row>
    <row r="545" spans="5:60" x14ac:dyDescent="0.3"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63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</row>
    <row r="546" spans="5:60" x14ac:dyDescent="0.3"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63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</row>
    <row r="547" spans="5:60" x14ac:dyDescent="0.3"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63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</row>
    <row r="548" spans="5:60" x14ac:dyDescent="0.3"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63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</row>
    <row r="549" spans="5:60" x14ac:dyDescent="0.3"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63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</row>
    <row r="550" spans="5:60" x14ac:dyDescent="0.3"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63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</row>
    <row r="551" spans="5:60" x14ac:dyDescent="0.3"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63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</row>
    <row r="552" spans="5:60" x14ac:dyDescent="0.3"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63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</row>
    <row r="553" spans="5:60" x14ac:dyDescent="0.3"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63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</row>
    <row r="554" spans="5:60" x14ac:dyDescent="0.3"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63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</row>
    <row r="555" spans="5:60" x14ac:dyDescent="0.3"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63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</row>
    <row r="556" spans="5:60" x14ac:dyDescent="0.3"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63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</row>
    <row r="557" spans="5:60" x14ac:dyDescent="0.3"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63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</row>
    <row r="558" spans="5:60" x14ac:dyDescent="0.3"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63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</row>
    <row r="559" spans="5:60" x14ac:dyDescent="0.3"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63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</row>
    <row r="560" spans="5:60" x14ac:dyDescent="0.3"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63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</row>
  </sheetData>
  <pageMargins left="0.7" right="0.7" top="0.75" bottom="0.75" header="0.3" footer="0.3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E444-FD5B-4E28-B7AE-8472FD08AB5D}">
  <sheetPr>
    <tabColor rgb="FF00B050"/>
  </sheetPr>
  <dimension ref="A1:AE117"/>
  <sheetViews>
    <sheetView tabSelected="1" topLeftCell="A26" zoomScale="76" zoomScaleNormal="76" workbookViewId="0">
      <selection activeCell="O31" sqref="O31"/>
    </sheetView>
  </sheetViews>
  <sheetFormatPr defaultRowHeight="14.4" x14ac:dyDescent="0.3"/>
  <cols>
    <col min="1" max="1" width="25.88671875" style="344" customWidth="1"/>
    <col min="2" max="2" width="39.88671875" style="344" customWidth="1"/>
    <col min="3" max="15" width="10.77734375" style="425" customWidth="1"/>
    <col min="16" max="16" width="11.5546875" style="344" bestFit="1" customWidth="1"/>
    <col min="17" max="17" width="12.5546875" style="344" bestFit="1" customWidth="1"/>
    <col min="18" max="253" width="8.88671875" style="344"/>
    <col min="254" max="254" width="16.6640625" style="344" customWidth="1"/>
    <col min="255" max="255" width="39.88671875" style="344" customWidth="1"/>
    <col min="256" max="268" width="15.6640625" style="344" customWidth="1"/>
    <col min="269" max="509" width="8.88671875" style="344"/>
    <col min="510" max="510" width="16.6640625" style="344" customWidth="1"/>
    <col min="511" max="511" width="39.88671875" style="344" customWidth="1"/>
    <col min="512" max="524" width="15.6640625" style="344" customWidth="1"/>
    <col min="525" max="765" width="8.88671875" style="344"/>
    <col min="766" max="766" width="16.6640625" style="344" customWidth="1"/>
    <col min="767" max="767" width="39.88671875" style="344" customWidth="1"/>
    <col min="768" max="780" width="15.6640625" style="344" customWidth="1"/>
    <col min="781" max="1021" width="8.88671875" style="344"/>
    <col min="1022" max="1022" width="16.6640625" style="344" customWidth="1"/>
    <col min="1023" max="1023" width="39.88671875" style="344" customWidth="1"/>
    <col min="1024" max="1036" width="15.6640625" style="344" customWidth="1"/>
    <col min="1037" max="1277" width="8.88671875" style="344"/>
    <col min="1278" max="1278" width="16.6640625" style="344" customWidth="1"/>
    <col min="1279" max="1279" width="39.88671875" style="344" customWidth="1"/>
    <col min="1280" max="1292" width="15.6640625" style="344" customWidth="1"/>
    <col min="1293" max="1533" width="8.88671875" style="344"/>
    <col min="1534" max="1534" width="16.6640625" style="344" customWidth="1"/>
    <col min="1535" max="1535" width="39.88671875" style="344" customWidth="1"/>
    <col min="1536" max="1548" width="15.6640625" style="344" customWidth="1"/>
    <col min="1549" max="1789" width="8.88671875" style="344"/>
    <col min="1790" max="1790" width="16.6640625" style="344" customWidth="1"/>
    <col min="1791" max="1791" width="39.88671875" style="344" customWidth="1"/>
    <col min="1792" max="1804" width="15.6640625" style="344" customWidth="1"/>
    <col min="1805" max="2045" width="8.88671875" style="344"/>
    <col min="2046" max="2046" width="16.6640625" style="344" customWidth="1"/>
    <col min="2047" max="2047" width="39.88671875" style="344" customWidth="1"/>
    <col min="2048" max="2060" width="15.6640625" style="344" customWidth="1"/>
    <col min="2061" max="2301" width="8.88671875" style="344"/>
    <col min="2302" max="2302" width="16.6640625" style="344" customWidth="1"/>
    <col min="2303" max="2303" width="39.88671875" style="344" customWidth="1"/>
    <col min="2304" max="2316" width="15.6640625" style="344" customWidth="1"/>
    <col min="2317" max="2557" width="8.88671875" style="344"/>
    <col min="2558" max="2558" width="16.6640625" style="344" customWidth="1"/>
    <col min="2559" max="2559" width="39.88671875" style="344" customWidth="1"/>
    <col min="2560" max="2572" width="15.6640625" style="344" customWidth="1"/>
    <col min="2573" max="2813" width="8.88671875" style="344"/>
    <col min="2814" max="2814" width="16.6640625" style="344" customWidth="1"/>
    <col min="2815" max="2815" width="39.88671875" style="344" customWidth="1"/>
    <col min="2816" max="2828" width="15.6640625" style="344" customWidth="1"/>
    <col min="2829" max="3069" width="8.88671875" style="344"/>
    <col min="3070" max="3070" width="16.6640625" style="344" customWidth="1"/>
    <col min="3071" max="3071" width="39.88671875" style="344" customWidth="1"/>
    <col min="3072" max="3084" width="15.6640625" style="344" customWidth="1"/>
    <col min="3085" max="3325" width="8.88671875" style="344"/>
    <col min="3326" max="3326" width="16.6640625" style="344" customWidth="1"/>
    <col min="3327" max="3327" width="39.88671875" style="344" customWidth="1"/>
    <col min="3328" max="3340" width="15.6640625" style="344" customWidth="1"/>
    <col min="3341" max="3581" width="8.88671875" style="344"/>
    <col min="3582" max="3582" width="16.6640625" style="344" customWidth="1"/>
    <col min="3583" max="3583" width="39.88671875" style="344" customWidth="1"/>
    <col min="3584" max="3596" width="15.6640625" style="344" customWidth="1"/>
    <col min="3597" max="3837" width="8.88671875" style="344"/>
    <col min="3838" max="3838" width="16.6640625" style="344" customWidth="1"/>
    <col min="3839" max="3839" width="39.88671875" style="344" customWidth="1"/>
    <col min="3840" max="3852" width="15.6640625" style="344" customWidth="1"/>
    <col min="3853" max="4093" width="8.88671875" style="344"/>
    <col min="4094" max="4094" width="16.6640625" style="344" customWidth="1"/>
    <col min="4095" max="4095" width="39.88671875" style="344" customWidth="1"/>
    <col min="4096" max="4108" width="15.6640625" style="344" customWidth="1"/>
    <col min="4109" max="4349" width="8.88671875" style="344"/>
    <col min="4350" max="4350" width="16.6640625" style="344" customWidth="1"/>
    <col min="4351" max="4351" width="39.88671875" style="344" customWidth="1"/>
    <col min="4352" max="4364" width="15.6640625" style="344" customWidth="1"/>
    <col min="4365" max="4605" width="8.88671875" style="344"/>
    <col min="4606" max="4606" width="16.6640625" style="344" customWidth="1"/>
    <col min="4607" max="4607" width="39.88671875" style="344" customWidth="1"/>
    <col min="4608" max="4620" width="15.6640625" style="344" customWidth="1"/>
    <col min="4621" max="4861" width="8.88671875" style="344"/>
    <col min="4862" max="4862" width="16.6640625" style="344" customWidth="1"/>
    <col min="4863" max="4863" width="39.88671875" style="344" customWidth="1"/>
    <col min="4864" max="4876" width="15.6640625" style="344" customWidth="1"/>
    <col min="4877" max="5117" width="8.88671875" style="344"/>
    <col min="5118" max="5118" width="16.6640625" style="344" customWidth="1"/>
    <col min="5119" max="5119" width="39.88671875" style="344" customWidth="1"/>
    <col min="5120" max="5132" width="15.6640625" style="344" customWidth="1"/>
    <col min="5133" max="5373" width="8.88671875" style="344"/>
    <col min="5374" max="5374" width="16.6640625" style="344" customWidth="1"/>
    <col min="5375" max="5375" width="39.88671875" style="344" customWidth="1"/>
    <col min="5376" max="5388" width="15.6640625" style="344" customWidth="1"/>
    <col min="5389" max="5629" width="8.88671875" style="344"/>
    <col min="5630" max="5630" width="16.6640625" style="344" customWidth="1"/>
    <col min="5631" max="5631" width="39.88671875" style="344" customWidth="1"/>
    <col min="5632" max="5644" width="15.6640625" style="344" customWidth="1"/>
    <col min="5645" max="5885" width="8.88671875" style="344"/>
    <col min="5886" max="5886" width="16.6640625" style="344" customWidth="1"/>
    <col min="5887" max="5887" width="39.88671875" style="344" customWidth="1"/>
    <col min="5888" max="5900" width="15.6640625" style="344" customWidth="1"/>
    <col min="5901" max="6141" width="8.88671875" style="344"/>
    <col min="6142" max="6142" width="16.6640625" style="344" customWidth="1"/>
    <col min="6143" max="6143" width="39.88671875" style="344" customWidth="1"/>
    <col min="6144" max="6156" width="15.6640625" style="344" customWidth="1"/>
    <col min="6157" max="6397" width="8.88671875" style="344"/>
    <col min="6398" max="6398" width="16.6640625" style="344" customWidth="1"/>
    <col min="6399" max="6399" width="39.88671875" style="344" customWidth="1"/>
    <col min="6400" max="6412" width="15.6640625" style="344" customWidth="1"/>
    <col min="6413" max="6653" width="8.88671875" style="344"/>
    <col min="6654" max="6654" width="16.6640625" style="344" customWidth="1"/>
    <col min="6655" max="6655" width="39.88671875" style="344" customWidth="1"/>
    <col min="6656" max="6668" width="15.6640625" style="344" customWidth="1"/>
    <col min="6669" max="6909" width="8.88671875" style="344"/>
    <col min="6910" max="6910" width="16.6640625" style="344" customWidth="1"/>
    <col min="6911" max="6911" width="39.88671875" style="344" customWidth="1"/>
    <col min="6912" max="6924" width="15.6640625" style="344" customWidth="1"/>
    <col min="6925" max="7165" width="8.88671875" style="344"/>
    <col min="7166" max="7166" width="16.6640625" style="344" customWidth="1"/>
    <col min="7167" max="7167" width="39.88671875" style="344" customWidth="1"/>
    <col min="7168" max="7180" width="15.6640625" style="344" customWidth="1"/>
    <col min="7181" max="7421" width="8.88671875" style="344"/>
    <col min="7422" max="7422" width="16.6640625" style="344" customWidth="1"/>
    <col min="7423" max="7423" width="39.88671875" style="344" customWidth="1"/>
    <col min="7424" max="7436" width="15.6640625" style="344" customWidth="1"/>
    <col min="7437" max="7677" width="8.88671875" style="344"/>
    <col min="7678" max="7678" width="16.6640625" style="344" customWidth="1"/>
    <col min="7679" max="7679" width="39.88671875" style="344" customWidth="1"/>
    <col min="7680" max="7692" width="15.6640625" style="344" customWidth="1"/>
    <col min="7693" max="7933" width="8.88671875" style="344"/>
    <col min="7934" max="7934" width="16.6640625" style="344" customWidth="1"/>
    <col min="7935" max="7935" width="39.88671875" style="344" customWidth="1"/>
    <col min="7936" max="7948" width="15.6640625" style="344" customWidth="1"/>
    <col min="7949" max="8189" width="8.88671875" style="344"/>
    <col min="8190" max="8190" width="16.6640625" style="344" customWidth="1"/>
    <col min="8191" max="8191" width="39.88671875" style="344" customWidth="1"/>
    <col min="8192" max="8204" width="15.6640625" style="344" customWidth="1"/>
    <col min="8205" max="8445" width="8.88671875" style="344"/>
    <col min="8446" max="8446" width="16.6640625" style="344" customWidth="1"/>
    <col min="8447" max="8447" width="39.88671875" style="344" customWidth="1"/>
    <col min="8448" max="8460" width="15.6640625" style="344" customWidth="1"/>
    <col min="8461" max="8701" width="8.88671875" style="344"/>
    <col min="8702" max="8702" width="16.6640625" style="344" customWidth="1"/>
    <col min="8703" max="8703" width="39.88671875" style="344" customWidth="1"/>
    <col min="8704" max="8716" width="15.6640625" style="344" customWidth="1"/>
    <col min="8717" max="8957" width="8.88671875" style="344"/>
    <col min="8958" max="8958" width="16.6640625" style="344" customWidth="1"/>
    <col min="8959" max="8959" width="39.88671875" style="344" customWidth="1"/>
    <col min="8960" max="8972" width="15.6640625" style="344" customWidth="1"/>
    <col min="8973" max="9213" width="8.88671875" style="344"/>
    <col min="9214" max="9214" width="16.6640625" style="344" customWidth="1"/>
    <col min="9215" max="9215" width="39.88671875" style="344" customWidth="1"/>
    <col min="9216" max="9228" width="15.6640625" style="344" customWidth="1"/>
    <col min="9229" max="9469" width="8.88671875" style="344"/>
    <col min="9470" max="9470" width="16.6640625" style="344" customWidth="1"/>
    <col min="9471" max="9471" width="39.88671875" style="344" customWidth="1"/>
    <col min="9472" max="9484" width="15.6640625" style="344" customWidth="1"/>
    <col min="9485" max="9725" width="8.88671875" style="344"/>
    <col min="9726" max="9726" width="16.6640625" style="344" customWidth="1"/>
    <col min="9727" max="9727" width="39.88671875" style="344" customWidth="1"/>
    <col min="9728" max="9740" width="15.6640625" style="344" customWidth="1"/>
    <col min="9741" max="9981" width="8.88671875" style="344"/>
    <col min="9982" max="9982" width="16.6640625" style="344" customWidth="1"/>
    <col min="9983" max="9983" width="39.88671875" style="344" customWidth="1"/>
    <col min="9984" max="9996" width="15.6640625" style="344" customWidth="1"/>
    <col min="9997" max="10237" width="8.88671875" style="344"/>
    <col min="10238" max="10238" width="16.6640625" style="344" customWidth="1"/>
    <col min="10239" max="10239" width="39.88671875" style="344" customWidth="1"/>
    <col min="10240" max="10252" width="15.6640625" style="344" customWidth="1"/>
    <col min="10253" max="10493" width="8.88671875" style="344"/>
    <col min="10494" max="10494" width="16.6640625" style="344" customWidth="1"/>
    <col min="10495" max="10495" width="39.88671875" style="344" customWidth="1"/>
    <col min="10496" max="10508" width="15.6640625" style="344" customWidth="1"/>
    <col min="10509" max="10749" width="8.88671875" style="344"/>
    <col min="10750" max="10750" width="16.6640625" style="344" customWidth="1"/>
    <col min="10751" max="10751" width="39.88671875" style="344" customWidth="1"/>
    <col min="10752" max="10764" width="15.6640625" style="344" customWidth="1"/>
    <col min="10765" max="11005" width="8.88671875" style="344"/>
    <col min="11006" max="11006" width="16.6640625" style="344" customWidth="1"/>
    <col min="11007" max="11007" width="39.88671875" style="344" customWidth="1"/>
    <col min="11008" max="11020" width="15.6640625" style="344" customWidth="1"/>
    <col min="11021" max="11261" width="8.88671875" style="344"/>
    <col min="11262" max="11262" width="16.6640625" style="344" customWidth="1"/>
    <col min="11263" max="11263" width="39.88671875" style="344" customWidth="1"/>
    <col min="11264" max="11276" width="15.6640625" style="344" customWidth="1"/>
    <col min="11277" max="11517" width="8.88671875" style="344"/>
    <col min="11518" max="11518" width="16.6640625" style="344" customWidth="1"/>
    <col min="11519" max="11519" width="39.88671875" style="344" customWidth="1"/>
    <col min="11520" max="11532" width="15.6640625" style="344" customWidth="1"/>
    <col min="11533" max="11773" width="8.88671875" style="344"/>
    <col min="11774" max="11774" width="16.6640625" style="344" customWidth="1"/>
    <col min="11775" max="11775" width="39.88671875" style="344" customWidth="1"/>
    <col min="11776" max="11788" width="15.6640625" style="344" customWidth="1"/>
    <col min="11789" max="12029" width="8.88671875" style="344"/>
    <col min="12030" max="12030" width="16.6640625" style="344" customWidth="1"/>
    <col min="12031" max="12031" width="39.88671875" style="344" customWidth="1"/>
    <col min="12032" max="12044" width="15.6640625" style="344" customWidth="1"/>
    <col min="12045" max="12285" width="8.88671875" style="344"/>
    <col min="12286" max="12286" width="16.6640625" style="344" customWidth="1"/>
    <col min="12287" max="12287" width="39.88671875" style="344" customWidth="1"/>
    <col min="12288" max="12300" width="15.6640625" style="344" customWidth="1"/>
    <col min="12301" max="12541" width="8.88671875" style="344"/>
    <col min="12542" max="12542" width="16.6640625" style="344" customWidth="1"/>
    <col min="12543" max="12543" width="39.88671875" style="344" customWidth="1"/>
    <col min="12544" max="12556" width="15.6640625" style="344" customWidth="1"/>
    <col min="12557" max="12797" width="8.88671875" style="344"/>
    <col min="12798" max="12798" width="16.6640625" style="344" customWidth="1"/>
    <col min="12799" max="12799" width="39.88671875" style="344" customWidth="1"/>
    <col min="12800" max="12812" width="15.6640625" style="344" customWidth="1"/>
    <col min="12813" max="13053" width="8.88671875" style="344"/>
    <col min="13054" max="13054" width="16.6640625" style="344" customWidth="1"/>
    <col min="13055" max="13055" width="39.88671875" style="344" customWidth="1"/>
    <col min="13056" max="13068" width="15.6640625" style="344" customWidth="1"/>
    <col min="13069" max="13309" width="8.88671875" style="344"/>
    <col min="13310" max="13310" width="16.6640625" style="344" customWidth="1"/>
    <col min="13311" max="13311" width="39.88671875" style="344" customWidth="1"/>
    <col min="13312" max="13324" width="15.6640625" style="344" customWidth="1"/>
    <col min="13325" max="13565" width="8.88671875" style="344"/>
    <col min="13566" max="13566" width="16.6640625" style="344" customWidth="1"/>
    <col min="13567" max="13567" width="39.88671875" style="344" customWidth="1"/>
    <col min="13568" max="13580" width="15.6640625" style="344" customWidth="1"/>
    <col min="13581" max="13821" width="8.88671875" style="344"/>
    <col min="13822" max="13822" width="16.6640625" style="344" customWidth="1"/>
    <col min="13823" max="13823" width="39.88671875" style="344" customWidth="1"/>
    <col min="13824" max="13836" width="15.6640625" style="344" customWidth="1"/>
    <col min="13837" max="14077" width="8.88671875" style="344"/>
    <col min="14078" max="14078" width="16.6640625" style="344" customWidth="1"/>
    <col min="14079" max="14079" width="39.88671875" style="344" customWidth="1"/>
    <col min="14080" max="14092" width="15.6640625" style="344" customWidth="1"/>
    <col min="14093" max="14333" width="8.88671875" style="344"/>
    <col min="14334" max="14334" width="16.6640625" style="344" customWidth="1"/>
    <col min="14335" max="14335" width="39.88671875" style="344" customWidth="1"/>
    <col min="14336" max="14348" width="15.6640625" style="344" customWidth="1"/>
    <col min="14349" max="14589" width="8.88671875" style="344"/>
    <col min="14590" max="14590" width="16.6640625" style="344" customWidth="1"/>
    <col min="14591" max="14591" width="39.88671875" style="344" customWidth="1"/>
    <col min="14592" max="14604" width="15.6640625" style="344" customWidth="1"/>
    <col min="14605" max="14845" width="8.88671875" style="344"/>
    <col min="14846" max="14846" width="16.6640625" style="344" customWidth="1"/>
    <col min="14847" max="14847" width="39.88671875" style="344" customWidth="1"/>
    <col min="14848" max="14860" width="15.6640625" style="344" customWidth="1"/>
    <col min="14861" max="15101" width="8.88671875" style="344"/>
    <col min="15102" max="15102" width="16.6640625" style="344" customWidth="1"/>
    <col min="15103" max="15103" width="39.88671875" style="344" customWidth="1"/>
    <col min="15104" max="15116" width="15.6640625" style="344" customWidth="1"/>
    <col min="15117" max="15357" width="8.88671875" style="344"/>
    <col min="15358" max="15358" width="16.6640625" style="344" customWidth="1"/>
    <col min="15359" max="15359" width="39.88671875" style="344" customWidth="1"/>
    <col min="15360" max="15372" width="15.6640625" style="344" customWidth="1"/>
    <col min="15373" max="15613" width="8.88671875" style="344"/>
    <col min="15614" max="15614" width="16.6640625" style="344" customWidth="1"/>
    <col min="15615" max="15615" width="39.88671875" style="344" customWidth="1"/>
    <col min="15616" max="15628" width="15.6640625" style="344" customWidth="1"/>
    <col min="15629" max="15869" width="8.88671875" style="344"/>
    <col min="15870" max="15870" width="16.6640625" style="344" customWidth="1"/>
    <col min="15871" max="15871" width="39.88671875" style="344" customWidth="1"/>
    <col min="15872" max="15884" width="15.6640625" style="344" customWidth="1"/>
    <col min="15885" max="16125" width="8.88671875" style="344"/>
    <col min="16126" max="16126" width="16.6640625" style="344" customWidth="1"/>
    <col min="16127" max="16127" width="39.88671875" style="344" customWidth="1"/>
    <col min="16128" max="16140" width="15.6640625" style="344" customWidth="1"/>
    <col min="16141" max="16384" width="8.88671875" style="344"/>
  </cols>
  <sheetData>
    <row r="1" spans="1:31" x14ac:dyDescent="0.3">
      <c r="A1" s="426"/>
      <c r="B1" s="427"/>
      <c r="C1" s="428" t="s">
        <v>123</v>
      </c>
      <c r="D1" s="428" t="s">
        <v>124</v>
      </c>
      <c r="E1" s="428" t="s">
        <v>125</v>
      </c>
      <c r="F1" s="428" t="s">
        <v>126</v>
      </c>
      <c r="G1" s="428" t="s">
        <v>127</v>
      </c>
      <c r="H1" s="450" t="s">
        <v>128</v>
      </c>
      <c r="I1" s="450" t="s">
        <v>129</v>
      </c>
      <c r="J1" s="450" t="s">
        <v>130</v>
      </c>
      <c r="K1" s="450" t="s">
        <v>131</v>
      </c>
      <c r="L1" s="450" t="s">
        <v>132</v>
      </c>
      <c r="M1" s="450" t="s">
        <v>133</v>
      </c>
      <c r="N1" s="450" t="s">
        <v>134</v>
      </c>
      <c r="O1" s="141" t="s">
        <v>10</v>
      </c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</row>
    <row r="2" spans="1:31" x14ac:dyDescent="0.3">
      <c r="H2" s="451"/>
      <c r="I2" s="451"/>
      <c r="J2" s="451"/>
      <c r="K2" s="451"/>
      <c r="L2" s="451"/>
      <c r="M2" s="451"/>
      <c r="N2" s="451"/>
      <c r="O2" s="424"/>
    </row>
    <row r="3" spans="1:31" x14ac:dyDescent="0.3">
      <c r="A3" s="429" t="s">
        <v>135</v>
      </c>
      <c r="B3" s="429" t="s">
        <v>136</v>
      </c>
      <c r="C3" s="430">
        <v>85964.95</v>
      </c>
      <c r="D3" s="430">
        <v>89433.03</v>
      </c>
      <c r="E3" s="430">
        <v>76942.11</v>
      </c>
      <c r="F3" s="430">
        <v>96974.43</v>
      </c>
      <c r="G3" s="430">
        <v>100302.1</v>
      </c>
      <c r="H3" s="452">
        <f t="shared" ref="H3:N3" si="0">H111*H113*0.57</f>
        <v>109015.34999999999</v>
      </c>
      <c r="I3" s="452">
        <f t="shared" si="0"/>
        <v>150366</v>
      </c>
      <c r="J3" s="452">
        <f t="shared" si="0"/>
        <v>150366</v>
      </c>
      <c r="K3" s="452">
        <f t="shared" si="0"/>
        <v>105256.2</v>
      </c>
      <c r="L3" s="452">
        <f t="shared" si="0"/>
        <v>93978.749999999985</v>
      </c>
      <c r="M3" s="452">
        <f t="shared" si="0"/>
        <v>90219.599999999991</v>
      </c>
      <c r="N3" s="452">
        <f t="shared" si="0"/>
        <v>90219.599999999991</v>
      </c>
      <c r="O3" s="348">
        <f>SUM(C3:N3)</f>
        <v>1239038.1200000001</v>
      </c>
    </row>
    <row r="4" spans="1:31" x14ac:dyDescent="0.3">
      <c r="A4" s="429" t="s">
        <v>137</v>
      </c>
      <c r="B4" s="429" t="s">
        <v>138</v>
      </c>
      <c r="C4" s="430">
        <v>52167.38</v>
      </c>
      <c r="D4" s="430">
        <v>36150.550000000003</v>
      </c>
      <c r="E4" s="430">
        <v>36451.25</v>
      </c>
      <c r="F4" s="430">
        <v>61785.69</v>
      </c>
      <c r="G4" s="430">
        <v>54043.97</v>
      </c>
      <c r="H4" s="452">
        <f t="shared" ref="H4:N4" si="1">H111*H113*0.31</f>
        <v>59289.05</v>
      </c>
      <c r="I4" s="452">
        <f t="shared" si="1"/>
        <v>81778</v>
      </c>
      <c r="J4" s="452">
        <f t="shared" si="1"/>
        <v>81778</v>
      </c>
      <c r="K4" s="452">
        <f t="shared" si="1"/>
        <v>57244.6</v>
      </c>
      <c r="L4" s="452">
        <f t="shared" si="1"/>
        <v>51111.25</v>
      </c>
      <c r="M4" s="452">
        <f t="shared" si="1"/>
        <v>49066.8</v>
      </c>
      <c r="N4" s="452">
        <f t="shared" si="1"/>
        <v>49066.8</v>
      </c>
      <c r="O4" s="348">
        <f t="shared" ref="O4:O7" si="2">SUM(C4:N4)</f>
        <v>669933.34000000008</v>
      </c>
    </row>
    <row r="5" spans="1:31" x14ac:dyDescent="0.3">
      <c r="A5" s="429" t="s">
        <v>139</v>
      </c>
      <c r="B5" s="429" t="s">
        <v>140</v>
      </c>
      <c r="C5" s="430">
        <v>20657.400000000001</v>
      </c>
      <c r="D5" s="430">
        <v>22285.25</v>
      </c>
      <c r="E5" s="430">
        <v>20624</v>
      </c>
      <c r="F5" s="430">
        <v>18944</v>
      </c>
      <c r="G5" s="430">
        <v>13761</v>
      </c>
      <c r="H5" s="452">
        <f t="shared" ref="H5:N5" si="3">H111*H113*0.12</f>
        <v>22950.6</v>
      </c>
      <c r="I5" s="452">
        <f t="shared" si="3"/>
        <v>31656</v>
      </c>
      <c r="J5" s="452">
        <f t="shared" si="3"/>
        <v>31656</v>
      </c>
      <c r="K5" s="452">
        <f t="shared" si="3"/>
        <v>22159.200000000001</v>
      </c>
      <c r="L5" s="452">
        <f t="shared" si="3"/>
        <v>19785</v>
      </c>
      <c r="M5" s="452">
        <f t="shared" si="3"/>
        <v>18993.599999999999</v>
      </c>
      <c r="N5" s="452">
        <f t="shared" si="3"/>
        <v>18993.599999999999</v>
      </c>
      <c r="O5" s="348">
        <f t="shared" si="2"/>
        <v>262465.65000000002</v>
      </c>
    </row>
    <row r="6" spans="1:31" x14ac:dyDescent="0.3">
      <c r="A6" s="429">
        <v>408006</v>
      </c>
      <c r="B6" s="429" t="s">
        <v>141</v>
      </c>
      <c r="C6" s="268">
        <v>0</v>
      </c>
      <c r="D6" s="268">
        <v>0</v>
      </c>
      <c r="E6" s="268">
        <v>0</v>
      </c>
      <c r="F6" s="268">
        <v>0</v>
      </c>
      <c r="G6" s="268">
        <v>0</v>
      </c>
      <c r="H6" s="452">
        <v>0</v>
      </c>
      <c r="I6" s="452">
        <v>0</v>
      </c>
      <c r="J6" s="452">
        <v>0</v>
      </c>
      <c r="K6" s="452">
        <v>0</v>
      </c>
      <c r="L6" s="452">
        <v>0</v>
      </c>
      <c r="M6" s="452">
        <v>0</v>
      </c>
      <c r="N6" s="452">
        <v>0</v>
      </c>
      <c r="O6" s="348">
        <f t="shared" si="2"/>
        <v>0</v>
      </c>
    </row>
    <row r="7" spans="1:31" x14ac:dyDescent="0.3">
      <c r="A7" s="429" t="s">
        <v>142</v>
      </c>
      <c r="B7" s="429" t="s">
        <v>143</v>
      </c>
      <c r="C7" s="430">
        <v>5225</v>
      </c>
      <c r="D7" s="430">
        <v>0</v>
      </c>
      <c r="E7" s="430">
        <v>5050</v>
      </c>
      <c r="F7" s="430">
        <v>0</v>
      </c>
      <c r="G7" s="430">
        <v>4815</v>
      </c>
      <c r="H7" s="452">
        <v>0</v>
      </c>
      <c r="I7" s="453">
        <v>5225</v>
      </c>
      <c r="J7" s="453">
        <v>0</v>
      </c>
      <c r="K7" s="453">
        <v>5050</v>
      </c>
      <c r="L7" s="453">
        <v>0</v>
      </c>
      <c r="M7" s="453">
        <v>4815</v>
      </c>
      <c r="N7" s="452">
        <v>0</v>
      </c>
      <c r="O7" s="348">
        <f t="shared" si="2"/>
        <v>30180</v>
      </c>
    </row>
    <row r="8" spans="1:31" x14ac:dyDescent="0.3">
      <c r="A8" s="426"/>
      <c r="B8" s="431" t="s">
        <v>144</v>
      </c>
      <c r="C8" s="432">
        <f>SUM(C3:C7)</f>
        <v>164014.72999999998</v>
      </c>
      <c r="D8" s="432">
        <f t="shared" ref="D8:N8" si="4">SUM(D3:D7)</f>
        <v>147868.83000000002</v>
      </c>
      <c r="E8" s="432">
        <f t="shared" si="4"/>
        <v>139067.35999999999</v>
      </c>
      <c r="F8" s="432">
        <f t="shared" si="4"/>
        <v>177704.12</v>
      </c>
      <c r="G8" s="432">
        <f t="shared" si="4"/>
        <v>172922.07</v>
      </c>
      <c r="H8" s="454">
        <f t="shared" si="4"/>
        <v>191255</v>
      </c>
      <c r="I8" s="454">
        <f t="shared" si="4"/>
        <v>269025</v>
      </c>
      <c r="J8" s="454">
        <f t="shared" si="4"/>
        <v>263800</v>
      </c>
      <c r="K8" s="454">
        <f t="shared" si="4"/>
        <v>189710</v>
      </c>
      <c r="L8" s="454">
        <f t="shared" si="4"/>
        <v>164875</v>
      </c>
      <c r="M8" s="454">
        <f t="shared" si="4"/>
        <v>163095</v>
      </c>
      <c r="N8" s="454">
        <f t="shared" si="4"/>
        <v>158280</v>
      </c>
      <c r="O8" s="358">
        <f t="shared" ref="O8" si="5">SUM(O3:O7)</f>
        <v>2201617.1100000003</v>
      </c>
      <c r="P8" s="513">
        <f>SUM(C8:G8)/5</f>
        <v>160315.42200000002</v>
      </c>
    </row>
    <row r="9" spans="1:31" x14ac:dyDescent="0.3">
      <c r="A9" s="429" t="s">
        <v>145</v>
      </c>
      <c r="B9" s="429" t="s">
        <v>146</v>
      </c>
      <c r="C9" s="486">
        <v>0</v>
      </c>
      <c r="D9" s="486">
        <v>0</v>
      </c>
      <c r="E9" s="486">
        <v>0</v>
      </c>
      <c r="F9" s="486">
        <v>0</v>
      </c>
      <c r="G9" s="486">
        <v>0</v>
      </c>
      <c r="H9" s="486">
        <v>0</v>
      </c>
      <c r="I9" s="486">
        <v>0</v>
      </c>
      <c r="J9" s="486">
        <v>0</v>
      </c>
      <c r="K9" s="486">
        <v>0</v>
      </c>
      <c r="L9" s="486">
        <v>0</v>
      </c>
      <c r="M9" s="486">
        <v>0</v>
      </c>
      <c r="N9" s="486">
        <v>0</v>
      </c>
      <c r="O9" s="348">
        <f>SUM(C9:N9)</f>
        <v>0</v>
      </c>
    </row>
    <row r="10" spans="1:31" x14ac:dyDescent="0.3">
      <c r="A10" s="429" t="s">
        <v>0</v>
      </c>
      <c r="B10" s="429" t="s">
        <v>147</v>
      </c>
      <c r="C10" s="103">
        <v>0</v>
      </c>
      <c r="D10" s="103">
        <v>0</v>
      </c>
      <c r="E10" s="103">
        <v>0</v>
      </c>
      <c r="F10" s="103">
        <v>0</v>
      </c>
      <c r="G10" s="103">
        <v>0</v>
      </c>
      <c r="H10" s="372">
        <f>75*H111</f>
        <v>10875</v>
      </c>
      <c r="I10" s="372">
        <f t="shared" ref="I10:N10" si="6">75*I111</f>
        <v>15000</v>
      </c>
      <c r="J10" s="372">
        <f t="shared" si="6"/>
        <v>15000</v>
      </c>
      <c r="K10" s="372">
        <f t="shared" si="6"/>
        <v>10500</v>
      </c>
      <c r="L10" s="372">
        <f t="shared" si="6"/>
        <v>9375</v>
      </c>
      <c r="M10" s="372">
        <f t="shared" si="6"/>
        <v>9000</v>
      </c>
      <c r="N10" s="372">
        <f t="shared" si="6"/>
        <v>9000</v>
      </c>
      <c r="O10" s="348">
        <f t="shared" ref="O10:O23" si="7">SUM(C10:N10)</f>
        <v>78750</v>
      </c>
    </row>
    <row r="11" spans="1:31" x14ac:dyDescent="0.3">
      <c r="A11" s="429" t="s">
        <v>148</v>
      </c>
      <c r="B11" s="429" t="s">
        <v>149</v>
      </c>
      <c r="C11" s="103">
        <v>0</v>
      </c>
      <c r="D11" s="103">
        <v>0</v>
      </c>
      <c r="E11" s="103">
        <v>0</v>
      </c>
      <c r="F11" s="103">
        <v>0</v>
      </c>
      <c r="G11" s="103">
        <v>0</v>
      </c>
      <c r="H11" s="372">
        <v>0</v>
      </c>
      <c r="I11" s="372">
        <v>0</v>
      </c>
      <c r="J11" s="372">
        <v>0</v>
      </c>
      <c r="K11" s="372">
        <v>0</v>
      </c>
      <c r="L11" s="372">
        <v>0</v>
      </c>
      <c r="M11" s="372">
        <v>0</v>
      </c>
      <c r="N11" s="372">
        <v>0</v>
      </c>
      <c r="O11" s="348">
        <f t="shared" si="7"/>
        <v>0</v>
      </c>
    </row>
    <row r="12" spans="1:31" x14ac:dyDescent="0.3">
      <c r="A12" s="429" t="s">
        <v>150</v>
      </c>
      <c r="B12" s="429" t="s">
        <v>151</v>
      </c>
      <c r="C12" s="433">
        <f>C111*125*0.45</f>
        <v>7200</v>
      </c>
      <c r="D12" s="433">
        <f t="shared" ref="D12:N12" si="8">D111*125*0.45</f>
        <v>6918.75</v>
      </c>
      <c r="E12" s="433">
        <f t="shared" si="8"/>
        <v>6750</v>
      </c>
      <c r="F12" s="433">
        <f t="shared" si="8"/>
        <v>7031.25</v>
      </c>
      <c r="G12" s="433">
        <f t="shared" si="8"/>
        <v>6356.25</v>
      </c>
      <c r="H12" s="455">
        <f t="shared" si="8"/>
        <v>8156.25</v>
      </c>
      <c r="I12" s="455">
        <f t="shared" si="8"/>
        <v>11250</v>
      </c>
      <c r="J12" s="455">
        <f t="shared" si="8"/>
        <v>11250</v>
      </c>
      <c r="K12" s="455">
        <f t="shared" si="8"/>
        <v>7875</v>
      </c>
      <c r="L12" s="455">
        <f t="shared" si="8"/>
        <v>7031.25</v>
      </c>
      <c r="M12" s="455">
        <f t="shared" si="8"/>
        <v>6750</v>
      </c>
      <c r="N12" s="455">
        <f t="shared" si="8"/>
        <v>6750</v>
      </c>
      <c r="O12" s="348">
        <f t="shared" si="7"/>
        <v>93318.75</v>
      </c>
    </row>
    <row r="13" spans="1:31" x14ac:dyDescent="0.3">
      <c r="A13" s="429" t="s">
        <v>152</v>
      </c>
      <c r="B13" s="429" t="s">
        <v>153</v>
      </c>
      <c r="C13" s="433">
        <f>C111*0.2*125</f>
        <v>3200</v>
      </c>
      <c r="D13" s="433">
        <f t="shared" ref="D13:N13" si="9">D111*0.2*125</f>
        <v>3075</v>
      </c>
      <c r="E13" s="433">
        <f t="shared" si="9"/>
        <v>3000</v>
      </c>
      <c r="F13" s="433">
        <f t="shared" si="9"/>
        <v>3125</v>
      </c>
      <c r="G13" s="433">
        <f t="shared" si="9"/>
        <v>2825</v>
      </c>
      <c r="H13" s="455">
        <f t="shared" si="9"/>
        <v>3625</v>
      </c>
      <c r="I13" s="455">
        <f t="shared" si="9"/>
        <v>5000</v>
      </c>
      <c r="J13" s="455">
        <f t="shared" si="9"/>
        <v>5000</v>
      </c>
      <c r="K13" s="455">
        <f t="shared" si="9"/>
        <v>3500</v>
      </c>
      <c r="L13" s="455">
        <f t="shared" si="9"/>
        <v>3125</v>
      </c>
      <c r="M13" s="455">
        <f t="shared" si="9"/>
        <v>3000</v>
      </c>
      <c r="N13" s="455">
        <f t="shared" si="9"/>
        <v>3000</v>
      </c>
      <c r="O13" s="348">
        <f t="shared" si="7"/>
        <v>41475</v>
      </c>
    </row>
    <row r="14" spans="1:31" x14ac:dyDescent="0.3">
      <c r="A14" s="429" t="s">
        <v>154</v>
      </c>
      <c r="B14" s="429" t="s">
        <v>155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372">
        <v>0</v>
      </c>
      <c r="I14" s="372">
        <v>0</v>
      </c>
      <c r="J14" s="372">
        <v>0</v>
      </c>
      <c r="K14" s="372">
        <v>0</v>
      </c>
      <c r="L14" s="372">
        <v>0</v>
      </c>
      <c r="M14" s="372">
        <v>0</v>
      </c>
      <c r="N14" s="372">
        <v>0</v>
      </c>
      <c r="O14" s="348">
        <f t="shared" si="7"/>
        <v>0</v>
      </c>
    </row>
    <row r="15" spans="1:31" x14ac:dyDescent="0.3">
      <c r="A15" s="429" t="s">
        <v>156</v>
      </c>
      <c r="B15" s="429" t="s">
        <v>157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 s="372">
        <v>0</v>
      </c>
      <c r="I15" s="372">
        <v>0</v>
      </c>
      <c r="J15" s="372">
        <v>0</v>
      </c>
      <c r="K15" s="372">
        <v>0</v>
      </c>
      <c r="L15" s="372">
        <v>0</v>
      </c>
      <c r="M15" s="372">
        <v>0</v>
      </c>
      <c r="N15" s="372">
        <v>0</v>
      </c>
      <c r="O15" s="348">
        <f t="shared" si="7"/>
        <v>0</v>
      </c>
    </row>
    <row r="16" spans="1:31" s="435" customFormat="1" x14ac:dyDescent="0.3">
      <c r="A16" s="434" t="s">
        <v>158</v>
      </c>
      <c r="B16" s="434" t="s">
        <v>159</v>
      </c>
      <c r="C16" s="125">
        <v>0</v>
      </c>
      <c r="D16" s="125">
        <v>0</v>
      </c>
      <c r="E16" s="125">
        <v>0</v>
      </c>
      <c r="F16" s="125">
        <v>0</v>
      </c>
      <c r="G16" s="125">
        <v>0</v>
      </c>
      <c r="H16" s="384">
        <v>0</v>
      </c>
      <c r="I16" s="384">
        <v>0</v>
      </c>
      <c r="J16" s="384">
        <v>0</v>
      </c>
      <c r="K16" s="384">
        <v>0</v>
      </c>
      <c r="L16" s="384">
        <v>0</v>
      </c>
      <c r="M16" s="384">
        <v>0</v>
      </c>
      <c r="N16" s="384">
        <v>0</v>
      </c>
      <c r="O16" s="348">
        <f t="shared" si="7"/>
        <v>0</v>
      </c>
    </row>
    <row r="17" spans="1:15" x14ac:dyDescent="0.3">
      <c r="A17" s="429" t="s">
        <v>160</v>
      </c>
      <c r="B17" s="429" t="s">
        <v>161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372">
        <v>0</v>
      </c>
      <c r="I17" s="372">
        <v>0</v>
      </c>
      <c r="J17" s="372">
        <v>0</v>
      </c>
      <c r="K17" s="372">
        <v>0</v>
      </c>
      <c r="L17" s="372">
        <v>0</v>
      </c>
      <c r="M17" s="372">
        <v>0</v>
      </c>
      <c r="N17" s="372">
        <v>0</v>
      </c>
      <c r="O17" s="348">
        <f t="shared" si="7"/>
        <v>0</v>
      </c>
    </row>
    <row r="18" spans="1:15" x14ac:dyDescent="0.3">
      <c r="A18" s="429" t="s">
        <v>162</v>
      </c>
      <c r="B18" s="429" t="s">
        <v>163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372">
        <v>0</v>
      </c>
      <c r="I18" s="372">
        <v>0</v>
      </c>
      <c r="J18" s="372">
        <v>0</v>
      </c>
      <c r="K18" s="372">
        <v>0</v>
      </c>
      <c r="L18" s="372">
        <v>0</v>
      </c>
      <c r="M18" s="372">
        <v>0</v>
      </c>
      <c r="N18" s="372">
        <v>0</v>
      </c>
      <c r="O18" s="348">
        <f t="shared" si="7"/>
        <v>0</v>
      </c>
    </row>
    <row r="19" spans="1:15" x14ac:dyDescent="0.3">
      <c r="A19" s="429">
        <v>456000</v>
      </c>
      <c r="B19" s="429" t="s">
        <v>164</v>
      </c>
      <c r="C19" s="103"/>
      <c r="D19" s="103"/>
      <c r="E19" s="103"/>
      <c r="F19" s="103"/>
      <c r="G19" s="103"/>
      <c r="H19" s="372"/>
      <c r="I19" s="372"/>
      <c r="J19" s="372"/>
      <c r="K19" s="372"/>
      <c r="L19" s="372"/>
      <c r="M19" s="372"/>
      <c r="N19" s="372"/>
      <c r="O19" s="348">
        <f t="shared" si="7"/>
        <v>0</v>
      </c>
    </row>
    <row r="20" spans="1:15" s="435" customFormat="1" x14ac:dyDescent="0.3">
      <c r="A20" s="434" t="s">
        <v>165</v>
      </c>
      <c r="B20" s="434" t="s">
        <v>166</v>
      </c>
      <c r="C20" s="125">
        <v>0</v>
      </c>
      <c r="D20" s="125">
        <v>0</v>
      </c>
      <c r="E20" s="125">
        <v>0</v>
      </c>
      <c r="F20" s="125">
        <v>0</v>
      </c>
      <c r="G20" s="125">
        <v>0</v>
      </c>
      <c r="H20" s="384">
        <v>0</v>
      </c>
      <c r="I20" s="384">
        <v>0</v>
      </c>
      <c r="J20" s="384">
        <v>0</v>
      </c>
      <c r="K20" s="384">
        <v>0</v>
      </c>
      <c r="L20" s="384"/>
      <c r="M20" s="384"/>
      <c r="N20" s="384"/>
      <c r="O20" s="348">
        <f t="shared" si="7"/>
        <v>0</v>
      </c>
    </row>
    <row r="21" spans="1:15" x14ac:dyDescent="0.3">
      <c r="A21" s="429" t="s">
        <v>167</v>
      </c>
      <c r="B21" s="429" t="s">
        <v>168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 s="372">
        <v>0</v>
      </c>
      <c r="I21" s="372">
        <v>0</v>
      </c>
      <c r="J21" s="372">
        <v>0</v>
      </c>
      <c r="K21" s="372">
        <v>0</v>
      </c>
      <c r="L21" s="372">
        <v>0</v>
      </c>
      <c r="M21" s="372">
        <v>0</v>
      </c>
      <c r="N21" s="372">
        <v>0</v>
      </c>
      <c r="O21" s="348">
        <f t="shared" si="7"/>
        <v>0</v>
      </c>
    </row>
    <row r="22" spans="1:15" x14ac:dyDescent="0.3">
      <c r="A22" s="436" t="s">
        <v>169</v>
      </c>
      <c r="B22" s="436" t="s">
        <v>170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 s="372">
        <v>0</v>
      </c>
      <c r="I22" s="372">
        <v>0</v>
      </c>
      <c r="J22" s="372">
        <v>0</v>
      </c>
      <c r="K22" s="372">
        <v>0</v>
      </c>
      <c r="L22" s="372">
        <v>0</v>
      </c>
      <c r="M22" s="372">
        <v>0</v>
      </c>
      <c r="N22" s="372">
        <v>0</v>
      </c>
      <c r="O22" s="348">
        <f t="shared" si="7"/>
        <v>0</v>
      </c>
    </row>
    <row r="23" spans="1:15" s="435" customFormat="1" x14ac:dyDescent="0.3">
      <c r="A23" s="437" t="s">
        <v>171</v>
      </c>
      <c r="B23" s="437" t="s">
        <v>172</v>
      </c>
      <c r="C23" s="125">
        <v>0</v>
      </c>
      <c r="D23" s="125">
        <v>0</v>
      </c>
      <c r="E23" s="125">
        <v>0</v>
      </c>
      <c r="F23" s="125">
        <v>0</v>
      </c>
      <c r="G23" s="125">
        <v>0</v>
      </c>
      <c r="H23" s="384">
        <v>0</v>
      </c>
      <c r="I23" s="384">
        <v>0</v>
      </c>
      <c r="J23" s="384">
        <v>0</v>
      </c>
      <c r="K23" s="384">
        <v>0</v>
      </c>
      <c r="L23" s="384">
        <v>0</v>
      </c>
      <c r="M23" s="384">
        <v>0</v>
      </c>
      <c r="N23" s="384">
        <v>0</v>
      </c>
      <c r="O23" s="348">
        <f t="shared" si="7"/>
        <v>0</v>
      </c>
    </row>
    <row r="24" spans="1:15" x14ac:dyDescent="0.3">
      <c r="A24" s="426"/>
      <c r="B24" s="431" t="s">
        <v>173</v>
      </c>
      <c r="C24" s="303">
        <f t="shared" ref="C24:N24" si="10">SUM(C9:C23)</f>
        <v>10400</v>
      </c>
      <c r="D24" s="303">
        <f t="shared" si="10"/>
        <v>9993.75</v>
      </c>
      <c r="E24" s="303">
        <f t="shared" si="10"/>
        <v>9750</v>
      </c>
      <c r="F24" s="303">
        <f t="shared" si="10"/>
        <v>10156.25</v>
      </c>
      <c r="G24" s="303">
        <f t="shared" si="10"/>
        <v>9181.25</v>
      </c>
      <c r="H24" s="374">
        <f t="shared" si="10"/>
        <v>22656.25</v>
      </c>
      <c r="I24" s="374">
        <f t="shared" si="10"/>
        <v>31250</v>
      </c>
      <c r="J24" s="374">
        <f t="shared" si="10"/>
        <v>31250</v>
      </c>
      <c r="K24" s="374">
        <f t="shared" si="10"/>
        <v>21875</v>
      </c>
      <c r="L24" s="374">
        <f t="shared" si="10"/>
        <v>19531.25</v>
      </c>
      <c r="M24" s="374">
        <f t="shared" si="10"/>
        <v>18750</v>
      </c>
      <c r="N24" s="374">
        <f t="shared" si="10"/>
        <v>18750</v>
      </c>
      <c r="O24" s="350">
        <f>SUM(O9:O23)</f>
        <v>213543.75</v>
      </c>
    </row>
    <row r="25" spans="1:15" x14ac:dyDescent="0.3">
      <c r="A25" s="438"/>
      <c r="B25" s="439" t="s">
        <v>174</v>
      </c>
      <c r="C25" s="304">
        <f t="shared" ref="C25:N25" si="11">C24+C8</f>
        <v>174414.72999999998</v>
      </c>
      <c r="D25" s="304">
        <f t="shared" si="11"/>
        <v>157862.58000000002</v>
      </c>
      <c r="E25" s="304">
        <f t="shared" si="11"/>
        <v>148817.35999999999</v>
      </c>
      <c r="F25" s="304">
        <f t="shared" si="11"/>
        <v>187860.37</v>
      </c>
      <c r="G25" s="304">
        <f t="shared" si="11"/>
        <v>182103.32</v>
      </c>
      <c r="H25" s="376">
        <f t="shared" si="11"/>
        <v>213911.25</v>
      </c>
      <c r="I25" s="376">
        <f t="shared" si="11"/>
        <v>300275</v>
      </c>
      <c r="J25" s="376">
        <f t="shared" si="11"/>
        <v>295050</v>
      </c>
      <c r="K25" s="376">
        <f t="shared" si="11"/>
        <v>211585</v>
      </c>
      <c r="L25" s="376">
        <f t="shared" si="11"/>
        <v>184406.25</v>
      </c>
      <c r="M25" s="376">
        <f t="shared" si="11"/>
        <v>181845</v>
      </c>
      <c r="N25" s="376">
        <f t="shared" si="11"/>
        <v>177030</v>
      </c>
      <c r="O25" s="351">
        <f>O24</f>
        <v>213543.75</v>
      </c>
    </row>
    <row r="26" spans="1:15" x14ac:dyDescent="0.3">
      <c r="A26" s="429">
        <v>522000</v>
      </c>
      <c r="B26" s="429" t="s">
        <v>175</v>
      </c>
      <c r="C26" s="103">
        <f>C8*0.28</f>
        <v>45924.124400000001</v>
      </c>
      <c r="D26" s="103">
        <f t="shared" ref="D26:N26" si="12">D8*0.28</f>
        <v>41403.272400000009</v>
      </c>
      <c r="E26" s="103">
        <f t="shared" si="12"/>
        <v>38938.860800000002</v>
      </c>
      <c r="F26" s="103">
        <f t="shared" si="12"/>
        <v>49757.153600000005</v>
      </c>
      <c r="G26" s="103">
        <f t="shared" si="12"/>
        <v>48418.179600000003</v>
      </c>
      <c r="H26" s="372">
        <f t="shared" si="12"/>
        <v>53551.400000000009</v>
      </c>
      <c r="I26" s="372">
        <f t="shared" si="12"/>
        <v>75327</v>
      </c>
      <c r="J26" s="372">
        <f t="shared" si="12"/>
        <v>73864</v>
      </c>
      <c r="K26" s="372">
        <f t="shared" si="12"/>
        <v>53118.8</v>
      </c>
      <c r="L26" s="372">
        <f t="shared" si="12"/>
        <v>46165.000000000007</v>
      </c>
      <c r="M26" s="372">
        <f t="shared" si="12"/>
        <v>45666.600000000006</v>
      </c>
      <c r="N26" s="372">
        <f t="shared" si="12"/>
        <v>44318.400000000001</v>
      </c>
      <c r="O26" s="348">
        <f t="shared" ref="O26:O29" si="13">SUM(C26:N26)</f>
        <v>616452.79080000008</v>
      </c>
    </row>
    <row r="27" spans="1:15" x14ac:dyDescent="0.3">
      <c r="A27" s="429" t="s">
        <v>176</v>
      </c>
      <c r="B27" s="429" t="s">
        <v>177</v>
      </c>
      <c r="C27" s="125">
        <v>0</v>
      </c>
      <c r="D27" s="125">
        <v>0</v>
      </c>
      <c r="E27" s="125">
        <v>0</v>
      </c>
      <c r="F27" s="125">
        <v>0</v>
      </c>
      <c r="G27" s="125">
        <v>0</v>
      </c>
      <c r="H27" s="384">
        <v>0</v>
      </c>
      <c r="I27" s="384">
        <v>0</v>
      </c>
      <c r="J27" s="384">
        <v>0</v>
      </c>
      <c r="K27" s="384">
        <v>0</v>
      </c>
      <c r="L27" s="384">
        <v>0</v>
      </c>
      <c r="M27" s="384">
        <v>0</v>
      </c>
      <c r="N27" s="384">
        <v>0</v>
      </c>
      <c r="O27" s="348">
        <f t="shared" si="13"/>
        <v>0</v>
      </c>
    </row>
    <row r="28" spans="1:15" x14ac:dyDescent="0.3">
      <c r="A28" s="429" t="s">
        <v>178</v>
      </c>
      <c r="B28" s="429" t="s">
        <v>179</v>
      </c>
      <c r="C28" s="221">
        <f t="shared" ref="C28:N28" si="14">C26*0.09</f>
        <v>4133.1711960000002</v>
      </c>
      <c r="D28" s="221">
        <f t="shared" si="14"/>
        <v>3726.2945160000008</v>
      </c>
      <c r="E28" s="221">
        <f t="shared" si="14"/>
        <v>3504.497472</v>
      </c>
      <c r="F28" s="221">
        <f t="shared" si="14"/>
        <v>4478.1438240000007</v>
      </c>
      <c r="G28" s="221">
        <f t="shared" si="14"/>
        <v>4357.6361640000005</v>
      </c>
      <c r="H28" s="375">
        <f t="shared" si="14"/>
        <v>4819.6260000000002</v>
      </c>
      <c r="I28" s="375">
        <f t="shared" si="14"/>
        <v>6779.4299999999994</v>
      </c>
      <c r="J28" s="375">
        <f t="shared" si="14"/>
        <v>6647.7599999999993</v>
      </c>
      <c r="K28" s="375">
        <f t="shared" si="14"/>
        <v>4780.692</v>
      </c>
      <c r="L28" s="375">
        <f t="shared" si="14"/>
        <v>4154.8500000000004</v>
      </c>
      <c r="M28" s="375">
        <f t="shared" si="14"/>
        <v>4109.9940000000006</v>
      </c>
      <c r="N28" s="375">
        <f t="shared" si="14"/>
        <v>3988.6559999999999</v>
      </c>
      <c r="O28" s="348">
        <f t="shared" si="13"/>
        <v>55480.751172000004</v>
      </c>
    </row>
    <row r="29" spans="1:15" x14ac:dyDescent="0.3">
      <c r="A29" s="436" t="s">
        <v>180</v>
      </c>
      <c r="B29" s="436" t="s">
        <v>181</v>
      </c>
      <c r="C29" s="221">
        <v>0</v>
      </c>
      <c r="D29" s="221">
        <v>0</v>
      </c>
      <c r="E29" s="221">
        <v>0</v>
      </c>
      <c r="F29" s="221">
        <v>0</v>
      </c>
      <c r="G29" s="221">
        <v>0</v>
      </c>
      <c r="H29" s="375">
        <v>0</v>
      </c>
      <c r="I29" s="375">
        <v>0</v>
      </c>
      <c r="J29" s="375">
        <v>0</v>
      </c>
      <c r="K29" s="375">
        <v>0</v>
      </c>
      <c r="L29" s="375">
        <v>0</v>
      </c>
      <c r="M29" s="375">
        <v>0</v>
      </c>
      <c r="N29" s="375">
        <v>0</v>
      </c>
      <c r="O29" s="348">
        <f t="shared" si="13"/>
        <v>0</v>
      </c>
    </row>
    <row r="30" spans="1:15" x14ac:dyDescent="0.3">
      <c r="A30" s="426"/>
      <c r="B30" s="431" t="s">
        <v>182</v>
      </c>
      <c r="C30" s="303">
        <f>SUM(C26:C29)</f>
        <v>50057.295596000004</v>
      </c>
      <c r="D30" s="303">
        <f t="shared" ref="D30:N30" si="15">SUM(D26:D29)</f>
        <v>45129.566916000011</v>
      </c>
      <c r="E30" s="303">
        <f t="shared" si="15"/>
        <v>42443.358272000005</v>
      </c>
      <c r="F30" s="303">
        <f t="shared" si="15"/>
        <v>54235.297424000004</v>
      </c>
      <c r="G30" s="303">
        <f t="shared" si="15"/>
        <v>52775.815764000006</v>
      </c>
      <c r="H30" s="374">
        <f t="shared" si="15"/>
        <v>58371.026000000013</v>
      </c>
      <c r="I30" s="374">
        <f t="shared" si="15"/>
        <v>82106.429999999993</v>
      </c>
      <c r="J30" s="374">
        <f t="shared" si="15"/>
        <v>80511.759999999995</v>
      </c>
      <c r="K30" s="374">
        <f t="shared" si="15"/>
        <v>57899.492000000006</v>
      </c>
      <c r="L30" s="374">
        <f t="shared" si="15"/>
        <v>50319.850000000006</v>
      </c>
      <c r="M30" s="374">
        <f t="shared" si="15"/>
        <v>49776.594000000005</v>
      </c>
      <c r="N30" s="374">
        <f t="shared" si="15"/>
        <v>48307.056000000004</v>
      </c>
      <c r="O30" s="350">
        <f>SUM(O26:O29)</f>
        <v>671933.54197200004</v>
      </c>
    </row>
    <row r="31" spans="1:15" x14ac:dyDescent="0.3">
      <c r="A31" s="429">
        <v>561000</v>
      </c>
      <c r="B31" s="429" t="s">
        <v>183</v>
      </c>
      <c r="C31" s="103">
        <f>C8*0.26</f>
        <v>42643.8298</v>
      </c>
      <c r="D31" s="103">
        <f t="shared" ref="D31:N31" si="16">D8*0.26</f>
        <v>38445.895800000006</v>
      </c>
      <c r="E31" s="103">
        <f t="shared" si="16"/>
        <v>36157.513599999998</v>
      </c>
      <c r="F31" s="103">
        <f t="shared" si="16"/>
        <v>46203.071199999998</v>
      </c>
      <c r="G31" s="103">
        <f t="shared" si="16"/>
        <v>44959.7382</v>
      </c>
      <c r="H31" s="372">
        <f t="shared" si="16"/>
        <v>49726.3</v>
      </c>
      <c r="I31" s="372">
        <f t="shared" si="16"/>
        <v>69946.5</v>
      </c>
      <c r="J31" s="372">
        <f t="shared" si="16"/>
        <v>68588</v>
      </c>
      <c r="K31" s="372">
        <f t="shared" si="16"/>
        <v>49324.6</v>
      </c>
      <c r="L31" s="372">
        <f t="shared" si="16"/>
        <v>42867.5</v>
      </c>
      <c r="M31" s="372">
        <f t="shared" si="16"/>
        <v>42404.700000000004</v>
      </c>
      <c r="N31" s="372">
        <f t="shared" si="16"/>
        <v>41152.800000000003</v>
      </c>
      <c r="O31" s="348">
        <f>SUM(C31:N31)</f>
        <v>572420.4486</v>
      </c>
    </row>
    <row r="32" spans="1:15" x14ac:dyDescent="0.3">
      <c r="A32" s="429" t="s">
        <v>184</v>
      </c>
      <c r="B32" s="429" t="s">
        <v>185</v>
      </c>
      <c r="C32" s="221">
        <v>0</v>
      </c>
      <c r="D32" s="221">
        <v>0</v>
      </c>
      <c r="E32" s="221">
        <v>0</v>
      </c>
      <c r="F32" s="221">
        <v>0</v>
      </c>
      <c r="G32" s="221">
        <v>0</v>
      </c>
      <c r="H32" s="375">
        <v>0</v>
      </c>
      <c r="I32" s="375">
        <v>0</v>
      </c>
      <c r="J32" s="375">
        <v>0</v>
      </c>
      <c r="K32" s="375">
        <v>0</v>
      </c>
      <c r="L32" s="375">
        <v>0</v>
      </c>
      <c r="M32" s="375">
        <v>0</v>
      </c>
      <c r="N32" s="375">
        <v>0</v>
      </c>
      <c r="O32" s="348">
        <f t="shared" ref="O32:O52" si="17">SUM(C32:N32)</f>
        <v>0</v>
      </c>
    </row>
    <row r="33" spans="1:15" x14ac:dyDescent="0.3">
      <c r="A33" s="429" t="s">
        <v>186</v>
      </c>
      <c r="B33" s="429" t="s">
        <v>187</v>
      </c>
      <c r="C33" s="433">
        <v>1004.99</v>
      </c>
      <c r="D33" s="433">
        <v>401.32</v>
      </c>
      <c r="E33" s="433">
        <v>1637.13</v>
      </c>
      <c r="F33" s="433">
        <v>928.34</v>
      </c>
      <c r="G33" s="433">
        <v>2494.9</v>
      </c>
      <c r="H33" s="372">
        <v>1293</v>
      </c>
      <c r="I33" s="372">
        <v>1293</v>
      </c>
      <c r="J33" s="372">
        <v>1293</v>
      </c>
      <c r="K33" s="372">
        <v>1293</v>
      </c>
      <c r="L33" s="372">
        <v>1293</v>
      </c>
      <c r="M33" s="372">
        <v>1293</v>
      </c>
      <c r="N33" s="372">
        <v>1293</v>
      </c>
      <c r="O33" s="348">
        <f t="shared" si="17"/>
        <v>15517.68</v>
      </c>
    </row>
    <row r="34" spans="1:15" x14ac:dyDescent="0.3">
      <c r="A34" s="429" t="s">
        <v>188</v>
      </c>
      <c r="B34" s="429" t="s">
        <v>189</v>
      </c>
      <c r="C34" s="433">
        <v>723.59</v>
      </c>
      <c r="D34" s="433">
        <v>139.55000000000001</v>
      </c>
      <c r="E34" s="433">
        <v>1758.52</v>
      </c>
      <c r="F34" s="433">
        <v>31.86</v>
      </c>
      <c r="G34" s="433">
        <v>25.6</v>
      </c>
      <c r="H34" s="372">
        <v>536</v>
      </c>
      <c r="I34" s="372">
        <v>536</v>
      </c>
      <c r="J34" s="372">
        <v>536</v>
      </c>
      <c r="K34" s="372">
        <v>536</v>
      </c>
      <c r="L34" s="372">
        <v>536</v>
      </c>
      <c r="M34" s="372">
        <v>536</v>
      </c>
      <c r="N34" s="372">
        <v>536</v>
      </c>
      <c r="O34" s="348">
        <f t="shared" si="17"/>
        <v>6431.12</v>
      </c>
    </row>
    <row r="35" spans="1:15" x14ac:dyDescent="0.3">
      <c r="A35" s="429" t="s">
        <v>190</v>
      </c>
      <c r="B35" s="429" t="s">
        <v>191</v>
      </c>
      <c r="C35" s="103">
        <v>0</v>
      </c>
      <c r="D35" s="103">
        <v>0</v>
      </c>
      <c r="E35" s="103">
        <v>0</v>
      </c>
      <c r="F35" s="103">
        <v>0</v>
      </c>
      <c r="G35" s="103">
        <v>0</v>
      </c>
      <c r="H35" s="372">
        <v>0</v>
      </c>
      <c r="I35" s="372">
        <v>0</v>
      </c>
      <c r="J35" s="372">
        <v>0</v>
      </c>
      <c r="K35" s="372">
        <v>0</v>
      </c>
      <c r="L35" s="372">
        <v>0</v>
      </c>
      <c r="M35" s="372">
        <v>0</v>
      </c>
      <c r="N35" s="372">
        <v>0</v>
      </c>
      <c r="O35" s="348">
        <f t="shared" si="17"/>
        <v>0</v>
      </c>
    </row>
    <row r="36" spans="1:15" x14ac:dyDescent="0.3">
      <c r="A36" s="429" t="s">
        <v>192</v>
      </c>
      <c r="B36" s="429" t="s">
        <v>193</v>
      </c>
      <c r="C36" s="103">
        <v>0</v>
      </c>
      <c r="D36" s="103">
        <v>0</v>
      </c>
      <c r="E36" s="103">
        <v>0</v>
      </c>
      <c r="F36" s="103">
        <v>0</v>
      </c>
      <c r="G36" s="103">
        <v>0</v>
      </c>
      <c r="H36" s="372">
        <v>0</v>
      </c>
      <c r="I36" s="372">
        <v>0</v>
      </c>
      <c r="J36" s="372">
        <v>0</v>
      </c>
      <c r="K36" s="372">
        <v>0</v>
      </c>
      <c r="L36" s="372">
        <v>0</v>
      </c>
      <c r="M36" s="372">
        <v>0</v>
      </c>
      <c r="N36" s="372">
        <v>0</v>
      </c>
      <c r="O36" s="348">
        <f t="shared" si="17"/>
        <v>0</v>
      </c>
    </row>
    <row r="37" spans="1:15" x14ac:dyDescent="0.3">
      <c r="A37" s="429" t="s">
        <v>194</v>
      </c>
      <c r="B37" s="429" t="s">
        <v>195</v>
      </c>
      <c r="C37" s="103">
        <v>0</v>
      </c>
      <c r="D37" s="103">
        <v>0</v>
      </c>
      <c r="E37" s="103">
        <v>0</v>
      </c>
      <c r="F37" s="103">
        <v>0</v>
      </c>
      <c r="G37" s="103">
        <v>0</v>
      </c>
      <c r="H37" s="372">
        <v>0</v>
      </c>
      <c r="I37" s="372">
        <v>0</v>
      </c>
      <c r="J37" s="372">
        <v>0</v>
      </c>
      <c r="K37" s="372">
        <v>0</v>
      </c>
      <c r="L37" s="372">
        <v>0</v>
      </c>
      <c r="M37" s="372">
        <v>0</v>
      </c>
      <c r="N37" s="372">
        <v>0</v>
      </c>
      <c r="O37" s="348">
        <f t="shared" si="17"/>
        <v>0</v>
      </c>
    </row>
    <row r="38" spans="1:15" x14ac:dyDescent="0.3">
      <c r="A38" s="429" t="s">
        <v>196</v>
      </c>
      <c r="B38" s="429" t="s">
        <v>380</v>
      </c>
      <c r="C38" s="494">
        <v>0</v>
      </c>
      <c r="D38" s="494">
        <v>0</v>
      </c>
      <c r="E38" s="494">
        <v>0</v>
      </c>
      <c r="F38" s="494">
        <v>0</v>
      </c>
      <c r="G38" s="494">
        <v>0</v>
      </c>
      <c r="H38" s="494">
        <v>0</v>
      </c>
      <c r="I38" s="494">
        <v>0</v>
      </c>
      <c r="J38" s="494">
        <v>0</v>
      </c>
      <c r="K38" s="494">
        <v>0</v>
      </c>
      <c r="L38" s="494">
        <v>0</v>
      </c>
      <c r="M38" s="494">
        <v>0</v>
      </c>
      <c r="N38" s="494">
        <v>0</v>
      </c>
      <c r="O38" s="348">
        <f t="shared" si="17"/>
        <v>0</v>
      </c>
    </row>
    <row r="39" spans="1:15" x14ac:dyDescent="0.3">
      <c r="A39" s="429" t="s">
        <v>197</v>
      </c>
      <c r="B39" s="429" t="s">
        <v>198</v>
      </c>
      <c r="C39" s="221">
        <v>0</v>
      </c>
      <c r="D39" s="221">
        <v>0</v>
      </c>
      <c r="E39" s="221">
        <v>0</v>
      </c>
      <c r="F39" s="221">
        <v>0</v>
      </c>
      <c r="G39" s="221">
        <v>0</v>
      </c>
      <c r="H39" s="375">
        <v>0</v>
      </c>
      <c r="I39" s="375">
        <v>0</v>
      </c>
      <c r="J39" s="375">
        <v>0</v>
      </c>
      <c r="K39" s="375">
        <v>0</v>
      </c>
      <c r="L39" s="375">
        <v>0</v>
      </c>
      <c r="M39" s="375">
        <v>0</v>
      </c>
      <c r="N39" s="375">
        <v>0</v>
      </c>
      <c r="O39" s="348">
        <f t="shared" si="17"/>
        <v>0</v>
      </c>
    </row>
    <row r="40" spans="1:15" x14ac:dyDescent="0.3">
      <c r="A40" s="429">
        <v>577200</v>
      </c>
      <c r="B40" s="429" t="s">
        <v>199</v>
      </c>
      <c r="C40" s="456">
        <f>C111*100</f>
        <v>12800</v>
      </c>
      <c r="D40" s="456">
        <f t="shared" ref="D40:N40" si="18">D111*100</f>
        <v>12300</v>
      </c>
      <c r="E40" s="456">
        <f t="shared" si="18"/>
        <v>12000</v>
      </c>
      <c r="F40" s="456">
        <f t="shared" si="18"/>
        <v>12500</v>
      </c>
      <c r="G40" s="456">
        <f t="shared" si="18"/>
        <v>11300</v>
      </c>
      <c r="H40" s="455">
        <f t="shared" si="18"/>
        <v>14500</v>
      </c>
      <c r="I40" s="455">
        <f t="shared" si="18"/>
        <v>20000</v>
      </c>
      <c r="J40" s="455">
        <f t="shared" si="18"/>
        <v>20000</v>
      </c>
      <c r="K40" s="455">
        <f t="shared" si="18"/>
        <v>14000</v>
      </c>
      <c r="L40" s="455">
        <f t="shared" si="18"/>
        <v>12500</v>
      </c>
      <c r="M40" s="455">
        <f t="shared" si="18"/>
        <v>12000</v>
      </c>
      <c r="N40" s="455">
        <f t="shared" si="18"/>
        <v>12000</v>
      </c>
      <c r="O40" s="348">
        <f t="shared" si="17"/>
        <v>165900</v>
      </c>
    </row>
    <row r="41" spans="1:15" x14ac:dyDescent="0.3">
      <c r="A41" s="429" t="s">
        <v>200</v>
      </c>
      <c r="B41" s="429" t="s">
        <v>201</v>
      </c>
      <c r="C41" s="221">
        <v>0</v>
      </c>
      <c r="D41" s="221">
        <v>0</v>
      </c>
      <c r="E41" s="221">
        <v>0</v>
      </c>
      <c r="F41" s="221">
        <v>0</v>
      </c>
      <c r="G41" s="221">
        <v>0</v>
      </c>
      <c r="H41" s="375">
        <v>0</v>
      </c>
      <c r="I41" s="375">
        <v>0</v>
      </c>
      <c r="J41" s="375">
        <v>0</v>
      </c>
      <c r="K41" s="375">
        <v>0</v>
      </c>
      <c r="L41" s="375">
        <v>0</v>
      </c>
      <c r="M41" s="375">
        <v>0</v>
      </c>
      <c r="N41" s="375">
        <v>0</v>
      </c>
      <c r="O41" s="348">
        <f t="shared" si="17"/>
        <v>0</v>
      </c>
    </row>
    <row r="42" spans="1:15" x14ac:dyDescent="0.3">
      <c r="A42" s="429" t="s">
        <v>202</v>
      </c>
      <c r="B42" s="429" t="s">
        <v>203</v>
      </c>
      <c r="C42" s="221">
        <v>0</v>
      </c>
      <c r="D42" s="221">
        <v>0</v>
      </c>
      <c r="E42" s="221">
        <v>0</v>
      </c>
      <c r="F42" s="221">
        <v>0</v>
      </c>
      <c r="G42" s="221">
        <v>0</v>
      </c>
      <c r="H42" s="375">
        <v>0</v>
      </c>
      <c r="I42" s="375">
        <v>0</v>
      </c>
      <c r="J42" s="375">
        <v>0</v>
      </c>
      <c r="K42" s="375">
        <v>0</v>
      </c>
      <c r="L42" s="375">
        <v>0</v>
      </c>
      <c r="M42" s="375">
        <v>0</v>
      </c>
      <c r="N42" s="375">
        <v>0</v>
      </c>
      <c r="O42" s="348">
        <f t="shared" si="17"/>
        <v>0</v>
      </c>
    </row>
    <row r="43" spans="1:15" x14ac:dyDescent="0.3">
      <c r="A43" s="429" t="s">
        <v>204</v>
      </c>
      <c r="B43" s="429" t="s">
        <v>205</v>
      </c>
      <c r="C43" s="103">
        <v>0</v>
      </c>
      <c r="D43" s="103">
        <v>0</v>
      </c>
      <c r="E43" s="103">
        <v>0</v>
      </c>
      <c r="F43" s="103">
        <v>0</v>
      </c>
      <c r="G43" s="103">
        <v>0</v>
      </c>
      <c r="H43" s="372">
        <v>0</v>
      </c>
      <c r="I43" s="372">
        <v>0</v>
      </c>
      <c r="J43" s="372">
        <v>0</v>
      </c>
      <c r="K43" s="372">
        <v>0</v>
      </c>
      <c r="L43" s="372">
        <v>0</v>
      </c>
      <c r="M43" s="372">
        <v>0</v>
      </c>
      <c r="N43" s="372">
        <v>0</v>
      </c>
      <c r="O43" s="348">
        <f t="shared" si="17"/>
        <v>0</v>
      </c>
    </row>
    <row r="44" spans="1:15" x14ac:dyDescent="0.3">
      <c r="A44" s="429" t="s">
        <v>206</v>
      </c>
      <c r="B44" s="429" t="s">
        <v>207</v>
      </c>
      <c r="C44" s="103">
        <v>0</v>
      </c>
      <c r="D44" s="103">
        <v>0</v>
      </c>
      <c r="E44" s="103">
        <v>0</v>
      </c>
      <c r="F44" s="103">
        <v>0</v>
      </c>
      <c r="G44" s="103">
        <v>0</v>
      </c>
      <c r="H44" s="372">
        <v>0</v>
      </c>
      <c r="I44" s="372">
        <v>0</v>
      </c>
      <c r="J44" s="372">
        <v>0</v>
      </c>
      <c r="K44" s="372">
        <v>0</v>
      </c>
      <c r="L44" s="372">
        <v>0</v>
      </c>
      <c r="M44" s="372">
        <v>0</v>
      </c>
      <c r="N44" s="372">
        <v>0</v>
      </c>
      <c r="O44" s="348">
        <f t="shared" si="17"/>
        <v>0</v>
      </c>
    </row>
    <row r="45" spans="1:15" x14ac:dyDescent="0.3">
      <c r="A45" s="429" t="s">
        <v>208</v>
      </c>
      <c r="B45" s="429" t="s">
        <v>209</v>
      </c>
      <c r="C45" s="433">
        <v>196.14</v>
      </c>
      <c r="D45" s="433">
        <v>905.47</v>
      </c>
      <c r="E45" s="433">
        <v>2523.31</v>
      </c>
      <c r="F45" s="433">
        <v>1530.68</v>
      </c>
      <c r="G45" s="433">
        <v>431.72</v>
      </c>
      <c r="H45" s="455">
        <v>1117</v>
      </c>
      <c r="I45" s="455">
        <v>1117</v>
      </c>
      <c r="J45" s="455">
        <v>1117</v>
      </c>
      <c r="K45" s="455">
        <v>1117</v>
      </c>
      <c r="L45" s="455">
        <v>1117</v>
      </c>
      <c r="M45" s="455">
        <v>1117</v>
      </c>
      <c r="N45" s="455">
        <v>1117</v>
      </c>
      <c r="O45" s="348">
        <f t="shared" si="17"/>
        <v>13406.32</v>
      </c>
    </row>
    <row r="46" spans="1:15" x14ac:dyDescent="0.3">
      <c r="A46" s="429" t="s">
        <v>210</v>
      </c>
      <c r="B46" s="429" t="s">
        <v>211</v>
      </c>
      <c r="C46" s="221">
        <v>0</v>
      </c>
      <c r="D46" s="221">
        <v>0</v>
      </c>
      <c r="E46" s="221">
        <v>0</v>
      </c>
      <c r="F46" s="221">
        <v>0</v>
      </c>
      <c r="G46" s="221">
        <v>0</v>
      </c>
      <c r="H46" s="375">
        <v>0</v>
      </c>
      <c r="I46" s="375">
        <v>0</v>
      </c>
      <c r="J46" s="375">
        <v>0</v>
      </c>
      <c r="K46" s="375">
        <v>0</v>
      </c>
      <c r="L46" s="375">
        <v>0</v>
      </c>
      <c r="M46" s="375">
        <v>0</v>
      </c>
      <c r="N46" s="375">
        <v>0</v>
      </c>
      <c r="O46" s="348">
        <f t="shared" si="17"/>
        <v>0</v>
      </c>
    </row>
    <row r="47" spans="1:15" x14ac:dyDescent="0.3">
      <c r="A47" s="429" t="s">
        <v>212</v>
      </c>
      <c r="B47" s="429" t="s">
        <v>213</v>
      </c>
      <c r="C47" s="221">
        <v>0</v>
      </c>
      <c r="D47" s="221">
        <v>0</v>
      </c>
      <c r="E47" s="221">
        <v>0</v>
      </c>
      <c r="F47" s="221">
        <v>0</v>
      </c>
      <c r="G47" s="221">
        <v>0</v>
      </c>
      <c r="H47" s="375">
        <v>0</v>
      </c>
      <c r="I47" s="375">
        <v>0</v>
      </c>
      <c r="J47" s="375">
        <v>0</v>
      </c>
      <c r="K47" s="375">
        <v>0</v>
      </c>
      <c r="L47" s="375">
        <v>0</v>
      </c>
      <c r="M47" s="375">
        <v>0</v>
      </c>
      <c r="N47" s="375">
        <v>0</v>
      </c>
      <c r="O47" s="348">
        <f t="shared" si="17"/>
        <v>0</v>
      </c>
    </row>
    <row r="48" spans="1:15" x14ac:dyDescent="0.3">
      <c r="A48" s="429" t="s">
        <v>214</v>
      </c>
      <c r="B48" s="429" t="s">
        <v>215</v>
      </c>
      <c r="C48" s="221">
        <v>0</v>
      </c>
      <c r="D48" s="221">
        <v>0</v>
      </c>
      <c r="E48" s="221">
        <v>0</v>
      </c>
      <c r="F48" s="221">
        <v>0</v>
      </c>
      <c r="G48" s="221">
        <v>0</v>
      </c>
      <c r="H48" s="375">
        <v>0</v>
      </c>
      <c r="I48" s="375">
        <v>0</v>
      </c>
      <c r="J48" s="375">
        <v>10000</v>
      </c>
      <c r="K48" s="375">
        <v>0</v>
      </c>
      <c r="L48" s="375">
        <v>0</v>
      </c>
      <c r="M48" s="375">
        <v>0</v>
      </c>
      <c r="N48" s="375">
        <v>0</v>
      </c>
      <c r="O48" s="348">
        <f t="shared" si="17"/>
        <v>10000</v>
      </c>
    </row>
    <row r="49" spans="1:15" x14ac:dyDescent="0.3">
      <c r="A49" s="429" t="s">
        <v>216</v>
      </c>
      <c r="B49" s="429" t="s">
        <v>217</v>
      </c>
      <c r="C49" s="221">
        <v>0</v>
      </c>
      <c r="D49" s="221">
        <v>0</v>
      </c>
      <c r="E49" s="221">
        <v>0</v>
      </c>
      <c r="F49" s="221">
        <v>0</v>
      </c>
      <c r="G49" s="221">
        <v>0</v>
      </c>
      <c r="H49" s="375">
        <v>0</v>
      </c>
      <c r="I49" s="375">
        <v>0</v>
      </c>
      <c r="J49" s="375">
        <v>0</v>
      </c>
      <c r="K49" s="375">
        <v>0</v>
      </c>
      <c r="L49" s="375">
        <v>0</v>
      </c>
      <c r="M49" s="375">
        <v>0</v>
      </c>
      <c r="N49" s="375">
        <v>0</v>
      </c>
      <c r="O49" s="348">
        <f t="shared" si="17"/>
        <v>0</v>
      </c>
    </row>
    <row r="50" spans="1:15" x14ac:dyDescent="0.3">
      <c r="A50" s="429" t="s">
        <v>218</v>
      </c>
      <c r="B50" s="429" t="s">
        <v>219</v>
      </c>
      <c r="C50" s="221">
        <v>0</v>
      </c>
      <c r="D50" s="221">
        <v>0</v>
      </c>
      <c r="E50" s="221">
        <v>0</v>
      </c>
      <c r="F50" s="221">
        <v>0</v>
      </c>
      <c r="G50" s="221">
        <v>0</v>
      </c>
      <c r="H50" s="375">
        <v>0</v>
      </c>
      <c r="I50" s="375">
        <v>0</v>
      </c>
      <c r="J50" s="375">
        <v>0</v>
      </c>
      <c r="K50" s="375">
        <v>0</v>
      </c>
      <c r="L50" s="375">
        <v>0</v>
      </c>
      <c r="M50" s="375">
        <v>0</v>
      </c>
      <c r="N50" s="375">
        <v>0</v>
      </c>
      <c r="O50" s="348">
        <f t="shared" si="17"/>
        <v>0</v>
      </c>
    </row>
    <row r="51" spans="1:15" x14ac:dyDescent="0.3">
      <c r="A51" s="429" t="s">
        <v>220</v>
      </c>
      <c r="B51" s="429" t="s">
        <v>221</v>
      </c>
      <c r="C51" s="221">
        <v>0</v>
      </c>
      <c r="D51" s="221">
        <v>0</v>
      </c>
      <c r="E51" s="221">
        <v>0</v>
      </c>
      <c r="F51" s="221">
        <v>0</v>
      </c>
      <c r="G51" s="221">
        <v>0</v>
      </c>
      <c r="H51" s="375">
        <v>0</v>
      </c>
      <c r="I51" s="375">
        <v>0</v>
      </c>
      <c r="J51" s="375">
        <v>0</v>
      </c>
      <c r="K51" s="375">
        <v>0</v>
      </c>
      <c r="L51" s="375">
        <v>0</v>
      </c>
      <c r="M51" s="375">
        <v>0</v>
      </c>
      <c r="N51" s="375">
        <v>0</v>
      </c>
      <c r="O51" s="348">
        <f t="shared" si="17"/>
        <v>0</v>
      </c>
    </row>
    <row r="52" spans="1:15" x14ac:dyDescent="0.3">
      <c r="A52" s="436" t="s">
        <v>222</v>
      </c>
      <c r="B52" s="436" t="s">
        <v>223</v>
      </c>
      <c r="C52" s="103">
        <v>0</v>
      </c>
      <c r="D52" s="103">
        <v>0</v>
      </c>
      <c r="E52" s="103">
        <v>0</v>
      </c>
      <c r="F52" s="103">
        <v>0</v>
      </c>
      <c r="G52" s="103">
        <v>0</v>
      </c>
      <c r="H52" s="372">
        <v>0</v>
      </c>
      <c r="I52" s="372">
        <v>0</v>
      </c>
      <c r="J52" s="372">
        <v>0</v>
      </c>
      <c r="K52" s="372">
        <v>0</v>
      </c>
      <c r="L52" s="372">
        <v>0</v>
      </c>
      <c r="M52" s="372">
        <v>0</v>
      </c>
      <c r="N52" s="372">
        <v>0</v>
      </c>
      <c r="O52" s="348">
        <f t="shared" si="17"/>
        <v>0</v>
      </c>
    </row>
    <row r="53" spans="1:15" x14ac:dyDescent="0.3">
      <c r="A53" s="426"/>
      <c r="B53" s="431" t="s">
        <v>224</v>
      </c>
      <c r="C53" s="457">
        <f>SUM(C31:C52)</f>
        <v>57368.549799999993</v>
      </c>
      <c r="D53" s="457">
        <f t="shared" ref="D53:N53" si="19">SUM(D31:D52)</f>
        <v>52192.235800000009</v>
      </c>
      <c r="E53" s="457">
        <f t="shared" si="19"/>
        <v>54076.47359999999</v>
      </c>
      <c r="F53" s="457">
        <f t="shared" si="19"/>
        <v>61193.951199999996</v>
      </c>
      <c r="G53" s="457">
        <f t="shared" si="19"/>
        <v>59211.958200000001</v>
      </c>
      <c r="H53" s="458">
        <f>SUM(H31:H52)</f>
        <v>67172.3</v>
      </c>
      <c r="I53" s="458">
        <f t="shared" si="19"/>
        <v>92892.5</v>
      </c>
      <c r="J53" s="458">
        <f t="shared" si="19"/>
        <v>101534</v>
      </c>
      <c r="K53" s="458">
        <f t="shared" si="19"/>
        <v>66270.600000000006</v>
      </c>
      <c r="L53" s="458">
        <f t="shared" si="19"/>
        <v>58313.5</v>
      </c>
      <c r="M53" s="458">
        <f t="shared" si="19"/>
        <v>57350.700000000004</v>
      </c>
      <c r="N53" s="458">
        <f t="shared" si="19"/>
        <v>56098.8</v>
      </c>
      <c r="O53" s="459">
        <f>SUM(O31:O52)</f>
        <v>783675.5686</v>
      </c>
    </row>
    <row r="54" spans="1:15" x14ac:dyDescent="0.3">
      <c r="A54" s="440"/>
      <c r="B54" s="439" t="s">
        <v>225</v>
      </c>
      <c r="C54" s="460">
        <f t="shared" ref="C54:O54" si="20">C53+C30</f>
        <v>107425.84539599999</v>
      </c>
      <c r="D54" s="460">
        <f t="shared" si="20"/>
        <v>97321.80271600002</v>
      </c>
      <c r="E54" s="460">
        <f t="shared" si="20"/>
        <v>96519.831871999995</v>
      </c>
      <c r="F54" s="460">
        <f t="shared" si="20"/>
        <v>115429.248624</v>
      </c>
      <c r="G54" s="460">
        <f t="shared" si="20"/>
        <v>111987.77396400001</v>
      </c>
      <c r="H54" s="461">
        <f>H53+H30</f>
        <v>125543.32600000002</v>
      </c>
      <c r="I54" s="461">
        <f t="shared" ref="I54:K54" si="21">I53+I30</f>
        <v>174998.93</v>
      </c>
      <c r="J54" s="461">
        <f t="shared" si="21"/>
        <v>182045.76</v>
      </c>
      <c r="K54" s="461">
        <f t="shared" si="21"/>
        <v>124170.092</v>
      </c>
      <c r="L54" s="461">
        <f t="shared" si="20"/>
        <v>108633.35</v>
      </c>
      <c r="M54" s="461">
        <f t="shared" si="20"/>
        <v>107127.29400000001</v>
      </c>
      <c r="N54" s="461">
        <f t="shared" si="20"/>
        <v>104405.856</v>
      </c>
      <c r="O54" s="462">
        <f t="shared" si="20"/>
        <v>1455609.110572</v>
      </c>
    </row>
    <row r="55" spans="1:15" x14ac:dyDescent="0.3">
      <c r="A55" s="429" t="s">
        <v>226</v>
      </c>
      <c r="B55" s="429" t="s">
        <v>227</v>
      </c>
      <c r="C55" s="221">
        <v>0</v>
      </c>
      <c r="D55" s="221">
        <v>0</v>
      </c>
      <c r="E55" s="221">
        <v>0</v>
      </c>
      <c r="F55" s="221">
        <v>0</v>
      </c>
      <c r="G55" s="221">
        <v>0</v>
      </c>
      <c r="H55" s="375">
        <v>0</v>
      </c>
      <c r="I55" s="375">
        <v>0</v>
      </c>
      <c r="J55" s="375">
        <v>0</v>
      </c>
      <c r="K55" s="375">
        <v>0</v>
      </c>
      <c r="L55" s="375">
        <v>0</v>
      </c>
      <c r="M55" s="375">
        <v>0</v>
      </c>
      <c r="N55" s="375">
        <v>0</v>
      </c>
      <c r="O55" s="348">
        <f>SUM(C55:N55)</f>
        <v>0</v>
      </c>
    </row>
    <row r="56" spans="1:15" x14ac:dyDescent="0.3">
      <c r="A56" s="429" t="s">
        <v>228</v>
      </c>
      <c r="B56" s="429" t="s">
        <v>229</v>
      </c>
      <c r="C56" s="103">
        <v>0</v>
      </c>
      <c r="D56" s="103">
        <v>0</v>
      </c>
      <c r="E56" s="103">
        <v>0</v>
      </c>
      <c r="F56" s="103">
        <v>0</v>
      </c>
      <c r="G56" s="103">
        <v>0</v>
      </c>
      <c r="H56" s="372">
        <v>0</v>
      </c>
      <c r="I56" s="372">
        <v>0</v>
      </c>
      <c r="J56" s="372">
        <v>0</v>
      </c>
      <c r="K56" s="372">
        <v>0</v>
      </c>
      <c r="L56" s="372">
        <v>0</v>
      </c>
      <c r="M56" s="372">
        <v>0</v>
      </c>
      <c r="N56" s="372">
        <v>0</v>
      </c>
      <c r="O56" s="348">
        <f t="shared" ref="O56:O105" si="22">SUM(C56:N56)</f>
        <v>0</v>
      </c>
    </row>
    <row r="57" spans="1:15" x14ac:dyDescent="0.3">
      <c r="A57" s="429" t="s">
        <v>230</v>
      </c>
      <c r="B57" s="429" t="s">
        <v>231</v>
      </c>
      <c r="C57" s="221">
        <v>0</v>
      </c>
      <c r="D57" s="221">
        <v>0</v>
      </c>
      <c r="E57" s="221">
        <v>0</v>
      </c>
      <c r="F57" s="221">
        <v>0</v>
      </c>
      <c r="G57" s="221">
        <v>0</v>
      </c>
      <c r="H57" s="375">
        <v>0</v>
      </c>
      <c r="I57" s="375">
        <v>0</v>
      </c>
      <c r="J57" s="375">
        <v>0</v>
      </c>
      <c r="K57" s="375">
        <v>0</v>
      </c>
      <c r="L57" s="375">
        <v>0</v>
      </c>
      <c r="M57" s="375">
        <v>0</v>
      </c>
      <c r="N57" s="375">
        <v>0</v>
      </c>
      <c r="O57" s="348">
        <f t="shared" si="22"/>
        <v>0</v>
      </c>
    </row>
    <row r="58" spans="1:15" x14ac:dyDescent="0.3">
      <c r="A58" s="429" t="s">
        <v>232</v>
      </c>
      <c r="B58" s="429" t="s">
        <v>233</v>
      </c>
      <c r="C58" s="433">
        <v>5884.62</v>
      </c>
      <c r="D58" s="433">
        <v>5590.39</v>
      </c>
      <c r="E58" s="433">
        <v>8532.7000000000007</v>
      </c>
      <c r="F58" s="433">
        <v>4413.47</v>
      </c>
      <c r="G58" s="433">
        <v>5296.16</v>
      </c>
      <c r="H58" s="372">
        <v>5943</v>
      </c>
      <c r="I58" s="372">
        <v>5943</v>
      </c>
      <c r="J58" s="372">
        <v>5943</v>
      </c>
      <c r="K58" s="372">
        <v>5943</v>
      </c>
      <c r="L58" s="372">
        <v>5943</v>
      </c>
      <c r="M58" s="372">
        <v>5943</v>
      </c>
      <c r="N58" s="372">
        <v>5943</v>
      </c>
      <c r="O58" s="348">
        <f t="shared" si="22"/>
        <v>71318.34</v>
      </c>
    </row>
    <row r="59" spans="1:15" x14ac:dyDescent="0.3">
      <c r="A59" s="429" t="s">
        <v>234</v>
      </c>
      <c r="B59" s="429" t="s">
        <v>235</v>
      </c>
      <c r="C59" s="221">
        <v>0</v>
      </c>
      <c r="D59" s="221">
        <v>0</v>
      </c>
      <c r="E59" s="221">
        <v>0</v>
      </c>
      <c r="F59" s="221">
        <v>0</v>
      </c>
      <c r="G59" s="221">
        <v>0</v>
      </c>
      <c r="H59" s="375">
        <v>0</v>
      </c>
      <c r="I59" s="375">
        <v>0</v>
      </c>
      <c r="J59" s="375">
        <v>0</v>
      </c>
      <c r="K59" s="375">
        <v>0</v>
      </c>
      <c r="L59" s="375">
        <v>0</v>
      </c>
      <c r="M59" s="375">
        <v>0</v>
      </c>
      <c r="N59" s="375">
        <v>0</v>
      </c>
      <c r="O59" s="348">
        <f t="shared" si="22"/>
        <v>0</v>
      </c>
    </row>
    <row r="60" spans="1:15" x14ac:dyDescent="0.3">
      <c r="A60" s="429" t="s">
        <v>236</v>
      </c>
      <c r="B60" s="429" t="s">
        <v>237</v>
      </c>
      <c r="C60" s="221">
        <v>0</v>
      </c>
      <c r="D60" s="221">
        <v>0</v>
      </c>
      <c r="E60" s="221">
        <v>0</v>
      </c>
      <c r="F60" s="221">
        <v>0</v>
      </c>
      <c r="G60" s="221">
        <v>0</v>
      </c>
      <c r="H60" s="375">
        <v>0</v>
      </c>
      <c r="I60" s="375">
        <v>0</v>
      </c>
      <c r="J60" s="375">
        <v>0</v>
      </c>
      <c r="K60" s="375">
        <v>0</v>
      </c>
      <c r="L60" s="375">
        <v>0</v>
      </c>
      <c r="M60" s="375">
        <v>0</v>
      </c>
      <c r="N60" s="375">
        <v>0</v>
      </c>
      <c r="O60" s="348">
        <f t="shared" si="22"/>
        <v>0</v>
      </c>
    </row>
    <row r="61" spans="1:15" x14ac:dyDescent="0.3">
      <c r="A61" s="429" t="s">
        <v>238</v>
      </c>
      <c r="B61" s="429" t="s">
        <v>239</v>
      </c>
      <c r="C61" s="463">
        <f>25687.24-8659</f>
        <v>17028.240000000002</v>
      </c>
      <c r="D61" s="463">
        <f>26695.91-8659</f>
        <v>18036.91</v>
      </c>
      <c r="E61" s="463">
        <f>66861.35-8659</f>
        <v>58202.350000000006</v>
      </c>
      <c r="F61" s="463">
        <f>26610.13-8659</f>
        <v>17951.13</v>
      </c>
      <c r="G61" s="463">
        <f>42875.22-8659</f>
        <v>34216.22</v>
      </c>
      <c r="H61" s="375">
        <v>18000</v>
      </c>
      <c r="I61" s="375">
        <v>18000</v>
      </c>
      <c r="J61" s="375">
        <v>18000</v>
      </c>
      <c r="K61" s="375">
        <v>18000</v>
      </c>
      <c r="L61" s="375">
        <v>18000</v>
      </c>
      <c r="M61" s="375">
        <v>18000</v>
      </c>
      <c r="N61" s="375">
        <v>18000</v>
      </c>
      <c r="O61" s="348">
        <f t="shared" si="22"/>
        <v>271434.84999999998</v>
      </c>
    </row>
    <row r="62" spans="1:15" x14ac:dyDescent="0.3">
      <c r="A62" s="429" t="s">
        <v>240</v>
      </c>
      <c r="B62" s="429" t="s">
        <v>241</v>
      </c>
      <c r="C62" s="433"/>
      <c r="D62" s="433"/>
      <c r="E62" s="433"/>
      <c r="F62" s="433"/>
      <c r="G62" s="433"/>
      <c r="H62" s="375">
        <v>0</v>
      </c>
      <c r="I62" s="375">
        <v>0</v>
      </c>
      <c r="J62" s="375">
        <v>0</v>
      </c>
      <c r="K62" s="375">
        <v>0</v>
      </c>
      <c r="L62" s="375">
        <v>0</v>
      </c>
      <c r="M62" s="375">
        <v>0</v>
      </c>
      <c r="N62" s="375">
        <v>0</v>
      </c>
      <c r="O62" s="348">
        <f t="shared" si="22"/>
        <v>0</v>
      </c>
    </row>
    <row r="63" spans="1:15" x14ac:dyDescent="0.3">
      <c r="A63" s="429" t="s">
        <v>242</v>
      </c>
      <c r="B63" s="429" t="s">
        <v>243</v>
      </c>
      <c r="C63" s="221">
        <v>0</v>
      </c>
      <c r="D63" s="221">
        <v>0</v>
      </c>
      <c r="E63" s="221">
        <v>0</v>
      </c>
      <c r="F63" s="221">
        <v>0</v>
      </c>
      <c r="G63" s="221">
        <v>0</v>
      </c>
      <c r="H63" s="375">
        <v>0</v>
      </c>
      <c r="I63" s="375">
        <v>0</v>
      </c>
      <c r="J63" s="375">
        <v>0</v>
      </c>
      <c r="K63" s="375">
        <v>0</v>
      </c>
      <c r="L63" s="375">
        <v>0</v>
      </c>
      <c r="M63" s="375">
        <v>0</v>
      </c>
      <c r="N63" s="375">
        <v>0</v>
      </c>
      <c r="O63" s="348">
        <f t="shared" si="22"/>
        <v>0</v>
      </c>
    </row>
    <row r="64" spans="1:15" x14ac:dyDescent="0.3">
      <c r="A64" s="429" t="s">
        <v>244</v>
      </c>
      <c r="B64" s="429" t="s">
        <v>245</v>
      </c>
      <c r="C64" s="221">
        <v>0</v>
      </c>
      <c r="D64" s="221">
        <v>0</v>
      </c>
      <c r="E64" s="221">
        <v>0</v>
      </c>
      <c r="F64" s="221">
        <v>0</v>
      </c>
      <c r="G64" s="221">
        <v>0</v>
      </c>
      <c r="H64" s="375">
        <v>0</v>
      </c>
      <c r="I64" s="375">
        <v>0</v>
      </c>
      <c r="J64" s="375">
        <v>0</v>
      </c>
      <c r="K64" s="375">
        <v>0</v>
      </c>
      <c r="L64" s="375">
        <v>0</v>
      </c>
      <c r="M64" s="375">
        <v>0</v>
      </c>
      <c r="N64" s="375">
        <v>0</v>
      </c>
      <c r="O64" s="348">
        <f t="shared" si="22"/>
        <v>0</v>
      </c>
    </row>
    <row r="65" spans="1:15" x14ac:dyDescent="0.3">
      <c r="A65" s="429" t="s">
        <v>246</v>
      </c>
      <c r="B65" s="429" t="s">
        <v>247</v>
      </c>
      <c r="C65" s="221">
        <v>0</v>
      </c>
      <c r="D65" s="221">
        <v>0</v>
      </c>
      <c r="E65" s="221">
        <v>0</v>
      </c>
      <c r="F65" s="221">
        <v>0</v>
      </c>
      <c r="G65" s="221">
        <v>0</v>
      </c>
      <c r="H65" s="375">
        <v>0</v>
      </c>
      <c r="I65" s="375">
        <v>0</v>
      </c>
      <c r="J65" s="375">
        <v>0</v>
      </c>
      <c r="K65" s="375">
        <v>0</v>
      </c>
      <c r="L65" s="375">
        <v>0</v>
      </c>
      <c r="M65" s="375">
        <v>0</v>
      </c>
      <c r="N65" s="375">
        <v>0</v>
      </c>
      <c r="O65" s="348">
        <f t="shared" si="22"/>
        <v>0</v>
      </c>
    </row>
    <row r="66" spans="1:15" x14ac:dyDescent="0.3">
      <c r="A66" s="429" t="s">
        <v>248</v>
      </c>
      <c r="B66" s="429" t="s">
        <v>249</v>
      </c>
      <c r="C66" s="221">
        <v>0</v>
      </c>
      <c r="D66" s="221">
        <v>0</v>
      </c>
      <c r="E66" s="221">
        <v>0</v>
      </c>
      <c r="F66" s="221">
        <v>0</v>
      </c>
      <c r="G66" s="221">
        <v>0</v>
      </c>
      <c r="H66" s="375">
        <v>0</v>
      </c>
      <c r="I66" s="375">
        <v>0</v>
      </c>
      <c r="J66" s="375">
        <v>0</v>
      </c>
      <c r="K66" s="375">
        <v>0</v>
      </c>
      <c r="L66" s="375">
        <v>0</v>
      </c>
      <c r="M66" s="375">
        <v>0</v>
      </c>
      <c r="N66" s="375">
        <v>0</v>
      </c>
      <c r="O66" s="348">
        <f t="shared" si="22"/>
        <v>0</v>
      </c>
    </row>
    <row r="67" spans="1:15" x14ac:dyDescent="0.3">
      <c r="A67" s="429" t="s">
        <v>250</v>
      </c>
      <c r="B67" s="429" t="s">
        <v>251</v>
      </c>
      <c r="C67" s="463">
        <v>6307</v>
      </c>
      <c r="D67" s="463">
        <v>1125</v>
      </c>
      <c r="E67" s="463">
        <v>10619.3</v>
      </c>
      <c r="F67" s="463">
        <v>5378.11</v>
      </c>
      <c r="G67" s="463">
        <v>0</v>
      </c>
      <c r="H67" s="375">
        <v>4686</v>
      </c>
      <c r="I67" s="375">
        <v>4686</v>
      </c>
      <c r="J67" s="375">
        <v>4686</v>
      </c>
      <c r="K67" s="375">
        <v>4686</v>
      </c>
      <c r="L67" s="375">
        <v>4686</v>
      </c>
      <c r="M67" s="375">
        <v>4686</v>
      </c>
      <c r="N67" s="375">
        <v>4686</v>
      </c>
      <c r="O67" s="348">
        <f t="shared" si="22"/>
        <v>56231.41</v>
      </c>
    </row>
    <row r="68" spans="1:15" x14ac:dyDescent="0.3">
      <c r="A68" s="429" t="s">
        <v>252</v>
      </c>
      <c r="B68" s="429" t="s">
        <v>253</v>
      </c>
      <c r="C68" s="433">
        <v>771.75</v>
      </c>
      <c r="D68" s="433">
        <v>350</v>
      </c>
      <c r="E68" s="433">
        <v>0</v>
      </c>
      <c r="F68" s="433">
        <v>11.85</v>
      </c>
      <c r="G68" s="433">
        <v>27.75</v>
      </c>
      <c r="H68" s="375">
        <v>232</v>
      </c>
      <c r="I68" s="375">
        <v>232</v>
      </c>
      <c r="J68" s="375">
        <v>232</v>
      </c>
      <c r="K68" s="375">
        <v>232</v>
      </c>
      <c r="L68" s="375">
        <v>232</v>
      </c>
      <c r="M68" s="375">
        <v>232</v>
      </c>
      <c r="N68" s="375">
        <v>232</v>
      </c>
      <c r="O68" s="348">
        <f t="shared" si="22"/>
        <v>2785.35</v>
      </c>
    </row>
    <row r="69" spans="1:15" x14ac:dyDescent="0.3">
      <c r="A69" s="429" t="s">
        <v>254</v>
      </c>
      <c r="B69" s="429" t="s">
        <v>255</v>
      </c>
      <c r="C69" s="221">
        <v>0</v>
      </c>
      <c r="D69" s="221">
        <v>0</v>
      </c>
      <c r="E69" s="221">
        <v>0</v>
      </c>
      <c r="F69" s="221">
        <v>0</v>
      </c>
      <c r="G69" s="221">
        <v>0</v>
      </c>
      <c r="H69" s="375">
        <v>0</v>
      </c>
      <c r="I69" s="375">
        <v>0</v>
      </c>
      <c r="J69" s="375">
        <v>0</v>
      </c>
      <c r="K69" s="375">
        <v>0</v>
      </c>
      <c r="L69" s="375">
        <v>0</v>
      </c>
      <c r="M69" s="375">
        <v>0</v>
      </c>
      <c r="N69" s="375">
        <v>0</v>
      </c>
      <c r="O69" s="348">
        <f t="shared" si="22"/>
        <v>0</v>
      </c>
    </row>
    <row r="70" spans="1:15" x14ac:dyDescent="0.3">
      <c r="A70" s="429" t="s">
        <v>256</v>
      </c>
      <c r="B70" s="429" t="s">
        <v>257</v>
      </c>
      <c r="C70" s="221">
        <v>0</v>
      </c>
      <c r="D70" s="221">
        <v>0</v>
      </c>
      <c r="E70" s="221">
        <v>0</v>
      </c>
      <c r="F70" s="221">
        <v>0</v>
      </c>
      <c r="G70" s="221">
        <v>0</v>
      </c>
      <c r="H70" s="375">
        <v>0</v>
      </c>
      <c r="I70" s="375">
        <v>0</v>
      </c>
      <c r="J70" s="375">
        <v>0</v>
      </c>
      <c r="K70" s="375">
        <v>0</v>
      </c>
      <c r="L70" s="375">
        <v>0</v>
      </c>
      <c r="M70" s="375">
        <v>0</v>
      </c>
      <c r="N70" s="375">
        <v>0</v>
      </c>
      <c r="O70" s="348">
        <f t="shared" si="22"/>
        <v>0</v>
      </c>
    </row>
    <row r="71" spans="1:15" x14ac:dyDescent="0.3">
      <c r="A71" s="429" t="s">
        <v>258</v>
      </c>
      <c r="B71" s="429" t="s">
        <v>259</v>
      </c>
      <c r="C71" s="433">
        <v>1056.3</v>
      </c>
      <c r="D71" s="433">
        <v>0</v>
      </c>
      <c r="E71" s="433">
        <v>2284.87</v>
      </c>
      <c r="F71" s="433">
        <v>330.43</v>
      </c>
      <c r="G71" s="433">
        <v>4709.2700000000004</v>
      </c>
      <c r="H71" s="455">
        <v>1676</v>
      </c>
      <c r="I71" s="455">
        <v>1676</v>
      </c>
      <c r="J71" s="455">
        <v>1676</v>
      </c>
      <c r="K71" s="455">
        <v>1676</v>
      </c>
      <c r="L71" s="455">
        <v>1676</v>
      </c>
      <c r="M71" s="455">
        <v>1676</v>
      </c>
      <c r="N71" s="455">
        <v>1676</v>
      </c>
      <c r="O71" s="348">
        <f t="shared" si="22"/>
        <v>20112.870000000003</v>
      </c>
    </row>
    <row r="72" spans="1:15" x14ac:dyDescent="0.3">
      <c r="A72" s="429" t="s">
        <v>260</v>
      </c>
      <c r="B72" s="429" t="s">
        <v>261</v>
      </c>
      <c r="C72" s="464">
        <v>290.11</v>
      </c>
      <c r="D72" s="464">
        <v>14.94</v>
      </c>
      <c r="E72" s="464">
        <v>743.14</v>
      </c>
      <c r="F72" s="464">
        <v>302.85000000000002</v>
      </c>
      <c r="G72" s="464">
        <v>913.46</v>
      </c>
      <c r="H72" s="465">
        <v>452</v>
      </c>
      <c r="I72" s="465">
        <v>452</v>
      </c>
      <c r="J72" s="465">
        <v>452</v>
      </c>
      <c r="K72" s="465">
        <v>452</v>
      </c>
      <c r="L72" s="465">
        <v>452</v>
      </c>
      <c r="M72" s="465">
        <v>452</v>
      </c>
      <c r="N72" s="465">
        <v>452</v>
      </c>
      <c r="O72" s="348">
        <f t="shared" si="22"/>
        <v>5428.5</v>
      </c>
    </row>
    <row r="73" spans="1:15" x14ac:dyDescent="0.3">
      <c r="A73" s="429" t="s">
        <v>262</v>
      </c>
      <c r="B73" s="429" t="s">
        <v>263</v>
      </c>
      <c r="C73" s="103">
        <v>0</v>
      </c>
      <c r="D73" s="103">
        <v>0</v>
      </c>
      <c r="E73" s="103">
        <v>0</v>
      </c>
      <c r="F73" s="103">
        <v>0</v>
      </c>
      <c r="G73" s="103">
        <v>0</v>
      </c>
      <c r="H73" s="372">
        <v>0</v>
      </c>
      <c r="I73" s="372">
        <v>0</v>
      </c>
      <c r="J73" s="372">
        <v>0</v>
      </c>
      <c r="K73" s="372">
        <v>0</v>
      </c>
      <c r="L73" s="372">
        <v>0</v>
      </c>
      <c r="M73" s="372">
        <v>0</v>
      </c>
      <c r="N73" s="372">
        <v>0</v>
      </c>
      <c r="O73" s="348">
        <f t="shared" si="22"/>
        <v>0</v>
      </c>
    </row>
    <row r="74" spans="1:15" x14ac:dyDescent="0.3">
      <c r="A74" s="429" t="s">
        <v>264</v>
      </c>
      <c r="B74" s="429" t="s">
        <v>265</v>
      </c>
      <c r="C74" s="103">
        <v>0</v>
      </c>
      <c r="D74" s="103">
        <v>0</v>
      </c>
      <c r="E74" s="103">
        <v>0</v>
      </c>
      <c r="F74" s="103">
        <v>0</v>
      </c>
      <c r="G74" s="103">
        <v>0</v>
      </c>
      <c r="H74" s="372">
        <v>0</v>
      </c>
      <c r="I74" s="372">
        <v>0</v>
      </c>
      <c r="J74" s="372">
        <v>0</v>
      </c>
      <c r="K74" s="372">
        <v>0</v>
      </c>
      <c r="L74" s="372">
        <v>0</v>
      </c>
      <c r="M74" s="372">
        <v>0</v>
      </c>
      <c r="N74" s="372">
        <v>0</v>
      </c>
      <c r="O74" s="348">
        <f t="shared" si="22"/>
        <v>0</v>
      </c>
    </row>
    <row r="75" spans="1:15" x14ac:dyDescent="0.3">
      <c r="A75" s="429" t="s">
        <v>266</v>
      </c>
      <c r="B75" s="429" t="s">
        <v>267</v>
      </c>
      <c r="C75" s="221">
        <v>0</v>
      </c>
      <c r="D75" s="221">
        <v>0</v>
      </c>
      <c r="E75" s="221">
        <v>0</v>
      </c>
      <c r="F75" s="221">
        <v>0</v>
      </c>
      <c r="G75" s="221">
        <v>0</v>
      </c>
      <c r="H75" s="375">
        <v>0</v>
      </c>
      <c r="I75" s="375">
        <v>0</v>
      </c>
      <c r="J75" s="375">
        <v>0</v>
      </c>
      <c r="K75" s="375">
        <v>0</v>
      </c>
      <c r="L75" s="375">
        <v>0</v>
      </c>
      <c r="M75" s="375">
        <v>0</v>
      </c>
      <c r="N75" s="375">
        <v>0</v>
      </c>
      <c r="O75" s="348">
        <f t="shared" si="22"/>
        <v>0</v>
      </c>
    </row>
    <row r="76" spans="1:15" x14ac:dyDescent="0.3">
      <c r="A76" s="429" t="s">
        <v>268</v>
      </c>
      <c r="B76" s="429" t="s">
        <v>269</v>
      </c>
      <c r="C76" s="221">
        <v>0</v>
      </c>
      <c r="D76" s="221">
        <v>0</v>
      </c>
      <c r="E76" s="221">
        <v>0</v>
      </c>
      <c r="F76" s="221">
        <v>0</v>
      </c>
      <c r="G76" s="221">
        <v>0</v>
      </c>
      <c r="H76" s="375">
        <v>0</v>
      </c>
      <c r="I76" s="375">
        <v>0</v>
      </c>
      <c r="J76" s="375">
        <v>0</v>
      </c>
      <c r="K76" s="375">
        <v>0</v>
      </c>
      <c r="L76" s="375">
        <v>0</v>
      </c>
      <c r="M76" s="375">
        <v>0</v>
      </c>
      <c r="N76" s="375">
        <v>0</v>
      </c>
      <c r="O76" s="348">
        <f t="shared" si="22"/>
        <v>0</v>
      </c>
    </row>
    <row r="77" spans="1:15" x14ac:dyDescent="0.3">
      <c r="A77" s="429" t="s">
        <v>270</v>
      </c>
      <c r="B77" s="429" t="s">
        <v>271</v>
      </c>
      <c r="C77" s="221">
        <v>0</v>
      </c>
      <c r="D77" s="221">
        <v>0</v>
      </c>
      <c r="E77" s="221">
        <v>0</v>
      </c>
      <c r="F77" s="221">
        <v>0</v>
      </c>
      <c r="G77" s="221">
        <v>0</v>
      </c>
      <c r="H77" s="375">
        <v>0</v>
      </c>
      <c r="I77" s="375">
        <v>0</v>
      </c>
      <c r="J77" s="375">
        <v>0</v>
      </c>
      <c r="K77" s="375">
        <v>0</v>
      </c>
      <c r="L77" s="375">
        <v>0</v>
      </c>
      <c r="M77" s="375">
        <v>0</v>
      </c>
      <c r="N77" s="375">
        <v>0</v>
      </c>
      <c r="O77" s="348">
        <f t="shared" si="22"/>
        <v>0</v>
      </c>
    </row>
    <row r="78" spans="1:15" x14ac:dyDescent="0.3">
      <c r="A78" s="429" t="s">
        <v>272</v>
      </c>
      <c r="B78" s="429" t="s">
        <v>273</v>
      </c>
      <c r="C78" s="221">
        <v>0</v>
      </c>
      <c r="D78" s="221">
        <v>0</v>
      </c>
      <c r="E78" s="221">
        <v>0</v>
      </c>
      <c r="F78" s="221">
        <v>0</v>
      </c>
      <c r="G78" s="221">
        <v>0</v>
      </c>
      <c r="H78" s="375">
        <v>0</v>
      </c>
      <c r="I78" s="375">
        <v>0</v>
      </c>
      <c r="J78" s="375">
        <v>0</v>
      </c>
      <c r="K78" s="375">
        <v>0</v>
      </c>
      <c r="L78" s="375">
        <v>0</v>
      </c>
      <c r="M78" s="375">
        <v>0</v>
      </c>
      <c r="N78" s="375">
        <v>0</v>
      </c>
      <c r="O78" s="348">
        <f t="shared" si="22"/>
        <v>0</v>
      </c>
    </row>
    <row r="79" spans="1:15" x14ac:dyDescent="0.3">
      <c r="A79" s="429" t="s">
        <v>274</v>
      </c>
      <c r="B79" s="429" t="s">
        <v>275</v>
      </c>
      <c r="C79" s="221">
        <v>0</v>
      </c>
      <c r="D79" s="221">
        <v>0</v>
      </c>
      <c r="E79" s="221">
        <v>0</v>
      </c>
      <c r="F79" s="221">
        <v>0</v>
      </c>
      <c r="G79" s="221">
        <v>0</v>
      </c>
      <c r="H79" s="375">
        <v>0</v>
      </c>
      <c r="I79" s="375">
        <v>0</v>
      </c>
      <c r="J79" s="375">
        <v>0</v>
      </c>
      <c r="K79" s="375">
        <v>0</v>
      </c>
      <c r="L79" s="375">
        <v>0</v>
      </c>
      <c r="M79" s="375">
        <v>0</v>
      </c>
      <c r="N79" s="375">
        <v>0</v>
      </c>
      <c r="O79" s="348">
        <f t="shared" si="22"/>
        <v>0</v>
      </c>
    </row>
    <row r="80" spans="1:15" x14ac:dyDescent="0.3">
      <c r="A80" s="429" t="s">
        <v>276</v>
      </c>
      <c r="B80" s="429" t="s">
        <v>277</v>
      </c>
      <c r="C80" s="221">
        <v>0</v>
      </c>
      <c r="D80" s="221">
        <v>0</v>
      </c>
      <c r="E80" s="221">
        <v>0</v>
      </c>
      <c r="F80" s="221">
        <v>0</v>
      </c>
      <c r="G80" s="221">
        <v>0</v>
      </c>
      <c r="H80" s="375">
        <v>0</v>
      </c>
      <c r="I80" s="375">
        <v>0</v>
      </c>
      <c r="J80" s="375">
        <v>0</v>
      </c>
      <c r="K80" s="375">
        <v>0</v>
      </c>
      <c r="L80" s="375">
        <v>0</v>
      </c>
      <c r="M80" s="375">
        <v>0</v>
      </c>
      <c r="N80" s="375">
        <v>0</v>
      </c>
      <c r="O80" s="348">
        <f t="shared" si="22"/>
        <v>0</v>
      </c>
    </row>
    <row r="81" spans="1:15" x14ac:dyDescent="0.3">
      <c r="A81" s="429" t="s">
        <v>278</v>
      </c>
      <c r="B81" s="429" t="s">
        <v>279</v>
      </c>
      <c r="C81" s="221">
        <v>0</v>
      </c>
      <c r="D81" s="221">
        <v>0</v>
      </c>
      <c r="E81" s="221">
        <v>0</v>
      </c>
      <c r="F81" s="221">
        <v>0</v>
      </c>
      <c r="G81" s="221">
        <v>0</v>
      </c>
      <c r="H81" s="375">
        <v>0</v>
      </c>
      <c r="I81" s="375">
        <v>0</v>
      </c>
      <c r="J81" s="375">
        <v>0</v>
      </c>
      <c r="K81" s="375">
        <v>0</v>
      </c>
      <c r="L81" s="375">
        <v>0</v>
      </c>
      <c r="M81" s="375">
        <v>0</v>
      </c>
      <c r="N81" s="375">
        <v>0</v>
      </c>
      <c r="O81" s="348">
        <f t="shared" si="22"/>
        <v>0</v>
      </c>
    </row>
    <row r="82" spans="1:15" x14ac:dyDescent="0.3">
      <c r="A82" s="429" t="s">
        <v>280</v>
      </c>
      <c r="B82" s="429" t="s">
        <v>281</v>
      </c>
      <c r="C82" s="221">
        <v>0</v>
      </c>
      <c r="D82" s="221">
        <v>0</v>
      </c>
      <c r="E82" s="221">
        <v>0</v>
      </c>
      <c r="F82" s="221">
        <v>0</v>
      </c>
      <c r="G82" s="221">
        <v>0</v>
      </c>
      <c r="H82" s="375">
        <v>0</v>
      </c>
      <c r="I82" s="375">
        <v>0</v>
      </c>
      <c r="J82" s="375">
        <v>0</v>
      </c>
      <c r="K82" s="375">
        <v>0</v>
      </c>
      <c r="L82" s="375">
        <v>0</v>
      </c>
      <c r="M82" s="375">
        <v>0</v>
      </c>
      <c r="N82" s="375">
        <v>0</v>
      </c>
      <c r="O82" s="348">
        <f t="shared" si="22"/>
        <v>0</v>
      </c>
    </row>
    <row r="83" spans="1:15" x14ac:dyDescent="0.3">
      <c r="A83" s="429" t="s">
        <v>282</v>
      </c>
      <c r="B83" s="429" t="s">
        <v>283</v>
      </c>
      <c r="C83" s="221">
        <v>0</v>
      </c>
      <c r="D83" s="221">
        <v>0</v>
      </c>
      <c r="E83" s="221">
        <v>0</v>
      </c>
      <c r="F83" s="221">
        <v>0</v>
      </c>
      <c r="G83" s="221">
        <v>0</v>
      </c>
      <c r="H83" s="375">
        <v>0</v>
      </c>
      <c r="I83" s="375">
        <v>0</v>
      </c>
      <c r="J83" s="375">
        <v>0</v>
      </c>
      <c r="K83" s="375">
        <v>0</v>
      </c>
      <c r="L83" s="375">
        <v>0</v>
      </c>
      <c r="M83" s="375">
        <v>0</v>
      </c>
      <c r="N83" s="375">
        <v>0</v>
      </c>
      <c r="O83" s="348">
        <f t="shared" si="22"/>
        <v>0</v>
      </c>
    </row>
    <row r="84" spans="1:15" x14ac:dyDescent="0.3">
      <c r="A84" s="429" t="s">
        <v>284</v>
      </c>
      <c r="B84" s="429" t="s">
        <v>285</v>
      </c>
      <c r="C84" s="221">
        <v>0</v>
      </c>
      <c r="D84" s="221">
        <v>0</v>
      </c>
      <c r="E84" s="221">
        <v>0</v>
      </c>
      <c r="F84" s="221">
        <v>0</v>
      </c>
      <c r="G84" s="221">
        <v>0</v>
      </c>
      <c r="H84" s="375">
        <v>0</v>
      </c>
      <c r="I84" s="375">
        <v>0</v>
      </c>
      <c r="J84" s="375">
        <v>0</v>
      </c>
      <c r="K84" s="375">
        <v>0</v>
      </c>
      <c r="L84" s="375">
        <v>0</v>
      </c>
      <c r="M84" s="375">
        <v>0</v>
      </c>
      <c r="N84" s="375">
        <v>0</v>
      </c>
      <c r="O84" s="348">
        <f t="shared" si="22"/>
        <v>0</v>
      </c>
    </row>
    <row r="85" spans="1:15" x14ac:dyDescent="0.3">
      <c r="A85" s="429" t="s">
        <v>286</v>
      </c>
      <c r="B85" s="429" t="s">
        <v>287</v>
      </c>
      <c r="C85" s="433">
        <v>0</v>
      </c>
      <c r="D85" s="433">
        <v>0</v>
      </c>
      <c r="E85" s="433">
        <v>12291</v>
      </c>
      <c r="F85" s="433">
        <v>0</v>
      </c>
      <c r="G85" s="433">
        <v>63</v>
      </c>
      <c r="H85" s="375">
        <v>0</v>
      </c>
      <c r="I85" s="375">
        <v>0</v>
      </c>
      <c r="J85" s="375">
        <v>0</v>
      </c>
      <c r="K85" s="375">
        <v>0</v>
      </c>
      <c r="L85" s="375">
        <v>0</v>
      </c>
      <c r="M85" s="375">
        <v>0</v>
      </c>
      <c r="N85" s="375">
        <v>0</v>
      </c>
      <c r="O85" s="348">
        <f t="shared" si="22"/>
        <v>12354</v>
      </c>
    </row>
    <row r="86" spans="1:15" x14ac:dyDescent="0.3">
      <c r="A86" s="429" t="s">
        <v>288</v>
      </c>
      <c r="B86" s="429" t="s">
        <v>289</v>
      </c>
      <c r="C86" s="221">
        <v>0</v>
      </c>
      <c r="D86" s="221">
        <v>0</v>
      </c>
      <c r="E86" s="221">
        <v>0</v>
      </c>
      <c r="F86" s="221">
        <v>0</v>
      </c>
      <c r="G86" s="221">
        <v>0</v>
      </c>
      <c r="H86" s="375">
        <v>0</v>
      </c>
      <c r="I86" s="375">
        <v>0</v>
      </c>
      <c r="J86" s="375">
        <v>0</v>
      </c>
      <c r="K86" s="375">
        <v>0</v>
      </c>
      <c r="L86" s="375">
        <v>0</v>
      </c>
      <c r="M86" s="375">
        <v>0</v>
      </c>
      <c r="N86" s="375">
        <v>0</v>
      </c>
      <c r="O86" s="348">
        <f t="shared" si="22"/>
        <v>0</v>
      </c>
    </row>
    <row r="87" spans="1:15" x14ac:dyDescent="0.3">
      <c r="A87" s="429" t="s">
        <v>290</v>
      </c>
      <c r="B87" s="429" t="s">
        <v>291</v>
      </c>
      <c r="C87" s="433">
        <v>963.91</v>
      </c>
      <c r="D87" s="433">
        <v>1556.76</v>
      </c>
      <c r="E87" s="433">
        <v>1391.86</v>
      </c>
      <c r="F87" s="433">
        <v>1077.4000000000001</v>
      </c>
      <c r="G87" s="433">
        <v>1205.01</v>
      </c>
      <c r="H87" s="375">
        <v>1239</v>
      </c>
      <c r="I87" s="375">
        <v>1239</v>
      </c>
      <c r="J87" s="375">
        <v>1239</v>
      </c>
      <c r="K87" s="375">
        <v>1239</v>
      </c>
      <c r="L87" s="375">
        <v>1239</v>
      </c>
      <c r="M87" s="375">
        <v>1239</v>
      </c>
      <c r="N87" s="375">
        <v>1239</v>
      </c>
      <c r="O87" s="348">
        <f t="shared" si="22"/>
        <v>14867.94</v>
      </c>
    </row>
    <row r="88" spans="1:15" x14ac:dyDescent="0.3">
      <c r="A88" s="429" t="s">
        <v>292</v>
      </c>
      <c r="B88" s="429" t="s">
        <v>293</v>
      </c>
      <c r="C88" s="221">
        <v>0</v>
      </c>
      <c r="D88" s="221">
        <v>0</v>
      </c>
      <c r="E88" s="221">
        <v>0</v>
      </c>
      <c r="F88" s="221">
        <v>0</v>
      </c>
      <c r="G88" s="221">
        <v>0</v>
      </c>
      <c r="H88" s="375">
        <v>0</v>
      </c>
      <c r="I88" s="375">
        <v>0</v>
      </c>
      <c r="J88" s="375">
        <v>0</v>
      </c>
      <c r="K88" s="375">
        <v>0</v>
      </c>
      <c r="L88" s="375">
        <v>0</v>
      </c>
      <c r="M88" s="375">
        <v>0</v>
      </c>
      <c r="N88" s="375">
        <v>0</v>
      </c>
      <c r="O88" s="348">
        <f t="shared" si="22"/>
        <v>0</v>
      </c>
    </row>
    <row r="89" spans="1:15" x14ac:dyDescent="0.3">
      <c r="A89" s="429" t="s">
        <v>294</v>
      </c>
      <c r="B89" s="429" t="s">
        <v>295</v>
      </c>
      <c r="C89" s="221">
        <v>0</v>
      </c>
      <c r="D89" s="221">
        <v>0</v>
      </c>
      <c r="E89" s="221">
        <v>0</v>
      </c>
      <c r="F89" s="221">
        <v>0</v>
      </c>
      <c r="G89" s="221">
        <v>0</v>
      </c>
      <c r="H89" s="375">
        <v>0</v>
      </c>
      <c r="I89" s="375">
        <v>0</v>
      </c>
      <c r="J89" s="375">
        <v>0</v>
      </c>
      <c r="K89" s="375">
        <v>0</v>
      </c>
      <c r="L89" s="375">
        <v>0</v>
      </c>
      <c r="M89" s="375">
        <v>0</v>
      </c>
      <c r="N89" s="375">
        <v>0</v>
      </c>
      <c r="O89" s="348">
        <f t="shared" si="22"/>
        <v>0</v>
      </c>
    </row>
    <row r="90" spans="1:15" x14ac:dyDescent="0.3">
      <c r="A90" s="429" t="s">
        <v>296</v>
      </c>
      <c r="B90" s="429" t="s">
        <v>297</v>
      </c>
      <c r="C90" s="433">
        <v>458.66</v>
      </c>
      <c r="D90" s="433">
        <v>0</v>
      </c>
      <c r="E90" s="433">
        <v>0</v>
      </c>
      <c r="F90" s="433">
        <v>125.75</v>
      </c>
      <c r="G90" s="433">
        <v>578.08000000000004</v>
      </c>
      <c r="H90" s="375">
        <v>232</v>
      </c>
      <c r="I90" s="375">
        <v>232</v>
      </c>
      <c r="J90" s="375">
        <v>232</v>
      </c>
      <c r="K90" s="375">
        <v>232</v>
      </c>
      <c r="L90" s="375">
        <v>232</v>
      </c>
      <c r="M90" s="375">
        <v>232</v>
      </c>
      <c r="N90" s="375">
        <v>232</v>
      </c>
      <c r="O90" s="348">
        <f t="shared" si="22"/>
        <v>2786.4900000000002</v>
      </c>
    </row>
    <row r="91" spans="1:15" x14ac:dyDescent="0.3">
      <c r="A91" s="429" t="s">
        <v>298</v>
      </c>
      <c r="B91" s="429" t="s">
        <v>299</v>
      </c>
      <c r="C91" s="433">
        <v>12.28</v>
      </c>
      <c r="D91" s="433">
        <v>504</v>
      </c>
      <c r="E91" s="433">
        <v>103.82</v>
      </c>
      <c r="F91" s="433">
        <v>2405.7600000000002</v>
      </c>
      <c r="G91" s="433">
        <v>0</v>
      </c>
      <c r="H91" s="372">
        <v>252</v>
      </c>
      <c r="I91" s="372">
        <v>252</v>
      </c>
      <c r="J91" s="372">
        <v>252</v>
      </c>
      <c r="K91" s="372">
        <v>252</v>
      </c>
      <c r="L91" s="372">
        <v>252</v>
      </c>
      <c r="M91" s="372">
        <v>252</v>
      </c>
      <c r="N91" s="372">
        <v>252</v>
      </c>
      <c r="O91" s="348">
        <f t="shared" si="22"/>
        <v>4789.8600000000006</v>
      </c>
    </row>
    <row r="92" spans="1:15" x14ac:dyDescent="0.3">
      <c r="A92" s="429" t="s">
        <v>300</v>
      </c>
      <c r="B92" s="429" t="s">
        <v>301</v>
      </c>
      <c r="C92" s="103">
        <v>0</v>
      </c>
      <c r="D92" s="103">
        <v>0</v>
      </c>
      <c r="E92" s="103">
        <v>0</v>
      </c>
      <c r="F92" s="103">
        <v>0</v>
      </c>
      <c r="G92" s="103">
        <v>0</v>
      </c>
      <c r="H92" s="372">
        <f t="shared" ref="H92" si="23">SUM(C92:G92)</f>
        <v>0</v>
      </c>
      <c r="I92" s="375">
        <v>0</v>
      </c>
      <c r="J92" s="375">
        <v>0</v>
      </c>
      <c r="K92" s="375">
        <v>0</v>
      </c>
      <c r="L92" s="375">
        <v>0</v>
      </c>
      <c r="M92" s="375">
        <v>0</v>
      </c>
      <c r="N92" s="375">
        <v>0</v>
      </c>
      <c r="O92" s="348">
        <f t="shared" si="22"/>
        <v>0</v>
      </c>
    </row>
    <row r="93" spans="1:15" x14ac:dyDescent="0.3">
      <c r="A93" s="429" t="s">
        <v>302</v>
      </c>
      <c r="B93" s="429" t="s">
        <v>303</v>
      </c>
      <c r="C93" s="433">
        <v>715.29</v>
      </c>
      <c r="D93" s="433">
        <v>103.05</v>
      </c>
      <c r="E93" s="433">
        <v>974.71</v>
      </c>
      <c r="F93" s="433">
        <v>356.67</v>
      </c>
      <c r="G93" s="433">
        <v>1923.77</v>
      </c>
      <c r="H93" s="372">
        <v>339</v>
      </c>
      <c r="I93" s="372">
        <v>339</v>
      </c>
      <c r="J93" s="372">
        <v>339</v>
      </c>
      <c r="K93" s="372">
        <v>339</v>
      </c>
      <c r="L93" s="372">
        <v>339</v>
      </c>
      <c r="M93" s="372">
        <v>339</v>
      </c>
      <c r="N93" s="372">
        <v>339</v>
      </c>
      <c r="O93" s="348">
        <f t="shared" si="22"/>
        <v>6446.49</v>
      </c>
    </row>
    <row r="94" spans="1:15" x14ac:dyDescent="0.3">
      <c r="A94" s="429" t="s">
        <v>304</v>
      </c>
      <c r="B94" s="429" t="s">
        <v>305</v>
      </c>
      <c r="C94" s="221">
        <v>0</v>
      </c>
      <c r="D94" s="221">
        <v>0</v>
      </c>
      <c r="E94" s="221">
        <v>0</v>
      </c>
      <c r="F94" s="221">
        <v>0</v>
      </c>
      <c r="G94" s="221">
        <v>0</v>
      </c>
      <c r="H94" s="375">
        <v>0</v>
      </c>
      <c r="I94" s="375">
        <v>0</v>
      </c>
      <c r="J94" s="375">
        <v>0</v>
      </c>
      <c r="K94" s="375">
        <v>0</v>
      </c>
      <c r="L94" s="375">
        <v>0</v>
      </c>
      <c r="M94" s="375">
        <v>0</v>
      </c>
      <c r="N94" s="375">
        <v>0</v>
      </c>
      <c r="O94" s="348">
        <f t="shared" si="22"/>
        <v>0</v>
      </c>
    </row>
    <row r="95" spans="1:15" x14ac:dyDescent="0.3">
      <c r="A95" s="429" t="s">
        <v>306</v>
      </c>
      <c r="B95" s="429" t="s">
        <v>307</v>
      </c>
      <c r="C95" s="221">
        <v>0</v>
      </c>
      <c r="D95" s="221">
        <v>0</v>
      </c>
      <c r="E95" s="221">
        <v>0</v>
      </c>
      <c r="F95" s="221">
        <v>0</v>
      </c>
      <c r="G95" s="221">
        <v>0</v>
      </c>
      <c r="H95" s="375">
        <v>0</v>
      </c>
      <c r="I95" s="375">
        <v>0</v>
      </c>
      <c r="J95" s="375">
        <v>0</v>
      </c>
      <c r="K95" s="375">
        <v>0</v>
      </c>
      <c r="L95" s="375">
        <v>0</v>
      </c>
      <c r="M95" s="375">
        <v>0</v>
      </c>
      <c r="N95" s="375">
        <v>0</v>
      </c>
      <c r="O95" s="348">
        <f t="shared" si="22"/>
        <v>0</v>
      </c>
    </row>
    <row r="96" spans="1:15" x14ac:dyDescent="0.3">
      <c r="A96" s="429" t="s">
        <v>308</v>
      </c>
      <c r="B96" s="429" t="s">
        <v>309</v>
      </c>
      <c r="C96" s="221">
        <v>0</v>
      </c>
      <c r="D96" s="221">
        <v>0</v>
      </c>
      <c r="E96" s="221">
        <v>0</v>
      </c>
      <c r="F96" s="221">
        <v>0</v>
      </c>
      <c r="G96" s="221">
        <v>0</v>
      </c>
      <c r="H96" s="375">
        <v>0</v>
      </c>
      <c r="I96" s="375">
        <v>0</v>
      </c>
      <c r="J96" s="375">
        <v>0</v>
      </c>
      <c r="K96" s="375">
        <v>0</v>
      </c>
      <c r="L96" s="375">
        <v>0</v>
      </c>
      <c r="M96" s="375">
        <v>0</v>
      </c>
      <c r="N96" s="375">
        <v>0</v>
      </c>
      <c r="O96" s="348">
        <f t="shared" si="22"/>
        <v>0</v>
      </c>
    </row>
    <row r="97" spans="1:17" x14ac:dyDescent="0.3">
      <c r="A97" s="429" t="s">
        <v>310</v>
      </c>
      <c r="B97" s="429" t="s">
        <v>311</v>
      </c>
      <c r="C97" s="221">
        <v>0</v>
      </c>
      <c r="D97" s="221">
        <v>0</v>
      </c>
      <c r="E97" s="221">
        <v>0</v>
      </c>
      <c r="F97" s="221">
        <v>0</v>
      </c>
      <c r="G97" s="221">
        <v>0</v>
      </c>
      <c r="H97" s="375">
        <v>0</v>
      </c>
      <c r="I97" s="375">
        <v>0</v>
      </c>
      <c r="J97" s="375">
        <v>0</v>
      </c>
      <c r="K97" s="375">
        <v>0</v>
      </c>
      <c r="L97" s="375">
        <v>0</v>
      </c>
      <c r="M97" s="375">
        <v>0</v>
      </c>
      <c r="N97" s="375">
        <v>0</v>
      </c>
      <c r="O97" s="348">
        <f t="shared" si="22"/>
        <v>0</v>
      </c>
    </row>
    <row r="98" spans="1:17" x14ac:dyDescent="0.3">
      <c r="A98" s="429" t="s">
        <v>312</v>
      </c>
      <c r="B98" s="429" t="s">
        <v>313</v>
      </c>
      <c r="C98" s="221">
        <v>0</v>
      </c>
      <c r="D98" s="221">
        <v>0</v>
      </c>
      <c r="E98" s="221">
        <v>0</v>
      </c>
      <c r="F98" s="221">
        <v>0</v>
      </c>
      <c r="G98" s="221">
        <v>0</v>
      </c>
      <c r="H98" s="375">
        <v>0</v>
      </c>
      <c r="I98" s="375">
        <v>0</v>
      </c>
      <c r="J98" s="375">
        <v>0</v>
      </c>
      <c r="K98" s="375">
        <v>0</v>
      </c>
      <c r="L98" s="375">
        <v>0</v>
      </c>
      <c r="M98" s="375">
        <v>0</v>
      </c>
      <c r="N98" s="375">
        <v>0</v>
      </c>
      <c r="O98" s="348">
        <f t="shared" si="22"/>
        <v>0</v>
      </c>
    </row>
    <row r="99" spans="1:17" x14ac:dyDescent="0.3">
      <c r="A99" s="429" t="s">
        <v>314</v>
      </c>
      <c r="B99" s="429" t="s">
        <v>315</v>
      </c>
      <c r="C99" s="433">
        <v>58027.34</v>
      </c>
      <c r="D99" s="433">
        <v>52132.68</v>
      </c>
      <c r="E99" s="433">
        <v>56803.8</v>
      </c>
      <c r="F99" s="433">
        <v>51394.8</v>
      </c>
      <c r="G99" s="433">
        <v>52631.05</v>
      </c>
      <c r="H99" s="372">
        <v>51817.3</v>
      </c>
      <c r="I99" s="372">
        <v>51817.3</v>
      </c>
      <c r="J99" s="372">
        <v>51817.3</v>
      </c>
      <c r="K99" s="372">
        <v>51817.3</v>
      </c>
      <c r="L99" s="372">
        <v>51817.3</v>
      </c>
      <c r="M99" s="372">
        <v>51817.3</v>
      </c>
      <c r="N99" s="372">
        <v>51817.3</v>
      </c>
      <c r="O99" s="348">
        <f t="shared" si="22"/>
        <v>633710.77</v>
      </c>
    </row>
    <row r="100" spans="1:17" x14ac:dyDescent="0.3">
      <c r="A100" s="429" t="s">
        <v>316</v>
      </c>
      <c r="B100" s="429" t="s">
        <v>317</v>
      </c>
      <c r="C100" s="433">
        <v>273.33999999999997</v>
      </c>
      <c r="D100" s="433">
        <v>0</v>
      </c>
      <c r="E100" s="433">
        <v>0</v>
      </c>
      <c r="F100" s="433">
        <v>114.5</v>
      </c>
      <c r="G100" s="433">
        <v>0</v>
      </c>
      <c r="H100" s="455">
        <v>0</v>
      </c>
      <c r="I100" s="375">
        <v>0</v>
      </c>
      <c r="J100" s="375">
        <v>0</v>
      </c>
      <c r="K100" s="375">
        <v>0</v>
      </c>
      <c r="L100" s="375">
        <v>0</v>
      </c>
      <c r="M100" s="375">
        <v>0</v>
      </c>
      <c r="N100" s="375">
        <v>0</v>
      </c>
      <c r="O100" s="348">
        <f t="shared" si="22"/>
        <v>387.84</v>
      </c>
    </row>
    <row r="101" spans="1:17" x14ac:dyDescent="0.3">
      <c r="A101" s="429" t="s">
        <v>318</v>
      </c>
      <c r="B101" s="429" t="s">
        <v>319</v>
      </c>
      <c r="C101" s="103">
        <v>0</v>
      </c>
      <c r="D101" s="103">
        <v>0</v>
      </c>
      <c r="E101" s="103">
        <v>0</v>
      </c>
      <c r="F101" s="103">
        <v>0</v>
      </c>
      <c r="G101" s="103">
        <v>0</v>
      </c>
      <c r="H101" s="372">
        <v>0</v>
      </c>
      <c r="I101" s="372">
        <v>0</v>
      </c>
      <c r="J101" s="372">
        <v>0</v>
      </c>
      <c r="K101" s="372">
        <v>0</v>
      </c>
      <c r="L101" s="372">
        <v>0</v>
      </c>
      <c r="M101" s="372">
        <v>0</v>
      </c>
      <c r="N101" s="372">
        <v>0</v>
      </c>
      <c r="O101" s="348">
        <f t="shared" si="22"/>
        <v>0</v>
      </c>
    </row>
    <row r="102" spans="1:17" x14ac:dyDescent="0.3">
      <c r="A102" s="429" t="s">
        <v>320</v>
      </c>
      <c r="B102" s="429" t="s">
        <v>321</v>
      </c>
      <c r="C102" s="103">
        <v>0</v>
      </c>
      <c r="D102" s="103">
        <v>0</v>
      </c>
      <c r="E102" s="103">
        <v>0</v>
      </c>
      <c r="F102" s="103">
        <v>0</v>
      </c>
      <c r="G102" s="103">
        <v>0</v>
      </c>
      <c r="H102" s="372">
        <v>0</v>
      </c>
      <c r="I102" s="372">
        <v>0</v>
      </c>
      <c r="J102" s="372">
        <v>0</v>
      </c>
      <c r="K102" s="372">
        <v>0</v>
      </c>
      <c r="L102" s="372">
        <v>0</v>
      </c>
      <c r="M102" s="372">
        <v>0</v>
      </c>
      <c r="N102" s="372">
        <v>0</v>
      </c>
      <c r="O102" s="348">
        <f t="shared" si="22"/>
        <v>0</v>
      </c>
    </row>
    <row r="103" spans="1:17" x14ac:dyDescent="0.3">
      <c r="A103" s="429" t="s">
        <v>322</v>
      </c>
      <c r="B103" s="429" t="s">
        <v>323</v>
      </c>
      <c r="C103" s="103">
        <v>0</v>
      </c>
      <c r="D103" s="103">
        <v>0</v>
      </c>
      <c r="E103" s="103">
        <v>0</v>
      </c>
      <c r="F103" s="103">
        <v>0</v>
      </c>
      <c r="G103" s="103">
        <v>0</v>
      </c>
      <c r="H103" s="372">
        <v>0</v>
      </c>
      <c r="I103" s="372">
        <v>0</v>
      </c>
      <c r="J103" s="372">
        <v>0</v>
      </c>
      <c r="K103" s="372">
        <v>0</v>
      </c>
      <c r="L103" s="372">
        <v>0</v>
      </c>
      <c r="M103" s="372">
        <v>0</v>
      </c>
      <c r="N103" s="372">
        <v>0</v>
      </c>
      <c r="O103" s="348">
        <f t="shared" si="22"/>
        <v>0</v>
      </c>
    </row>
    <row r="104" spans="1:17" x14ac:dyDescent="0.3">
      <c r="A104" s="429" t="s">
        <v>324</v>
      </c>
      <c r="B104" s="429" t="s">
        <v>325</v>
      </c>
      <c r="C104" s="103">
        <v>0</v>
      </c>
      <c r="D104" s="103">
        <v>0</v>
      </c>
      <c r="E104" s="103">
        <v>0</v>
      </c>
      <c r="F104" s="103">
        <v>0</v>
      </c>
      <c r="G104" s="103">
        <v>0</v>
      </c>
      <c r="H104" s="372">
        <v>0</v>
      </c>
      <c r="I104" s="372">
        <v>0</v>
      </c>
      <c r="J104" s="372">
        <v>0</v>
      </c>
      <c r="K104" s="372">
        <v>0</v>
      </c>
      <c r="L104" s="372">
        <v>0</v>
      </c>
      <c r="M104" s="372">
        <v>0</v>
      </c>
      <c r="N104" s="372">
        <v>0</v>
      </c>
      <c r="O104" s="348">
        <f t="shared" si="22"/>
        <v>0</v>
      </c>
    </row>
    <row r="105" spans="1:17" x14ac:dyDescent="0.3">
      <c r="A105" s="436" t="s">
        <v>326</v>
      </c>
      <c r="B105" s="436" t="s">
        <v>327</v>
      </c>
      <c r="C105" s="103">
        <v>0</v>
      </c>
      <c r="D105" s="103">
        <v>0</v>
      </c>
      <c r="E105" s="103">
        <v>0</v>
      </c>
      <c r="F105" s="103">
        <v>0</v>
      </c>
      <c r="G105" s="103">
        <v>0</v>
      </c>
      <c r="H105" s="372">
        <v>0</v>
      </c>
      <c r="I105" s="372">
        <v>0</v>
      </c>
      <c r="J105" s="372">
        <v>0</v>
      </c>
      <c r="K105" s="372">
        <v>0</v>
      </c>
      <c r="L105" s="372">
        <v>0</v>
      </c>
      <c r="M105" s="372">
        <v>0</v>
      </c>
      <c r="N105" s="372">
        <v>0</v>
      </c>
      <c r="O105" s="348">
        <f t="shared" si="22"/>
        <v>0</v>
      </c>
    </row>
    <row r="106" spans="1:17" x14ac:dyDescent="0.3">
      <c r="A106" s="296"/>
      <c r="B106" s="436" t="s">
        <v>382</v>
      </c>
      <c r="C106" s="103">
        <v>0</v>
      </c>
      <c r="D106" s="103">
        <v>0</v>
      </c>
      <c r="E106" s="103">
        <v>0</v>
      </c>
      <c r="F106" s="103">
        <v>0</v>
      </c>
      <c r="G106" s="103">
        <v>0</v>
      </c>
      <c r="H106" s="372">
        <v>0</v>
      </c>
      <c r="I106" s="372">
        <v>0</v>
      </c>
      <c r="J106" s="372">
        <v>0</v>
      </c>
      <c r="K106" s="372">
        <v>0</v>
      </c>
      <c r="L106" s="372">
        <v>0</v>
      </c>
      <c r="M106" s="372">
        <v>0</v>
      </c>
      <c r="N106" s="372">
        <v>0</v>
      </c>
      <c r="O106" s="348">
        <f>SUM(C106:N106)/5</f>
        <v>0</v>
      </c>
      <c r="P106" s="142"/>
      <c r="Q106" s="514"/>
    </row>
    <row r="107" spans="1:17" x14ac:dyDescent="0.3">
      <c r="A107" s="426"/>
      <c r="B107" s="431" t="s">
        <v>328</v>
      </c>
      <c r="C107" s="305">
        <f>SUM(C55:C106)</f>
        <v>91788.84</v>
      </c>
      <c r="D107" s="305">
        <f t="shared" ref="D107:N107" si="24">SUM(D55:D106)</f>
        <v>79413.73</v>
      </c>
      <c r="E107" s="305">
        <f t="shared" si="24"/>
        <v>151947.55000000002</v>
      </c>
      <c r="F107" s="305">
        <f t="shared" si="24"/>
        <v>83862.720000000001</v>
      </c>
      <c r="G107" s="305">
        <f t="shared" si="24"/>
        <v>101563.77000000002</v>
      </c>
      <c r="H107" s="305">
        <f t="shared" si="24"/>
        <v>84868.3</v>
      </c>
      <c r="I107" s="305">
        <f t="shared" si="24"/>
        <v>84868.3</v>
      </c>
      <c r="J107" s="305">
        <f t="shared" si="24"/>
        <v>84868.3</v>
      </c>
      <c r="K107" s="305">
        <f t="shared" si="24"/>
        <v>84868.3</v>
      </c>
      <c r="L107" s="305">
        <f t="shared" si="24"/>
        <v>84868.3</v>
      </c>
      <c r="M107" s="305">
        <f t="shared" si="24"/>
        <v>84868.3</v>
      </c>
      <c r="N107" s="305">
        <f t="shared" si="24"/>
        <v>84868.3</v>
      </c>
      <c r="O107" s="352">
        <f t="shared" ref="O107" si="25">SUM(C107:N107)</f>
        <v>1102654.7100000002</v>
      </c>
    </row>
    <row r="108" spans="1:17" x14ac:dyDescent="0.3">
      <c r="A108" s="438"/>
      <c r="B108" s="438"/>
      <c r="C108" s="304"/>
      <c r="D108" s="304"/>
      <c r="E108" s="304"/>
      <c r="F108" s="304"/>
      <c r="G108" s="304"/>
      <c r="H108" s="304"/>
      <c r="I108" s="304"/>
      <c r="J108" s="304"/>
      <c r="K108" s="304"/>
      <c r="L108" s="304"/>
      <c r="M108" s="304"/>
      <c r="N108" s="304"/>
      <c r="O108" s="351"/>
    </row>
    <row r="109" spans="1:17" s="442" customFormat="1" ht="15" thickBot="1" x14ac:dyDescent="0.35">
      <c r="A109" s="441" t="s">
        <v>0</v>
      </c>
      <c r="B109" s="441" t="s">
        <v>329</v>
      </c>
      <c r="C109" s="480">
        <f>C25-(C54+C107)</f>
        <v>-24799.955396000005</v>
      </c>
      <c r="D109" s="480">
        <f t="shared" ref="D109:N109" si="26">D25-(D54+D107)</f>
        <v>-18872.952716</v>
      </c>
      <c r="E109" s="480">
        <f t="shared" si="26"/>
        <v>-99650.021872000012</v>
      </c>
      <c r="F109" s="480">
        <f t="shared" si="26"/>
        <v>-11431.598624000006</v>
      </c>
      <c r="G109" s="480">
        <f t="shared" si="26"/>
        <v>-31448.223964000004</v>
      </c>
      <c r="H109" s="480">
        <f t="shared" si="26"/>
        <v>3499.6239999999816</v>
      </c>
      <c r="I109" s="480">
        <f t="shared" si="26"/>
        <v>40407.770000000019</v>
      </c>
      <c r="J109" s="480">
        <f t="shared" si="26"/>
        <v>28135.940000000002</v>
      </c>
      <c r="K109" s="480">
        <f t="shared" si="26"/>
        <v>2546.6080000000075</v>
      </c>
      <c r="L109" s="480">
        <f t="shared" si="26"/>
        <v>-9095.4000000000233</v>
      </c>
      <c r="M109" s="480">
        <f t="shared" si="26"/>
        <v>-10150.594000000012</v>
      </c>
      <c r="N109" s="480">
        <f t="shared" si="26"/>
        <v>-12244.156000000017</v>
      </c>
      <c r="O109" s="481">
        <f>SUM(C109:N109)</f>
        <v>-143102.96057200007</v>
      </c>
    </row>
    <row r="110" spans="1:17" ht="15.6" thickTop="1" thickBot="1" x14ac:dyDescent="0.35"/>
    <row r="111" spans="1:17" s="445" customFormat="1" ht="15" thickBot="1" x14ac:dyDescent="0.35">
      <c r="A111" s="443"/>
      <c r="B111" s="443" t="s">
        <v>330</v>
      </c>
      <c r="C111" s="444">
        <v>128</v>
      </c>
      <c r="D111" s="444">
        <v>123</v>
      </c>
      <c r="E111" s="444">
        <v>120</v>
      </c>
      <c r="F111" s="444">
        <v>125</v>
      </c>
      <c r="G111" s="444">
        <v>113</v>
      </c>
      <c r="H111" s="444">
        <v>145</v>
      </c>
      <c r="I111" s="444">
        <v>200</v>
      </c>
      <c r="J111" s="444">
        <v>200</v>
      </c>
      <c r="K111" s="444">
        <v>140</v>
      </c>
      <c r="L111" s="444">
        <v>125</v>
      </c>
      <c r="M111" s="444">
        <v>120</v>
      </c>
      <c r="N111" s="444">
        <v>120</v>
      </c>
      <c r="O111" s="512">
        <f>SUM(C111:N111)/12</f>
        <v>138.25</v>
      </c>
      <c r="P111" s="515">
        <f>SUM(C111:G111)/5</f>
        <v>121.8</v>
      </c>
    </row>
    <row r="112" spans="1:17" x14ac:dyDescent="0.3">
      <c r="I112" s="425" t="s">
        <v>0</v>
      </c>
      <c r="J112" s="425" t="s">
        <v>0</v>
      </c>
    </row>
    <row r="113" spans="1:15" x14ac:dyDescent="0.3">
      <c r="A113" s="446" t="s">
        <v>332</v>
      </c>
      <c r="B113" s="448" t="s">
        <v>335</v>
      </c>
      <c r="C113" s="425">
        <f>C8/C111</f>
        <v>1281.3650781249999</v>
      </c>
      <c r="D113" s="425">
        <f>D8/D111</f>
        <v>1202.1856097560976</v>
      </c>
      <c r="E113" s="425">
        <f>E8/E111</f>
        <v>1158.8946666666666</v>
      </c>
      <c r="F113" s="425">
        <f>F8/F111</f>
        <v>1421.6329599999999</v>
      </c>
      <c r="G113" s="425">
        <f>G8/G111</f>
        <v>1530.2838053097346</v>
      </c>
      <c r="H113" s="425">
        <v>1319</v>
      </c>
      <c r="I113" s="425">
        <v>1319</v>
      </c>
      <c r="J113" s="425">
        <v>1319</v>
      </c>
      <c r="K113" s="425">
        <v>1319</v>
      </c>
      <c r="L113" s="425">
        <v>1319</v>
      </c>
      <c r="M113" s="425">
        <v>1319</v>
      </c>
      <c r="N113" s="425">
        <v>1319</v>
      </c>
    </row>
    <row r="114" spans="1:15" x14ac:dyDescent="0.3">
      <c r="A114" s="447" t="s">
        <v>50</v>
      </c>
      <c r="B114" s="448" t="s">
        <v>337</v>
      </c>
      <c r="C114" s="425">
        <f t="shared" ref="C114:N114" si="27">C54/C111</f>
        <v>839.26441715624992</v>
      </c>
      <c r="D114" s="425">
        <f t="shared" si="27"/>
        <v>791.23416842276436</v>
      </c>
      <c r="E114" s="425">
        <f t="shared" si="27"/>
        <v>804.33193226666663</v>
      </c>
      <c r="F114" s="425">
        <f t="shared" si="27"/>
        <v>923.43398899199997</v>
      </c>
      <c r="G114" s="425">
        <f t="shared" si="27"/>
        <v>991.04224746902662</v>
      </c>
      <c r="H114" s="425">
        <f t="shared" si="27"/>
        <v>865.81604137931049</v>
      </c>
      <c r="I114" s="425">
        <f t="shared" si="27"/>
        <v>874.99464999999998</v>
      </c>
      <c r="J114" s="425">
        <f t="shared" si="27"/>
        <v>910.22880000000009</v>
      </c>
      <c r="K114" s="425">
        <f t="shared" si="27"/>
        <v>886.92922857142855</v>
      </c>
      <c r="L114" s="425">
        <f t="shared" si="27"/>
        <v>869.06680000000006</v>
      </c>
      <c r="M114" s="425">
        <f t="shared" si="27"/>
        <v>892.72745000000009</v>
      </c>
      <c r="N114" s="425">
        <f t="shared" si="27"/>
        <v>870.04880000000003</v>
      </c>
      <c r="O114" s="425" t="s">
        <v>0</v>
      </c>
    </row>
    <row r="115" spans="1:15" x14ac:dyDescent="0.3">
      <c r="A115" s="447" t="s">
        <v>335</v>
      </c>
    </row>
    <row r="116" spans="1:15" x14ac:dyDescent="0.3">
      <c r="A116" s="447" t="s">
        <v>337</v>
      </c>
    </row>
    <row r="117" spans="1:15" x14ac:dyDescent="0.3">
      <c r="G117" s="425" t="s">
        <v>0</v>
      </c>
      <c r="I117" s="449"/>
      <c r="J117" s="449"/>
      <c r="O117" s="449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B085-50D0-4F85-96B7-3F3B3E739EAC}">
  <sheetPr>
    <tabColor rgb="FF00B050"/>
  </sheetPr>
  <dimension ref="A1:AF115"/>
  <sheetViews>
    <sheetView topLeftCell="A35" zoomScale="63" zoomScaleNormal="63" workbookViewId="0">
      <selection activeCell="D81" sqref="D81"/>
    </sheetView>
  </sheetViews>
  <sheetFormatPr defaultRowHeight="14.4" x14ac:dyDescent="0.3"/>
  <cols>
    <col min="1" max="1" width="25.88671875" style="211" customWidth="1"/>
    <col min="2" max="2" width="39.88671875" style="211" customWidth="1"/>
    <col min="3" max="8" width="10.77734375" style="299" customWidth="1"/>
    <col min="9" max="10" width="10.77734375" style="347" customWidth="1"/>
    <col min="11" max="14" width="10.77734375" style="299" customWidth="1"/>
    <col min="15" max="15" width="10.77734375" style="221" customWidth="1"/>
    <col min="16" max="16" width="11.33203125" style="211" customWidth="1"/>
    <col min="17" max="17" width="12.5546875" style="211" customWidth="1"/>
    <col min="18" max="18" width="14.6640625" style="211" customWidth="1"/>
    <col min="19" max="254" width="8.88671875" style="211"/>
    <col min="255" max="255" width="16.6640625" style="211" customWidth="1"/>
    <col min="256" max="256" width="39.88671875" style="211" customWidth="1"/>
    <col min="257" max="269" width="15.6640625" style="211" customWidth="1"/>
    <col min="270" max="510" width="8.88671875" style="211"/>
    <col min="511" max="511" width="16.6640625" style="211" customWidth="1"/>
    <col min="512" max="512" width="39.88671875" style="211" customWidth="1"/>
    <col min="513" max="525" width="15.6640625" style="211" customWidth="1"/>
    <col min="526" max="766" width="8.88671875" style="211"/>
    <col min="767" max="767" width="16.6640625" style="211" customWidth="1"/>
    <col min="768" max="768" width="39.88671875" style="211" customWidth="1"/>
    <col min="769" max="781" width="15.6640625" style="211" customWidth="1"/>
    <col min="782" max="1022" width="8.88671875" style="211"/>
    <col min="1023" max="1023" width="16.6640625" style="211" customWidth="1"/>
    <col min="1024" max="1024" width="39.88671875" style="211" customWidth="1"/>
    <col min="1025" max="1037" width="15.6640625" style="211" customWidth="1"/>
    <col min="1038" max="1278" width="8.88671875" style="211"/>
    <col min="1279" max="1279" width="16.6640625" style="211" customWidth="1"/>
    <col min="1280" max="1280" width="39.88671875" style="211" customWidth="1"/>
    <col min="1281" max="1293" width="15.6640625" style="211" customWidth="1"/>
    <col min="1294" max="1534" width="8.88671875" style="211"/>
    <col min="1535" max="1535" width="16.6640625" style="211" customWidth="1"/>
    <col min="1536" max="1536" width="39.88671875" style="211" customWidth="1"/>
    <col min="1537" max="1549" width="15.6640625" style="211" customWidth="1"/>
    <col min="1550" max="1790" width="8.88671875" style="211"/>
    <col min="1791" max="1791" width="16.6640625" style="211" customWidth="1"/>
    <col min="1792" max="1792" width="39.88671875" style="211" customWidth="1"/>
    <col min="1793" max="1805" width="15.6640625" style="211" customWidth="1"/>
    <col min="1806" max="2046" width="8.88671875" style="211"/>
    <col min="2047" max="2047" width="16.6640625" style="211" customWidth="1"/>
    <col min="2048" max="2048" width="39.88671875" style="211" customWidth="1"/>
    <col min="2049" max="2061" width="15.6640625" style="211" customWidth="1"/>
    <col min="2062" max="2302" width="8.88671875" style="211"/>
    <col min="2303" max="2303" width="16.6640625" style="211" customWidth="1"/>
    <col min="2304" max="2304" width="39.88671875" style="211" customWidth="1"/>
    <col min="2305" max="2317" width="15.6640625" style="211" customWidth="1"/>
    <col min="2318" max="2558" width="8.88671875" style="211"/>
    <col min="2559" max="2559" width="16.6640625" style="211" customWidth="1"/>
    <col min="2560" max="2560" width="39.88671875" style="211" customWidth="1"/>
    <col min="2561" max="2573" width="15.6640625" style="211" customWidth="1"/>
    <col min="2574" max="2814" width="8.88671875" style="211"/>
    <col min="2815" max="2815" width="16.6640625" style="211" customWidth="1"/>
    <col min="2816" max="2816" width="39.88671875" style="211" customWidth="1"/>
    <col min="2817" max="2829" width="15.6640625" style="211" customWidth="1"/>
    <col min="2830" max="3070" width="8.88671875" style="211"/>
    <col min="3071" max="3071" width="16.6640625" style="211" customWidth="1"/>
    <col min="3072" max="3072" width="39.88671875" style="211" customWidth="1"/>
    <col min="3073" max="3085" width="15.6640625" style="211" customWidth="1"/>
    <col min="3086" max="3326" width="8.88671875" style="211"/>
    <col min="3327" max="3327" width="16.6640625" style="211" customWidth="1"/>
    <col min="3328" max="3328" width="39.88671875" style="211" customWidth="1"/>
    <col min="3329" max="3341" width="15.6640625" style="211" customWidth="1"/>
    <col min="3342" max="3582" width="8.88671875" style="211"/>
    <col min="3583" max="3583" width="16.6640625" style="211" customWidth="1"/>
    <col min="3584" max="3584" width="39.88671875" style="211" customWidth="1"/>
    <col min="3585" max="3597" width="15.6640625" style="211" customWidth="1"/>
    <col min="3598" max="3838" width="8.88671875" style="211"/>
    <col min="3839" max="3839" width="16.6640625" style="211" customWidth="1"/>
    <col min="3840" max="3840" width="39.88671875" style="211" customWidth="1"/>
    <col min="3841" max="3853" width="15.6640625" style="211" customWidth="1"/>
    <col min="3854" max="4094" width="8.88671875" style="211"/>
    <col min="4095" max="4095" width="16.6640625" style="211" customWidth="1"/>
    <col min="4096" max="4096" width="39.88671875" style="211" customWidth="1"/>
    <col min="4097" max="4109" width="15.6640625" style="211" customWidth="1"/>
    <col min="4110" max="4350" width="8.88671875" style="211"/>
    <col min="4351" max="4351" width="16.6640625" style="211" customWidth="1"/>
    <col min="4352" max="4352" width="39.88671875" style="211" customWidth="1"/>
    <col min="4353" max="4365" width="15.6640625" style="211" customWidth="1"/>
    <col min="4366" max="4606" width="8.88671875" style="211"/>
    <col min="4607" max="4607" width="16.6640625" style="211" customWidth="1"/>
    <col min="4608" max="4608" width="39.88671875" style="211" customWidth="1"/>
    <col min="4609" max="4621" width="15.6640625" style="211" customWidth="1"/>
    <col min="4622" max="4862" width="8.88671875" style="211"/>
    <col min="4863" max="4863" width="16.6640625" style="211" customWidth="1"/>
    <col min="4864" max="4864" width="39.88671875" style="211" customWidth="1"/>
    <col min="4865" max="4877" width="15.6640625" style="211" customWidth="1"/>
    <col min="4878" max="5118" width="8.88671875" style="211"/>
    <col min="5119" max="5119" width="16.6640625" style="211" customWidth="1"/>
    <col min="5120" max="5120" width="39.88671875" style="211" customWidth="1"/>
    <col min="5121" max="5133" width="15.6640625" style="211" customWidth="1"/>
    <col min="5134" max="5374" width="8.88671875" style="211"/>
    <col min="5375" max="5375" width="16.6640625" style="211" customWidth="1"/>
    <col min="5376" max="5376" width="39.88671875" style="211" customWidth="1"/>
    <col min="5377" max="5389" width="15.6640625" style="211" customWidth="1"/>
    <col min="5390" max="5630" width="8.88671875" style="211"/>
    <col min="5631" max="5631" width="16.6640625" style="211" customWidth="1"/>
    <col min="5632" max="5632" width="39.88671875" style="211" customWidth="1"/>
    <col min="5633" max="5645" width="15.6640625" style="211" customWidth="1"/>
    <col min="5646" max="5886" width="8.88671875" style="211"/>
    <col min="5887" max="5887" width="16.6640625" style="211" customWidth="1"/>
    <col min="5888" max="5888" width="39.88671875" style="211" customWidth="1"/>
    <col min="5889" max="5901" width="15.6640625" style="211" customWidth="1"/>
    <col min="5902" max="6142" width="8.88671875" style="211"/>
    <col min="6143" max="6143" width="16.6640625" style="211" customWidth="1"/>
    <col min="6144" max="6144" width="39.88671875" style="211" customWidth="1"/>
    <col min="6145" max="6157" width="15.6640625" style="211" customWidth="1"/>
    <col min="6158" max="6398" width="8.88671875" style="211"/>
    <col min="6399" max="6399" width="16.6640625" style="211" customWidth="1"/>
    <col min="6400" max="6400" width="39.88671875" style="211" customWidth="1"/>
    <col min="6401" max="6413" width="15.6640625" style="211" customWidth="1"/>
    <col min="6414" max="6654" width="8.88671875" style="211"/>
    <col min="6655" max="6655" width="16.6640625" style="211" customWidth="1"/>
    <col min="6656" max="6656" width="39.88671875" style="211" customWidth="1"/>
    <col min="6657" max="6669" width="15.6640625" style="211" customWidth="1"/>
    <col min="6670" max="6910" width="8.88671875" style="211"/>
    <col min="6911" max="6911" width="16.6640625" style="211" customWidth="1"/>
    <col min="6912" max="6912" width="39.88671875" style="211" customWidth="1"/>
    <col min="6913" max="6925" width="15.6640625" style="211" customWidth="1"/>
    <col min="6926" max="7166" width="8.88671875" style="211"/>
    <col min="7167" max="7167" width="16.6640625" style="211" customWidth="1"/>
    <col min="7168" max="7168" width="39.88671875" style="211" customWidth="1"/>
    <col min="7169" max="7181" width="15.6640625" style="211" customWidth="1"/>
    <col min="7182" max="7422" width="8.88671875" style="211"/>
    <col min="7423" max="7423" width="16.6640625" style="211" customWidth="1"/>
    <col min="7424" max="7424" width="39.88671875" style="211" customWidth="1"/>
    <col min="7425" max="7437" width="15.6640625" style="211" customWidth="1"/>
    <col min="7438" max="7678" width="8.88671875" style="211"/>
    <col min="7679" max="7679" width="16.6640625" style="211" customWidth="1"/>
    <col min="7680" max="7680" width="39.88671875" style="211" customWidth="1"/>
    <col min="7681" max="7693" width="15.6640625" style="211" customWidth="1"/>
    <col min="7694" max="7934" width="8.88671875" style="211"/>
    <col min="7935" max="7935" width="16.6640625" style="211" customWidth="1"/>
    <col min="7936" max="7936" width="39.88671875" style="211" customWidth="1"/>
    <col min="7937" max="7949" width="15.6640625" style="211" customWidth="1"/>
    <col min="7950" max="8190" width="8.88671875" style="211"/>
    <col min="8191" max="8191" width="16.6640625" style="211" customWidth="1"/>
    <col min="8192" max="8192" width="39.88671875" style="211" customWidth="1"/>
    <col min="8193" max="8205" width="15.6640625" style="211" customWidth="1"/>
    <col min="8206" max="8446" width="8.88671875" style="211"/>
    <col min="8447" max="8447" width="16.6640625" style="211" customWidth="1"/>
    <col min="8448" max="8448" width="39.88671875" style="211" customWidth="1"/>
    <col min="8449" max="8461" width="15.6640625" style="211" customWidth="1"/>
    <col min="8462" max="8702" width="8.88671875" style="211"/>
    <col min="8703" max="8703" width="16.6640625" style="211" customWidth="1"/>
    <col min="8704" max="8704" width="39.88671875" style="211" customWidth="1"/>
    <col min="8705" max="8717" width="15.6640625" style="211" customWidth="1"/>
    <col min="8718" max="8958" width="8.88671875" style="211"/>
    <col min="8959" max="8959" width="16.6640625" style="211" customWidth="1"/>
    <col min="8960" max="8960" width="39.88671875" style="211" customWidth="1"/>
    <col min="8961" max="8973" width="15.6640625" style="211" customWidth="1"/>
    <col min="8974" max="9214" width="8.88671875" style="211"/>
    <col min="9215" max="9215" width="16.6640625" style="211" customWidth="1"/>
    <col min="9216" max="9216" width="39.88671875" style="211" customWidth="1"/>
    <col min="9217" max="9229" width="15.6640625" style="211" customWidth="1"/>
    <col min="9230" max="9470" width="8.88671875" style="211"/>
    <col min="9471" max="9471" width="16.6640625" style="211" customWidth="1"/>
    <col min="9472" max="9472" width="39.88671875" style="211" customWidth="1"/>
    <col min="9473" max="9485" width="15.6640625" style="211" customWidth="1"/>
    <col min="9486" max="9726" width="8.88671875" style="211"/>
    <col min="9727" max="9727" width="16.6640625" style="211" customWidth="1"/>
    <col min="9728" max="9728" width="39.88671875" style="211" customWidth="1"/>
    <col min="9729" max="9741" width="15.6640625" style="211" customWidth="1"/>
    <col min="9742" max="9982" width="8.88671875" style="211"/>
    <col min="9983" max="9983" width="16.6640625" style="211" customWidth="1"/>
    <col min="9984" max="9984" width="39.88671875" style="211" customWidth="1"/>
    <col min="9985" max="9997" width="15.6640625" style="211" customWidth="1"/>
    <col min="9998" max="10238" width="8.88671875" style="211"/>
    <col min="10239" max="10239" width="16.6640625" style="211" customWidth="1"/>
    <col min="10240" max="10240" width="39.88671875" style="211" customWidth="1"/>
    <col min="10241" max="10253" width="15.6640625" style="211" customWidth="1"/>
    <col min="10254" max="10494" width="8.88671875" style="211"/>
    <col min="10495" max="10495" width="16.6640625" style="211" customWidth="1"/>
    <col min="10496" max="10496" width="39.88671875" style="211" customWidth="1"/>
    <col min="10497" max="10509" width="15.6640625" style="211" customWidth="1"/>
    <col min="10510" max="10750" width="8.88671875" style="211"/>
    <col min="10751" max="10751" width="16.6640625" style="211" customWidth="1"/>
    <col min="10752" max="10752" width="39.88671875" style="211" customWidth="1"/>
    <col min="10753" max="10765" width="15.6640625" style="211" customWidth="1"/>
    <col min="10766" max="11006" width="8.88671875" style="211"/>
    <col min="11007" max="11007" width="16.6640625" style="211" customWidth="1"/>
    <col min="11008" max="11008" width="39.88671875" style="211" customWidth="1"/>
    <col min="11009" max="11021" width="15.6640625" style="211" customWidth="1"/>
    <col min="11022" max="11262" width="8.88671875" style="211"/>
    <col min="11263" max="11263" width="16.6640625" style="211" customWidth="1"/>
    <col min="11264" max="11264" width="39.88671875" style="211" customWidth="1"/>
    <col min="11265" max="11277" width="15.6640625" style="211" customWidth="1"/>
    <col min="11278" max="11518" width="8.88671875" style="211"/>
    <col min="11519" max="11519" width="16.6640625" style="211" customWidth="1"/>
    <col min="11520" max="11520" width="39.88671875" style="211" customWidth="1"/>
    <col min="11521" max="11533" width="15.6640625" style="211" customWidth="1"/>
    <col min="11534" max="11774" width="8.88671875" style="211"/>
    <col min="11775" max="11775" width="16.6640625" style="211" customWidth="1"/>
    <col min="11776" max="11776" width="39.88671875" style="211" customWidth="1"/>
    <col min="11777" max="11789" width="15.6640625" style="211" customWidth="1"/>
    <col min="11790" max="12030" width="8.88671875" style="211"/>
    <col min="12031" max="12031" width="16.6640625" style="211" customWidth="1"/>
    <col min="12032" max="12032" width="39.88671875" style="211" customWidth="1"/>
    <col min="12033" max="12045" width="15.6640625" style="211" customWidth="1"/>
    <col min="12046" max="12286" width="8.88671875" style="211"/>
    <col min="12287" max="12287" width="16.6640625" style="211" customWidth="1"/>
    <col min="12288" max="12288" width="39.88671875" style="211" customWidth="1"/>
    <col min="12289" max="12301" width="15.6640625" style="211" customWidth="1"/>
    <col min="12302" max="12542" width="8.88671875" style="211"/>
    <col min="12543" max="12543" width="16.6640625" style="211" customWidth="1"/>
    <col min="12544" max="12544" width="39.88671875" style="211" customWidth="1"/>
    <col min="12545" max="12557" width="15.6640625" style="211" customWidth="1"/>
    <col min="12558" max="12798" width="8.88671875" style="211"/>
    <col min="12799" max="12799" width="16.6640625" style="211" customWidth="1"/>
    <col min="12800" max="12800" width="39.88671875" style="211" customWidth="1"/>
    <col min="12801" max="12813" width="15.6640625" style="211" customWidth="1"/>
    <col min="12814" max="13054" width="8.88671875" style="211"/>
    <col min="13055" max="13055" width="16.6640625" style="211" customWidth="1"/>
    <col min="13056" max="13056" width="39.88671875" style="211" customWidth="1"/>
    <col min="13057" max="13069" width="15.6640625" style="211" customWidth="1"/>
    <col min="13070" max="13310" width="8.88671875" style="211"/>
    <col min="13311" max="13311" width="16.6640625" style="211" customWidth="1"/>
    <col min="13312" max="13312" width="39.88671875" style="211" customWidth="1"/>
    <col min="13313" max="13325" width="15.6640625" style="211" customWidth="1"/>
    <col min="13326" max="13566" width="8.88671875" style="211"/>
    <col min="13567" max="13567" width="16.6640625" style="211" customWidth="1"/>
    <col min="13568" max="13568" width="39.88671875" style="211" customWidth="1"/>
    <col min="13569" max="13581" width="15.6640625" style="211" customWidth="1"/>
    <col min="13582" max="13822" width="8.88671875" style="211"/>
    <col min="13823" max="13823" width="16.6640625" style="211" customWidth="1"/>
    <col min="13824" max="13824" width="39.88671875" style="211" customWidth="1"/>
    <col min="13825" max="13837" width="15.6640625" style="211" customWidth="1"/>
    <col min="13838" max="14078" width="8.88671875" style="211"/>
    <col min="14079" max="14079" width="16.6640625" style="211" customWidth="1"/>
    <col min="14080" max="14080" width="39.88671875" style="211" customWidth="1"/>
    <col min="14081" max="14093" width="15.6640625" style="211" customWidth="1"/>
    <col min="14094" max="14334" width="8.88671875" style="211"/>
    <col min="14335" max="14335" width="16.6640625" style="211" customWidth="1"/>
    <col min="14336" max="14336" width="39.88671875" style="211" customWidth="1"/>
    <col min="14337" max="14349" width="15.6640625" style="211" customWidth="1"/>
    <col min="14350" max="14590" width="8.88671875" style="211"/>
    <col min="14591" max="14591" width="16.6640625" style="211" customWidth="1"/>
    <col min="14592" max="14592" width="39.88671875" style="211" customWidth="1"/>
    <col min="14593" max="14605" width="15.6640625" style="211" customWidth="1"/>
    <col min="14606" max="14846" width="8.88671875" style="211"/>
    <col min="14847" max="14847" width="16.6640625" style="211" customWidth="1"/>
    <col min="14848" max="14848" width="39.88671875" style="211" customWidth="1"/>
    <col min="14849" max="14861" width="15.6640625" style="211" customWidth="1"/>
    <col min="14862" max="15102" width="8.88671875" style="211"/>
    <col min="15103" max="15103" width="16.6640625" style="211" customWidth="1"/>
    <col min="15104" max="15104" width="39.88671875" style="211" customWidth="1"/>
    <col min="15105" max="15117" width="15.6640625" style="211" customWidth="1"/>
    <col min="15118" max="15358" width="8.88671875" style="211"/>
    <col min="15359" max="15359" width="16.6640625" style="211" customWidth="1"/>
    <col min="15360" max="15360" width="39.88671875" style="211" customWidth="1"/>
    <col min="15361" max="15373" width="15.6640625" style="211" customWidth="1"/>
    <col min="15374" max="15614" width="8.88671875" style="211"/>
    <col min="15615" max="15615" width="16.6640625" style="211" customWidth="1"/>
    <col min="15616" max="15616" width="39.88671875" style="211" customWidth="1"/>
    <col min="15617" max="15629" width="15.6640625" style="211" customWidth="1"/>
    <col min="15630" max="15870" width="8.88671875" style="211"/>
    <col min="15871" max="15871" width="16.6640625" style="211" customWidth="1"/>
    <col min="15872" max="15872" width="39.88671875" style="211" customWidth="1"/>
    <col min="15873" max="15885" width="15.6640625" style="211" customWidth="1"/>
    <col min="15886" max="16126" width="8.88671875" style="211"/>
    <col min="16127" max="16127" width="16.6640625" style="211" customWidth="1"/>
    <col min="16128" max="16128" width="39.88671875" style="211" customWidth="1"/>
    <col min="16129" max="16141" width="15.6640625" style="211" customWidth="1"/>
    <col min="16142" max="16384" width="8.88671875" style="211"/>
  </cols>
  <sheetData>
    <row r="1" spans="1:32" x14ac:dyDescent="0.3">
      <c r="A1" s="293"/>
      <c r="B1" s="294"/>
      <c r="C1" s="240" t="s">
        <v>123</v>
      </c>
      <c r="D1" s="240" t="s">
        <v>124</v>
      </c>
      <c r="E1" s="240" t="s">
        <v>125</v>
      </c>
      <c r="F1" s="240" t="s">
        <v>126</v>
      </c>
      <c r="G1" s="240" t="s">
        <v>127</v>
      </c>
      <c r="H1" s="380" t="s">
        <v>128</v>
      </c>
      <c r="I1" s="381" t="s">
        <v>129</v>
      </c>
      <c r="J1" s="381" t="s">
        <v>130</v>
      </c>
      <c r="K1" s="380" t="s">
        <v>131</v>
      </c>
      <c r="L1" s="380" t="s">
        <v>132</v>
      </c>
      <c r="M1" s="380" t="s">
        <v>133</v>
      </c>
      <c r="N1" s="380" t="s">
        <v>134</v>
      </c>
      <c r="O1" s="141" t="s">
        <v>10</v>
      </c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</row>
    <row r="2" spans="1:32" x14ac:dyDescent="0.3">
      <c r="H2" s="471"/>
      <c r="I2" s="472"/>
      <c r="J2" s="472"/>
      <c r="K2" s="471"/>
      <c r="L2" s="471"/>
      <c r="M2" s="471"/>
      <c r="N2" s="471"/>
      <c r="O2" s="348"/>
    </row>
    <row r="3" spans="1:32" x14ac:dyDescent="0.3">
      <c r="A3" s="210" t="s">
        <v>135</v>
      </c>
      <c r="B3" s="210" t="s">
        <v>136</v>
      </c>
      <c r="C3" s="103">
        <v>92596.77</v>
      </c>
      <c r="D3" s="103">
        <v>83701.14</v>
      </c>
      <c r="E3" s="103">
        <v>77280.75</v>
      </c>
      <c r="F3" s="103">
        <v>75262.13</v>
      </c>
      <c r="G3" s="103">
        <v>80698.63</v>
      </c>
      <c r="H3" s="473">
        <f t="shared" ref="H3:K3" si="0">H111*0.58*1237</f>
        <v>86812.659999999989</v>
      </c>
      <c r="I3" s="473">
        <f t="shared" si="0"/>
        <v>114793.59999999999</v>
      </c>
      <c r="J3" s="473">
        <f t="shared" si="0"/>
        <v>104031.7</v>
      </c>
      <c r="K3" s="473">
        <f t="shared" si="0"/>
        <v>86095.2</v>
      </c>
      <c r="L3" s="473">
        <f>L111*0.58*1237</f>
        <v>75333.3</v>
      </c>
      <c r="M3" s="473">
        <f t="shared" ref="M3:N3" si="1">M111*0.58*1237</f>
        <v>75333.3</v>
      </c>
      <c r="N3" s="473">
        <f t="shared" si="1"/>
        <v>75333.3</v>
      </c>
      <c r="O3" s="348">
        <f>SUM(C3:N3)</f>
        <v>1027272.4800000001</v>
      </c>
    </row>
    <row r="4" spans="1:32" x14ac:dyDescent="0.3">
      <c r="A4" s="210" t="s">
        <v>137</v>
      </c>
      <c r="B4" s="210" t="s">
        <v>138</v>
      </c>
      <c r="C4" s="103">
        <v>20372</v>
      </c>
      <c r="D4" s="103">
        <v>22622.5</v>
      </c>
      <c r="E4" s="103">
        <v>23574.5</v>
      </c>
      <c r="F4" s="103">
        <v>37488.33</v>
      </c>
      <c r="G4" s="103">
        <v>36969.67</v>
      </c>
      <c r="H4" s="474">
        <f>H111*1237*0.28</f>
        <v>41909.560000000005</v>
      </c>
      <c r="I4" s="474">
        <f t="shared" ref="I4:N4" si="2">I111*1237*0.28</f>
        <v>55417.600000000006</v>
      </c>
      <c r="J4" s="474">
        <f t="shared" si="2"/>
        <v>50222.200000000004</v>
      </c>
      <c r="K4" s="474">
        <f t="shared" si="2"/>
        <v>41563.200000000004</v>
      </c>
      <c r="L4" s="474">
        <f t="shared" si="2"/>
        <v>36367.800000000003</v>
      </c>
      <c r="M4" s="474">
        <f t="shared" si="2"/>
        <v>36367.800000000003</v>
      </c>
      <c r="N4" s="474">
        <f t="shared" si="2"/>
        <v>36367.800000000003</v>
      </c>
      <c r="O4" s="348">
        <f t="shared" ref="O4:O7" si="3">SUM(C4:N4)</f>
        <v>439242.95999999996</v>
      </c>
    </row>
    <row r="5" spans="1:32" x14ac:dyDescent="0.3">
      <c r="A5" s="210" t="s">
        <v>139</v>
      </c>
      <c r="B5" s="210" t="s">
        <v>140</v>
      </c>
      <c r="C5" s="103">
        <v>10076.11</v>
      </c>
      <c r="D5" s="103">
        <v>13672.5</v>
      </c>
      <c r="E5" s="103">
        <v>18753</v>
      </c>
      <c r="F5" s="103">
        <v>9003.32</v>
      </c>
      <c r="G5" s="103">
        <v>15422.74</v>
      </c>
      <c r="H5" s="474">
        <f>H111*1237*0.13</f>
        <v>19458.010000000002</v>
      </c>
      <c r="I5" s="474">
        <f t="shared" ref="I5:N5" si="4">I111*1237*0.13</f>
        <v>25729.600000000002</v>
      </c>
      <c r="J5" s="474">
        <f t="shared" si="4"/>
        <v>23317.45</v>
      </c>
      <c r="K5" s="474">
        <f t="shared" si="4"/>
        <v>19297.2</v>
      </c>
      <c r="L5" s="474">
        <f t="shared" si="4"/>
        <v>16885.05</v>
      </c>
      <c r="M5" s="474">
        <f t="shared" si="4"/>
        <v>16885.05</v>
      </c>
      <c r="N5" s="474">
        <f t="shared" si="4"/>
        <v>16885.05</v>
      </c>
      <c r="O5" s="348">
        <f t="shared" si="3"/>
        <v>205385.08</v>
      </c>
    </row>
    <row r="6" spans="1:32" x14ac:dyDescent="0.3">
      <c r="A6" s="210">
        <v>408006</v>
      </c>
      <c r="B6" s="210" t="s">
        <v>141</v>
      </c>
      <c r="C6" s="103">
        <v>0</v>
      </c>
      <c r="D6" s="103">
        <v>0</v>
      </c>
      <c r="E6" s="103">
        <v>0</v>
      </c>
      <c r="F6" s="103">
        <v>0</v>
      </c>
      <c r="G6" s="103">
        <v>0</v>
      </c>
      <c r="H6" s="372">
        <v>0</v>
      </c>
      <c r="I6" s="372">
        <v>0</v>
      </c>
      <c r="J6" s="372">
        <v>0</v>
      </c>
      <c r="K6" s="372">
        <v>0</v>
      </c>
      <c r="L6" s="372">
        <v>0</v>
      </c>
      <c r="M6" s="372">
        <v>0</v>
      </c>
      <c r="N6" s="372">
        <v>0</v>
      </c>
      <c r="O6" s="348">
        <f t="shared" si="3"/>
        <v>0</v>
      </c>
    </row>
    <row r="7" spans="1:32" x14ac:dyDescent="0.3">
      <c r="A7" s="210" t="s">
        <v>142</v>
      </c>
      <c r="B7" s="210" t="s">
        <v>143</v>
      </c>
      <c r="C7" s="103">
        <v>2015</v>
      </c>
      <c r="D7" s="103">
        <v>0</v>
      </c>
      <c r="E7" s="103">
        <v>0</v>
      </c>
      <c r="F7" s="103">
        <v>2600</v>
      </c>
      <c r="G7" s="103">
        <v>0</v>
      </c>
      <c r="H7" s="372">
        <v>0</v>
      </c>
      <c r="I7" s="372">
        <v>0</v>
      </c>
      <c r="J7" s="372">
        <v>0</v>
      </c>
      <c r="K7" s="372">
        <v>0</v>
      </c>
      <c r="L7" s="372">
        <v>0</v>
      </c>
      <c r="M7" s="372">
        <v>0</v>
      </c>
      <c r="N7" s="372">
        <v>0</v>
      </c>
      <c r="O7" s="348">
        <f t="shared" si="3"/>
        <v>4615</v>
      </c>
    </row>
    <row r="8" spans="1:32" x14ac:dyDescent="0.3">
      <c r="A8" s="293"/>
      <c r="B8" s="297" t="s">
        <v>144</v>
      </c>
      <c r="C8" s="467">
        <f>SUM(C3:C7)</f>
        <v>125059.88</v>
      </c>
      <c r="D8" s="468">
        <f t="shared" ref="D8:N8" si="5">SUM(D3:D7)</f>
        <v>119996.14</v>
      </c>
      <c r="E8" s="468">
        <f t="shared" si="5"/>
        <v>119608.25</v>
      </c>
      <c r="F8" s="468">
        <f t="shared" si="5"/>
        <v>124353.78</v>
      </c>
      <c r="G8" s="468">
        <f t="shared" si="5"/>
        <v>133091.04</v>
      </c>
      <c r="H8" s="475">
        <f t="shared" si="5"/>
        <v>148180.23000000001</v>
      </c>
      <c r="I8" s="475">
        <f t="shared" si="5"/>
        <v>195940.80000000002</v>
      </c>
      <c r="J8" s="475">
        <f t="shared" si="5"/>
        <v>177571.35</v>
      </c>
      <c r="K8" s="475">
        <f t="shared" si="5"/>
        <v>146955.6</v>
      </c>
      <c r="L8" s="475">
        <f t="shared" si="5"/>
        <v>128586.15000000001</v>
      </c>
      <c r="M8" s="475">
        <f t="shared" si="5"/>
        <v>128586.15000000001</v>
      </c>
      <c r="N8" s="475">
        <f t="shared" si="5"/>
        <v>128586.15000000001</v>
      </c>
      <c r="O8" s="358">
        <f>SUM(O3:O7)</f>
        <v>1676515.52</v>
      </c>
    </row>
    <row r="9" spans="1:32" x14ac:dyDescent="0.3">
      <c r="A9" s="210" t="s">
        <v>145</v>
      </c>
      <c r="B9" s="210" t="s">
        <v>146</v>
      </c>
      <c r="C9" s="103">
        <v>0</v>
      </c>
      <c r="D9" s="103">
        <v>0</v>
      </c>
      <c r="E9" s="103">
        <v>0</v>
      </c>
      <c r="F9" s="103">
        <v>0</v>
      </c>
      <c r="G9" s="103">
        <v>0</v>
      </c>
      <c r="H9" s="372">
        <v>0</v>
      </c>
      <c r="I9" s="372">
        <v>0</v>
      </c>
      <c r="J9" s="372">
        <v>0</v>
      </c>
      <c r="K9" s="372">
        <v>0</v>
      </c>
      <c r="L9" s="372">
        <v>0</v>
      </c>
      <c r="M9" s="372">
        <v>0</v>
      </c>
      <c r="N9" s="372">
        <v>0</v>
      </c>
      <c r="O9" s="348">
        <f t="shared" ref="O9:O23" si="6">SUM(C9:N9)</f>
        <v>0</v>
      </c>
    </row>
    <row r="10" spans="1:32" x14ac:dyDescent="0.3">
      <c r="A10" s="210">
        <v>450000</v>
      </c>
      <c r="B10" s="210" t="s">
        <v>147</v>
      </c>
      <c r="C10" s="103">
        <v>0</v>
      </c>
      <c r="D10" s="103">
        <v>0</v>
      </c>
      <c r="E10" s="103">
        <v>0</v>
      </c>
      <c r="F10" s="103">
        <v>0</v>
      </c>
      <c r="G10" s="103">
        <v>0</v>
      </c>
      <c r="H10" s="372">
        <v>0</v>
      </c>
      <c r="I10" s="372">
        <v>0</v>
      </c>
      <c r="J10" s="372">
        <v>0</v>
      </c>
      <c r="K10" s="372">
        <v>0</v>
      </c>
      <c r="L10" s="372">
        <v>0</v>
      </c>
      <c r="M10" s="372">
        <v>0</v>
      </c>
      <c r="N10" s="372">
        <v>0</v>
      </c>
      <c r="O10" s="348">
        <f t="shared" si="6"/>
        <v>0</v>
      </c>
      <c r="Q10" s="343"/>
    </row>
    <row r="11" spans="1:32" x14ac:dyDescent="0.3">
      <c r="A11" s="210" t="s">
        <v>148</v>
      </c>
      <c r="B11" s="210" t="s">
        <v>149</v>
      </c>
      <c r="C11" s="103">
        <v>0</v>
      </c>
      <c r="D11" s="103">
        <v>0</v>
      </c>
      <c r="E11" s="103">
        <v>0</v>
      </c>
      <c r="F11" s="103">
        <v>0</v>
      </c>
      <c r="G11" s="103">
        <v>0</v>
      </c>
      <c r="H11" s="372">
        <v>0</v>
      </c>
      <c r="I11" s="372">
        <v>0</v>
      </c>
      <c r="J11" s="372">
        <v>0</v>
      </c>
      <c r="K11" s="372">
        <v>0</v>
      </c>
      <c r="L11" s="372">
        <v>0</v>
      </c>
      <c r="M11" s="372">
        <v>0</v>
      </c>
      <c r="N11" s="372">
        <v>0</v>
      </c>
      <c r="O11" s="348">
        <f t="shared" si="6"/>
        <v>0</v>
      </c>
      <c r="Q11" s="343"/>
    </row>
    <row r="12" spans="1:32" x14ac:dyDescent="0.3">
      <c r="A12" s="210" t="s">
        <v>150</v>
      </c>
      <c r="B12" s="210" t="s">
        <v>151</v>
      </c>
      <c r="C12" s="466">
        <v>4950</v>
      </c>
      <c r="D12" s="466">
        <v>5250</v>
      </c>
      <c r="E12" s="466">
        <v>5200</v>
      </c>
      <c r="F12" s="466">
        <v>5450</v>
      </c>
      <c r="G12" s="103">
        <v>5900</v>
      </c>
      <c r="H12" s="372">
        <f>$H$111*54</f>
        <v>6534</v>
      </c>
      <c r="I12" s="372">
        <f t="shared" ref="I12:N12" si="7">$H$111*54</f>
        <v>6534</v>
      </c>
      <c r="J12" s="372">
        <f t="shared" si="7"/>
        <v>6534</v>
      </c>
      <c r="K12" s="372">
        <f t="shared" si="7"/>
        <v>6534</v>
      </c>
      <c r="L12" s="372">
        <f t="shared" si="7"/>
        <v>6534</v>
      </c>
      <c r="M12" s="372">
        <f t="shared" si="7"/>
        <v>6534</v>
      </c>
      <c r="N12" s="372">
        <f t="shared" si="7"/>
        <v>6534</v>
      </c>
      <c r="O12" s="348">
        <f t="shared" si="6"/>
        <v>72488</v>
      </c>
      <c r="P12" s="344"/>
      <c r="Q12" s="343"/>
    </row>
    <row r="13" spans="1:32" x14ac:dyDescent="0.3">
      <c r="A13" s="210" t="s">
        <v>152</v>
      </c>
      <c r="B13" s="210" t="s">
        <v>153</v>
      </c>
      <c r="C13" s="103">
        <v>2370</v>
      </c>
      <c r="D13" s="103">
        <v>3950</v>
      </c>
      <c r="E13" s="103">
        <v>3220</v>
      </c>
      <c r="F13" s="103">
        <v>3460</v>
      </c>
      <c r="G13" s="103">
        <v>3590</v>
      </c>
      <c r="H13" s="372">
        <f>H111*34</f>
        <v>4114</v>
      </c>
      <c r="I13" s="372">
        <f t="shared" ref="I13:N13" si="8">I111*34</f>
        <v>5440</v>
      </c>
      <c r="J13" s="372">
        <f t="shared" si="8"/>
        <v>4930</v>
      </c>
      <c r="K13" s="372">
        <f t="shared" si="8"/>
        <v>4080</v>
      </c>
      <c r="L13" s="372">
        <f t="shared" si="8"/>
        <v>3570</v>
      </c>
      <c r="M13" s="372">
        <f t="shared" si="8"/>
        <v>3570</v>
      </c>
      <c r="N13" s="372">
        <f t="shared" si="8"/>
        <v>3570</v>
      </c>
      <c r="O13" s="348">
        <f t="shared" si="6"/>
        <v>45864</v>
      </c>
      <c r="P13" s="344"/>
      <c r="Q13" s="343"/>
    </row>
    <row r="14" spans="1:32" x14ac:dyDescent="0.3">
      <c r="A14" s="210" t="s">
        <v>154</v>
      </c>
      <c r="B14" s="210" t="s">
        <v>155</v>
      </c>
      <c r="C14" s="103">
        <v>1597.05</v>
      </c>
      <c r="D14" s="103">
        <v>2578</v>
      </c>
      <c r="E14" s="103">
        <v>1548</v>
      </c>
      <c r="F14" s="103">
        <v>-3015.85</v>
      </c>
      <c r="G14" s="103">
        <v>2015.2</v>
      </c>
      <c r="H14" s="372">
        <f>H111*10</f>
        <v>1210</v>
      </c>
      <c r="I14" s="372">
        <f t="shared" ref="I14:N14" si="9">I111*10</f>
        <v>1600</v>
      </c>
      <c r="J14" s="372">
        <f t="shared" si="9"/>
        <v>1450</v>
      </c>
      <c r="K14" s="372">
        <f t="shared" si="9"/>
        <v>1200</v>
      </c>
      <c r="L14" s="372">
        <f t="shared" si="9"/>
        <v>1050</v>
      </c>
      <c r="M14" s="372">
        <f t="shared" si="9"/>
        <v>1050</v>
      </c>
      <c r="N14" s="372">
        <f t="shared" si="9"/>
        <v>1050</v>
      </c>
      <c r="O14" s="348">
        <f t="shared" si="6"/>
        <v>13332.400000000001</v>
      </c>
      <c r="P14" s="344"/>
      <c r="Q14" s="343"/>
    </row>
    <row r="15" spans="1:32" x14ac:dyDescent="0.3">
      <c r="A15" s="210" t="s">
        <v>156</v>
      </c>
      <c r="B15" s="210" t="s">
        <v>157</v>
      </c>
      <c r="C15" s="103">
        <v>780</v>
      </c>
      <c r="D15" s="103">
        <v>169</v>
      </c>
      <c r="E15" s="103">
        <v>252</v>
      </c>
      <c r="F15" s="103">
        <v>48</v>
      </c>
      <c r="G15" s="103">
        <v>383</v>
      </c>
      <c r="H15" s="372">
        <f>H111*3</f>
        <v>363</v>
      </c>
      <c r="I15" s="372">
        <f t="shared" ref="I15:N15" si="10">I111*3</f>
        <v>480</v>
      </c>
      <c r="J15" s="372">
        <f t="shared" si="10"/>
        <v>435</v>
      </c>
      <c r="K15" s="372">
        <f t="shared" si="10"/>
        <v>360</v>
      </c>
      <c r="L15" s="372">
        <f t="shared" si="10"/>
        <v>315</v>
      </c>
      <c r="M15" s="372">
        <f t="shared" si="10"/>
        <v>315</v>
      </c>
      <c r="N15" s="372">
        <f t="shared" si="10"/>
        <v>315</v>
      </c>
      <c r="O15" s="348">
        <f t="shared" si="6"/>
        <v>4215</v>
      </c>
      <c r="P15" s="344"/>
      <c r="Q15" s="279"/>
    </row>
    <row r="16" spans="1:32" s="126" customFormat="1" x14ac:dyDescent="0.3">
      <c r="A16" s="124" t="s">
        <v>158</v>
      </c>
      <c r="B16" s="124" t="s">
        <v>159</v>
      </c>
      <c r="C16" s="125">
        <v>0</v>
      </c>
      <c r="D16" s="125">
        <v>0</v>
      </c>
      <c r="E16" s="125">
        <v>0</v>
      </c>
      <c r="F16" s="125">
        <v>0</v>
      </c>
      <c r="G16" s="125">
        <v>0</v>
      </c>
      <c r="H16" s="372">
        <f t="shared" ref="H16:H20" si="11">$H$111*P16</f>
        <v>0</v>
      </c>
      <c r="I16" s="384">
        <v>0</v>
      </c>
      <c r="J16" s="384">
        <v>0</v>
      </c>
      <c r="K16" s="384">
        <v>0</v>
      </c>
      <c r="L16" s="384">
        <v>0</v>
      </c>
      <c r="M16" s="384">
        <v>0</v>
      </c>
      <c r="N16" s="384">
        <v>0</v>
      </c>
      <c r="O16" s="349">
        <f t="shared" si="6"/>
        <v>0</v>
      </c>
      <c r="P16" s="344">
        <f t="shared" ref="P16:P24" si="12">(SUM(C16:G16)/5)/$P$111</f>
        <v>0</v>
      </c>
    </row>
    <row r="17" spans="1:18" x14ac:dyDescent="0.3">
      <c r="A17" s="210" t="s">
        <v>160</v>
      </c>
      <c r="B17" s="210" t="s">
        <v>161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372">
        <f t="shared" si="11"/>
        <v>0</v>
      </c>
      <c r="I17" s="372">
        <v>0</v>
      </c>
      <c r="J17" s="372">
        <v>0</v>
      </c>
      <c r="K17" s="372">
        <v>0</v>
      </c>
      <c r="L17" s="372">
        <v>0</v>
      </c>
      <c r="M17" s="372">
        <v>0</v>
      </c>
      <c r="N17" s="372">
        <v>0</v>
      </c>
      <c r="O17" s="348">
        <f t="shared" si="6"/>
        <v>0</v>
      </c>
      <c r="P17" s="344">
        <f t="shared" si="12"/>
        <v>0</v>
      </c>
    </row>
    <row r="18" spans="1:18" x14ac:dyDescent="0.3">
      <c r="A18" s="210" t="s">
        <v>162</v>
      </c>
      <c r="B18" s="210" t="s">
        <v>163</v>
      </c>
      <c r="C18" s="103">
        <v>0</v>
      </c>
      <c r="D18" s="103">
        <v>2625</v>
      </c>
      <c r="E18" s="103">
        <v>9024</v>
      </c>
      <c r="F18" s="103">
        <v>3500</v>
      </c>
      <c r="G18" s="103">
        <v>0</v>
      </c>
      <c r="H18" s="372">
        <f>H111*31</f>
        <v>3751</v>
      </c>
      <c r="I18" s="372">
        <f t="shared" ref="I18:N18" si="13">I111*31</f>
        <v>4960</v>
      </c>
      <c r="J18" s="372">
        <f t="shared" si="13"/>
        <v>4495</v>
      </c>
      <c r="K18" s="372">
        <f t="shared" si="13"/>
        <v>3720</v>
      </c>
      <c r="L18" s="372">
        <f t="shared" si="13"/>
        <v>3255</v>
      </c>
      <c r="M18" s="372">
        <f t="shared" si="13"/>
        <v>3255</v>
      </c>
      <c r="N18" s="372">
        <f t="shared" si="13"/>
        <v>3255</v>
      </c>
      <c r="O18" s="348">
        <f t="shared" si="6"/>
        <v>41840</v>
      </c>
      <c r="P18" s="344"/>
    </row>
    <row r="19" spans="1:18" x14ac:dyDescent="0.3">
      <c r="A19" s="210">
        <v>456000</v>
      </c>
      <c r="B19" s="210" t="s">
        <v>164</v>
      </c>
      <c r="C19" s="103">
        <v>4782.25</v>
      </c>
      <c r="D19" s="103">
        <v>4376.5</v>
      </c>
      <c r="E19" s="103">
        <v>2347</v>
      </c>
      <c r="F19" s="103">
        <v>-99.75</v>
      </c>
      <c r="G19" s="103">
        <v>3321.25</v>
      </c>
      <c r="H19" s="372">
        <f>H111*30</f>
        <v>3630</v>
      </c>
      <c r="I19" s="372">
        <f t="shared" ref="I19:N19" si="14">I111*30</f>
        <v>4800</v>
      </c>
      <c r="J19" s="372">
        <f t="shared" si="14"/>
        <v>4350</v>
      </c>
      <c r="K19" s="372">
        <f t="shared" si="14"/>
        <v>3600</v>
      </c>
      <c r="L19" s="372">
        <f t="shared" si="14"/>
        <v>3150</v>
      </c>
      <c r="M19" s="372">
        <f t="shared" si="14"/>
        <v>3150</v>
      </c>
      <c r="N19" s="372">
        <f t="shared" si="14"/>
        <v>3150</v>
      </c>
      <c r="O19" s="348">
        <f t="shared" si="6"/>
        <v>40557.25</v>
      </c>
      <c r="P19" s="344"/>
    </row>
    <row r="20" spans="1:18" s="126" customFormat="1" x14ac:dyDescent="0.3">
      <c r="A20" s="124" t="s">
        <v>165</v>
      </c>
      <c r="B20" s="124" t="s">
        <v>166</v>
      </c>
      <c r="C20" s="125">
        <v>0</v>
      </c>
      <c r="D20" s="125">
        <v>0</v>
      </c>
      <c r="E20" s="125">
        <v>0</v>
      </c>
      <c r="F20" s="125">
        <v>0</v>
      </c>
      <c r="G20" s="125">
        <v>0</v>
      </c>
      <c r="H20" s="372">
        <f t="shared" si="11"/>
        <v>0</v>
      </c>
      <c r="I20" s="384">
        <v>0</v>
      </c>
      <c r="J20" s="384">
        <v>0</v>
      </c>
      <c r="K20" s="372">
        <v>0</v>
      </c>
      <c r="L20" s="372">
        <v>0</v>
      </c>
      <c r="M20" s="372">
        <v>0</v>
      </c>
      <c r="N20" s="372">
        <v>0</v>
      </c>
      <c r="O20" s="349">
        <f t="shared" si="6"/>
        <v>0</v>
      </c>
      <c r="P20" s="344"/>
    </row>
    <row r="21" spans="1:18" x14ac:dyDescent="0.3">
      <c r="A21" s="210" t="s">
        <v>167</v>
      </c>
      <c r="B21" s="210" t="s">
        <v>168</v>
      </c>
      <c r="C21" s="103">
        <v>0</v>
      </c>
      <c r="D21" s="103">
        <v>0</v>
      </c>
      <c r="E21" s="103">
        <v>5895.68</v>
      </c>
      <c r="F21" s="103">
        <v>-1330.68</v>
      </c>
      <c r="G21" s="103">
        <v>-240</v>
      </c>
      <c r="H21" s="372">
        <f>H111*9</f>
        <v>1089</v>
      </c>
      <c r="I21" s="372">
        <f t="shared" ref="I21:N21" si="15">I111*9</f>
        <v>1440</v>
      </c>
      <c r="J21" s="372">
        <f t="shared" si="15"/>
        <v>1305</v>
      </c>
      <c r="K21" s="372">
        <f t="shared" si="15"/>
        <v>1080</v>
      </c>
      <c r="L21" s="372">
        <f t="shared" si="15"/>
        <v>945</v>
      </c>
      <c r="M21" s="372">
        <f t="shared" si="15"/>
        <v>945</v>
      </c>
      <c r="N21" s="372">
        <f t="shared" si="15"/>
        <v>945</v>
      </c>
      <c r="O21" s="348">
        <f t="shared" si="6"/>
        <v>12074</v>
      </c>
      <c r="P21" s="344"/>
    </row>
    <row r="22" spans="1:18" x14ac:dyDescent="0.3">
      <c r="A22" s="296" t="s">
        <v>169</v>
      </c>
      <c r="B22" s="296" t="s">
        <v>170</v>
      </c>
      <c r="C22" s="103">
        <v>1505</v>
      </c>
      <c r="D22" s="103">
        <v>910</v>
      </c>
      <c r="E22" s="103">
        <v>1240</v>
      </c>
      <c r="F22" s="103">
        <v>635</v>
      </c>
      <c r="G22" s="103">
        <v>2140</v>
      </c>
      <c r="H22" s="372">
        <f>H111*13</f>
        <v>1573</v>
      </c>
      <c r="I22" s="372">
        <f t="shared" ref="I22:N22" si="16">I111*13</f>
        <v>2080</v>
      </c>
      <c r="J22" s="372">
        <f t="shared" si="16"/>
        <v>1885</v>
      </c>
      <c r="K22" s="372">
        <f t="shared" si="16"/>
        <v>1560</v>
      </c>
      <c r="L22" s="372">
        <f t="shared" si="16"/>
        <v>1365</v>
      </c>
      <c r="M22" s="372">
        <f t="shared" si="16"/>
        <v>1365</v>
      </c>
      <c r="N22" s="372">
        <f t="shared" si="16"/>
        <v>1365</v>
      </c>
      <c r="O22" s="348">
        <f t="shared" si="6"/>
        <v>17623</v>
      </c>
      <c r="P22" s="344"/>
    </row>
    <row r="23" spans="1:18" s="126" customFormat="1" x14ac:dyDescent="0.3">
      <c r="A23" s="127" t="s">
        <v>171</v>
      </c>
      <c r="B23" s="127" t="s">
        <v>172</v>
      </c>
      <c r="C23" s="125">
        <v>0</v>
      </c>
      <c r="D23" s="125">
        <v>0</v>
      </c>
      <c r="E23" s="125">
        <v>0</v>
      </c>
      <c r="F23" s="125">
        <v>0</v>
      </c>
      <c r="G23" s="125">
        <v>0</v>
      </c>
      <c r="H23" s="384">
        <v>0</v>
      </c>
      <c r="I23" s="384">
        <v>0</v>
      </c>
      <c r="J23" s="384">
        <v>0</v>
      </c>
      <c r="K23" s="384">
        <v>0</v>
      </c>
      <c r="L23" s="384">
        <v>0</v>
      </c>
      <c r="M23" s="384">
        <v>0</v>
      </c>
      <c r="N23" s="384">
        <v>0</v>
      </c>
      <c r="O23" s="349">
        <f t="shared" si="6"/>
        <v>0</v>
      </c>
      <c r="P23" s="344">
        <f t="shared" si="12"/>
        <v>0</v>
      </c>
    </row>
    <row r="24" spans="1:18" x14ac:dyDescent="0.3">
      <c r="A24" s="293"/>
      <c r="B24" s="297" t="s">
        <v>173</v>
      </c>
      <c r="C24" s="301">
        <f>SUM(C9:C23)</f>
        <v>15984.3</v>
      </c>
      <c r="D24" s="301">
        <f t="shared" ref="D24:N24" si="17">SUM(D9:D23)</f>
        <v>19858.5</v>
      </c>
      <c r="E24" s="301">
        <f t="shared" si="17"/>
        <v>28726.68</v>
      </c>
      <c r="F24" s="301">
        <f t="shared" si="17"/>
        <v>8646.7199999999993</v>
      </c>
      <c r="G24" s="301">
        <f t="shared" si="17"/>
        <v>17109.45</v>
      </c>
      <c r="H24" s="476">
        <f t="shared" si="17"/>
        <v>22264</v>
      </c>
      <c r="I24" s="476">
        <f t="shared" si="17"/>
        <v>27334</v>
      </c>
      <c r="J24" s="476">
        <f t="shared" si="17"/>
        <v>25384</v>
      </c>
      <c r="K24" s="476">
        <f t="shared" si="17"/>
        <v>22134</v>
      </c>
      <c r="L24" s="476">
        <f t="shared" si="17"/>
        <v>20184</v>
      </c>
      <c r="M24" s="476">
        <f t="shared" si="17"/>
        <v>20184</v>
      </c>
      <c r="N24" s="476">
        <f t="shared" si="17"/>
        <v>20184</v>
      </c>
      <c r="O24" s="350">
        <f>SUM(O9:O23)</f>
        <v>247993.65</v>
      </c>
      <c r="P24" s="344">
        <f t="shared" si="12"/>
        <v>147.90351113094744</v>
      </c>
    </row>
    <row r="25" spans="1:18" x14ac:dyDescent="0.3">
      <c r="A25" s="295"/>
      <c r="B25" s="213" t="s">
        <v>174</v>
      </c>
      <c r="C25" s="302">
        <f t="shared" ref="C25:O25" si="18">C24+C8</f>
        <v>141044.18</v>
      </c>
      <c r="D25" s="302">
        <f t="shared" si="18"/>
        <v>139854.64000000001</v>
      </c>
      <c r="E25" s="302">
        <f t="shared" si="18"/>
        <v>148334.93</v>
      </c>
      <c r="F25" s="302">
        <f t="shared" si="18"/>
        <v>133000.5</v>
      </c>
      <c r="G25" s="302">
        <f t="shared" si="18"/>
        <v>150200.49000000002</v>
      </c>
      <c r="H25" s="477">
        <f t="shared" si="18"/>
        <v>170444.23</v>
      </c>
      <c r="I25" s="477">
        <f t="shared" si="18"/>
        <v>223274.80000000002</v>
      </c>
      <c r="J25" s="477">
        <f t="shared" si="18"/>
        <v>202955.35</v>
      </c>
      <c r="K25" s="477">
        <f t="shared" si="18"/>
        <v>169089.6</v>
      </c>
      <c r="L25" s="477">
        <f t="shared" si="18"/>
        <v>148770.15000000002</v>
      </c>
      <c r="M25" s="477">
        <f t="shared" si="18"/>
        <v>148770.15000000002</v>
      </c>
      <c r="N25" s="477">
        <f t="shared" si="18"/>
        <v>148770.15000000002</v>
      </c>
      <c r="O25" s="469">
        <f t="shared" si="18"/>
        <v>1924509.17</v>
      </c>
    </row>
    <row r="26" spans="1:18" x14ac:dyDescent="0.3">
      <c r="A26" s="210">
        <v>522000</v>
      </c>
      <c r="B26" s="210" t="s">
        <v>175</v>
      </c>
      <c r="C26" s="103">
        <v>27159.71</v>
      </c>
      <c r="D26" s="103">
        <v>28446.45</v>
      </c>
      <c r="E26" s="103">
        <v>44378.29</v>
      </c>
      <c r="F26" s="103">
        <v>34555.54</v>
      </c>
      <c r="G26" s="103">
        <v>33236.67</v>
      </c>
      <c r="H26" s="478">
        <f t="shared" ref="H26:N26" si="19">H8*$P$26</f>
        <v>39962.740405274904</v>
      </c>
      <c r="I26" s="478">
        <f t="shared" si="19"/>
        <v>52843.293097884169</v>
      </c>
      <c r="J26" s="478">
        <f t="shared" si="19"/>
        <v>47889.234369957529</v>
      </c>
      <c r="K26" s="478">
        <f t="shared" si="19"/>
        <v>39632.469823413128</v>
      </c>
      <c r="L26" s="478">
        <f t="shared" si="19"/>
        <v>34678.411095486488</v>
      </c>
      <c r="M26" s="478">
        <f t="shared" si="19"/>
        <v>34678.411095486488</v>
      </c>
      <c r="N26" s="478">
        <f t="shared" si="19"/>
        <v>34678.411095486488</v>
      </c>
      <c r="O26" s="348">
        <f t="shared" ref="O26:O29" si="20">SUM(C26:N26)</f>
        <v>452139.63098298921</v>
      </c>
      <c r="P26" s="342">
        <f>SUM(C26:G26)/SUM(C8:G8)</f>
        <v>0.26969009567116276</v>
      </c>
      <c r="Q26" s="211" t="s">
        <v>381</v>
      </c>
    </row>
    <row r="27" spans="1:18" x14ac:dyDescent="0.3">
      <c r="A27" s="210" t="s">
        <v>176</v>
      </c>
      <c r="B27" s="210" t="s">
        <v>177</v>
      </c>
      <c r="C27" s="268">
        <v>2628.95</v>
      </c>
      <c r="D27" s="268">
        <v>2944.33</v>
      </c>
      <c r="E27" s="268">
        <v>4400.21</v>
      </c>
      <c r="F27" s="268">
        <v>2881.42</v>
      </c>
      <c r="G27" s="268">
        <v>3221.72</v>
      </c>
      <c r="H27" s="452">
        <f>H26*$P$27</f>
        <v>3873.6961319675606</v>
      </c>
      <c r="I27" s="452">
        <f t="shared" ref="I27:N27" si="21">I26*$P$27</f>
        <v>5122.2428191306581</v>
      </c>
      <c r="J27" s="452">
        <f t="shared" si="21"/>
        <v>4642.0325548371593</v>
      </c>
      <c r="K27" s="452">
        <f t="shared" si="21"/>
        <v>3841.6821143479938</v>
      </c>
      <c r="L27" s="452">
        <f t="shared" si="21"/>
        <v>3361.4718500544946</v>
      </c>
      <c r="M27" s="452">
        <f t="shared" si="21"/>
        <v>3361.4718500544946</v>
      </c>
      <c r="N27" s="452">
        <f t="shared" si="21"/>
        <v>3361.4718500544946</v>
      </c>
      <c r="O27" s="348">
        <f t="shared" si="20"/>
        <v>43640.699170446846</v>
      </c>
      <c r="P27" s="345">
        <f>G27/$G$26</f>
        <v>9.6932695122585982E-2</v>
      </c>
    </row>
    <row r="28" spans="1:18" x14ac:dyDescent="0.3">
      <c r="A28" s="210" t="s">
        <v>178</v>
      </c>
      <c r="B28" s="210" t="s">
        <v>179</v>
      </c>
      <c r="C28" s="221">
        <v>750.09</v>
      </c>
      <c r="D28" s="221">
        <v>779.72</v>
      </c>
      <c r="E28" s="221">
        <v>1207.95</v>
      </c>
      <c r="F28" s="221">
        <v>912.78</v>
      </c>
      <c r="G28" s="221">
        <v>964.62000000000012</v>
      </c>
      <c r="H28" s="375">
        <f>H26*$P$28</f>
        <v>1159.8291480384853</v>
      </c>
      <c r="I28" s="375">
        <f t="shared" ref="I28:N28" si="22">I26*$P$28</f>
        <v>1533.6583775715508</v>
      </c>
      <c r="J28" s="375">
        <f t="shared" si="22"/>
        <v>1389.8779046742179</v>
      </c>
      <c r="K28" s="375">
        <f t="shared" si="22"/>
        <v>1150.2437831786631</v>
      </c>
      <c r="L28" s="375">
        <f t="shared" si="22"/>
        <v>1006.4633102813303</v>
      </c>
      <c r="M28" s="375">
        <f t="shared" si="22"/>
        <v>1006.4633102813303</v>
      </c>
      <c r="N28" s="375">
        <f t="shared" si="22"/>
        <v>1006.4633102813303</v>
      </c>
      <c r="O28" s="348">
        <f t="shared" si="20"/>
        <v>12868.159144306905</v>
      </c>
      <c r="P28" s="345">
        <f t="shared" ref="P28:P29" si="23">G28/$G$26</f>
        <v>2.9022763110744854E-2</v>
      </c>
    </row>
    <row r="29" spans="1:18" x14ac:dyDescent="0.3">
      <c r="A29" s="296" t="s">
        <v>180</v>
      </c>
      <c r="B29" s="296" t="s">
        <v>181</v>
      </c>
      <c r="C29" s="221">
        <v>3396.5499999999997</v>
      </c>
      <c r="D29" s="221">
        <v>3383.5200000000004</v>
      </c>
      <c r="E29" s="221">
        <v>4448.53</v>
      </c>
      <c r="F29" s="221">
        <v>3991.81</v>
      </c>
      <c r="G29" s="221">
        <v>3560.49</v>
      </c>
      <c r="H29" s="375">
        <f>H26*$P$29</f>
        <v>4281.0226651941139</v>
      </c>
      <c r="I29" s="375">
        <f t="shared" ref="I29:N29" si="24">I26*$P$29</f>
        <v>5660.8564167856048</v>
      </c>
      <c r="J29" s="375">
        <f t="shared" si="24"/>
        <v>5130.1511277119544</v>
      </c>
      <c r="K29" s="375">
        <f t="shared" si="24"/>
        <v>4245.6423125892034</v>
      </c>
      <c r="L29" s="375">
        <f t="shared" si="24"/>
        <v>3714.9370235155529</v>
      </c>
      <c r="M29" s="375">
        <f t="shared" si="24"/>
        <v>3714.9370235155529</v>
      </c>
      <c r="N29" s="375">
        <f t="shared" si="24"/>
        <v>3714.9370235155529</v>
      </c>
      <c r="O29" s="348">
        <f t="shared" si="20"/>
        <v>49243.383592827529</v>
      </c>
      <c r="P29" s="345">
        <f t="shared" si="23"/>
        <v>0.1071253528106155</v>
      </c>
    </row>
    <row r="30" spans="1:18" x14ac:dyDescent="0.3">
      <c r="A30" s="293"/>
      <c r="B30" s="297" t="s">
        <v>182</v>
      </c>
      <c r="C30" s="303">
        <f>SUM(C26:C29)</f>
        <v>33935.300000000003</v>
      </c>
      <c r="D30" s="303">
        <f t="shared" ref="D30:G30" si="25">SUM(D26:D29)</f>
        <v>35554.020000000004</v>
      </c>
      <c r="E30" s="303">
        <f t="shared" si="25"/>
        <v>54434.979999999996</v>
      </c>
      <c r="F30" s="303">
        <f t="shared" si="25"/>
        <v>42341.549999999996</v>
      </c>
      <c r="G30" s="303">
        <f t="shared" si="25"/>
        <v>40983.5</v>
      </c>
      <c r="H30" s="374">
        <f t="shared" ref="H30:N30" si="26">SUM(H26:H29)</f>
        <v>49277.288350475064</v>
      </c>
      <c r="I30" s="476">
        <f t="shared" si="26"/>
        <v>65160.05071137198</v>
      </c>
      <c r="J30" s="476">
        <f t="shared" si="26"/>
        <v>59051.295957180868</v>
      </c>
      <c r="K30" s="374">
        <f t="shared" si="26"/>
        <v>48870.038033528996</v>
      </c>
      <c r="L30" s="374">
        <f t="shared" si="26"/>
        <v>42761.283279337862</v>
      </c>
      <c r="M30" s="374">
        <f t="shared" si="26"/>
        <v>42761.283279337862</v>
      </c>
      <c r="N30" s="374">
        <f t="shared" si="26"/>
        <v>42761.283279337862</v>
      </c>
      <c r="O30" s="350">
        <f>SUM(O26:O29)</f>
        <v>557891.87289057043</v>
      </c>
      <c r="P30" s="159"/>
    </row>
    <row r="31" spans="1:18" x14ac:dyDescent="0.3">
      <c r="A31" s="210">
        <v>561000</v>
      </c>
      <c r="B31" s="210" t="s">
        <v>183</v>
      </c>
      <c r="C31" s="103">
        <v>34511.760000000002</v>
      </c>
      <c r="D31" s="103">
        <v>33978.61</v>
      </c>
      <c r="E31" s="103">
        <v>27380.5</v>
      </c>
      <c r="F31" s="103">
        <v>28220.16</v>
      </c>
      <c r="G31" s="103">
        <v>31371.81</v>
      </c>
      <c r="H31" s="479">
        <f>H8*0.25</f>
        <v>37045.057500000003</v>
      </c>
      <c r="I31" s="479">
        <f t="shared" ref="I31:N31" si="27">I8*0.25</f>
        <v>48985.200000000004</v>
      </c>
      <c r="J31" s="479">
        <f t="shared" si="27"/>
        <v>44392.837500000001</v>
      </c>
      <c r="K31" s="479">
        <f t="shared" si="27"/>
        <v>36738.9</v>
      </c>
      <c r="L31" s="479">
        <f t="shared" si="27"/>
        <v>32146.537500000002</v>
      </c>
      <c r="M31" s="479">
        <f t="shared" si="27"/>
        <v>32146.537500000002</v>
      </c>
      <c r="N31" s="479">
        <f t="shared" si="27"/>
        <v>32146.537500000002</v>
      </c>
      <c r="O31" s="348">
        <f>SUM(C31:N31)</f>
        <v>419064.44749999995</v>
      </c>
      <c r="P31" s="342">
        <v>0.24989642893660335</v>
      </c>
      <c r="Q31" s="346"/>
      <c r="R31" s="342"/>
    </row>
    <row r="32" spans="1:18" x14ac:dyDescent="0.3">
      <c r="A32" s="210" t="s">
        <v>184</v>
      </c>
      <c r="B32" s="210" t="s">
        <v>185</v>
      </c>
      <c r="C32" s="221">
        <v>0</v>
      </c>
      <c r="D32" s="221">
        <v>0</v>
      </c>
      <c r="E32" s="221">
        <v>0</v>
      </c>
      <c r="F32" s="221">
        <v>0</v>
      </c>
      <c r="G32" s="221">
        <v>0</v>
      </c>
      <c r="H32" s="375">
        <v>0</v>
      </c>
      <c r="I32" s="375">
        <v>0</v>
      </c>
      <c r="J32" s="375">
        <v>0</v>
      </c>
      <c r="K32" s="375">
        <v>0</v>
      </c>
      <c r="L32" s="375">
        <v>0</v>
      </c>
      <c r="M32" s="375">
        <v>0</v>
      </c>
      <c r="N32" s="375">
        <v>0</v>
      </c>
      <c r="O32" s="348">
        <f t="shared" ref="O32:O52" si="28">SUM(C32:N32)</f>
        <v>0</v>
      </c>
    </row>
    <row r="33" spans="1:18" x14ac:dyDescent="0.3">
      <c r="A33" s="210" t="s">
        <v>186</v>
      </c>
      <c r="B33" s="210" t="s">
        <v>187</v>
      </c>
      <c r="C33" s="103">
        <v>251.63</v>
      </c>
      <c r="D33" s="103">
        <v>-20</v>
      </c>
      <c r="E33" s="103">
        <v>0</v>
      </c>
      <c r="F33" s="103">
        <v>623.26</v>
      </c>
      <c r="G33" s="103">
        <v>0</v>
      </c>
      <c r="H33" s="372">
        <v>500</v>
      </c>
      <c r="I33" s="372">
        <v>0</v>
      </c>
      <c r="J33" s="372">
        <v>500</v>
      </c>
      <c r="K33" s="372">
        <v>0</v>
      </c>
      <c r="L33" s="372">
        <v>500</v>
      </c>
      <c r="M33" s="372">
        <v>0</v>
      </c>
      <c r="N33" s="372">
        <v>500</v>
      </c>
      <c r="O33" s="348">
        <f t="shared" si="28"/>
        <v>2854.89</v>
      </c>
    </row>
    <row r="34" spans="1:18" x14ac:dyDescent="0.3">
      <c r="A34" s="210" t="s">
        <v>188</v>
      </c>
      <c r="B34" s="210" t="s">
        <v>189</v>
      </c>
      <c r="C34" s="103">
        <v>0</v>
      </c>
      <c r="D34" s="103">
        <v>0</v>
      </c>
      <c r="E34" s="103">
        <v>0</v>
      </c>
      <c r="F34" s="103">
        <v>0</v>
      </c>
      <c r="G34" s="103">
        <v>0</v>
      </c>
      <c r="H34" s="372">
        <v>0</v>
      </c>
      <c r="I34" s="372">
        <v>0</v>
      </c>
      <c r="J34" s="372">
        <v>0</v>
      </c>
      <c r="K34" s="372">
        <v>0</v>
      </c>
      <c r="L34" s="372">
        <v>0</v>
      </c>
      <c r="M34" s="372">
        <v>0</v>
      </c>
      <c r="N34" s="372">
        <v>0</v>
      </c>
      <c r="O34" s="348">
        <f t="shared" si="28"/>
        <v>0</v>
      </c>
    </row>
    <row r="35" spans="1:18" x14ac:dyDescent="0.3">
      <c r="A35" s="210" t="s">
        <v>190</v>
      </c>
      <c r="B35" s="210" t="s">
        <v>191</v>
      </c>
      <c r="C35" s="103">
        <v>0</v>
      </c>
      <c r="D35" s="103">
        <v>0</v>
      </c>
      <c r="E35" s="103">
        <v>0</v>
      </c>
      <c r="F35" s="103">
        <v>0</v>
      </c>
      <c r="G35" s="103">
        <v>0</v>
      </c>
      <c r="H35" s="372">
        <v>0</v>
      </c>
      <c r="I35" s="372">
        <v>0</v>
      </c>
      <c r="J35" s="372">
        <v>0</v>
      </c>
      <c r="K35" s="372">
        <v>0</v>
      </c>
      <c r="L35" s="372">
        <v>0</v>
      </c>
      <c r="M35" s="372">
        <v>0</v>
      </c>
      <c r="N35" s="372">
        <v>0</v>
      </c>
      <c r="O35" s="348">
        <f t="shared" si="28"/>
        <v>0</v>
      </c>
    </row>
    <row r="36" spans="1:18" x14ac:dyDescent="0.3">
      <c r="A36" s="210" t="s">
        <v>192</v>
      </c>
      <c r="B36" s="210" t="s">
        <v>193</v>
      </c>
      <c r="C36" s="103">
        <v>0</v>
      </c>
      <c r="D36" s="103">
        <v>0</v>
      </c>
      <c r="E36" s="103">
        <v>0</v>
      </c>
      <c r="F36" s="103">
        <v>0</v>
      </c>
      <c r="G36" s="103">
        <v>0</v>
      </c>
      <c r="H36" s="372">
        <v>0</v>
      </c>
      <c r="I36" s="372">
        <v>0</v>
      </c>
      <c r="J36" s="372">
        <v>0</v>
      </c>
      <c r="K36" s="372">
        <v>0</v>
      </c>
      <c r="L36" s="372">
        <v>0</v>
      </c>
      <c r="M36" s="372">
        <v>0</v>
      </c>
      <c r="N36" s="372">
        <v>0</v>
      </c>
      <c r="O36" s="348">
        <f t="shared" si="28"/>
        <v>0</v>
      </c>
    </row>
    <row r="37" spans="1:18" x14ac:dyDescent="0.3">
      <c r="A37" s="210" t="s">
        <v>194</v>
      </c>
      <c r="B37" s="210" t="s">
        <v>195</v>
      </c>
      <c r="C37" s="103">
        <v>0</v>
      </c>
      <c r="D37" s="103">
        <v>0</v>
      </c>
      <c r="E37" s="103">
        <v>0</v>
      </c>
      <c r="F37" s="103">
        <v>0</v>
      </c>
      <c r="G37" s="103">
        <v>0</v>
      </c>
      <c r="H37" s="372">
        <v>0</v>
      </c>
      <c r="I37" s="372">
        <v>0</v>
      </c>
      <c r="J37" s="372">
        <v>0</v>
      </c>
      <c r="K37" s="372">
        <v>0</v>
      </c>
      <c r="L37" s="372">
        <v>0</v>
      </c>
      <c r="M37" s="372">
        <v>0</v>
      </c>
      <c r="N37" s="372">
        <v>0</v>
      </c>
      <c r="O37" s="348">
        <f t="shared" si="28"/>
        <v>0</v>
      </c>
    </row>
    <row r="38" spans="1:18" x14ac:dyDescent="0.3">
      <c r="A38" s="210" t="s">
        <v>196</v>
      </c>
      <c r="B38" s="210" t="s">
        <v>380</v>
      </c>
      <c r="C38" s="221">
        <v>0</v>
      </c>
      <c r="D38" s="221">
        <v>0</v>
      </c>
      <c r="E38" s="221">
        <v>0</v>
      </c>
      <c r="F38" s="221">
        <v>0</v>
      </c>
      <c r="G38" s="221">
        <v>0</v>
      </c>
      <c r="H38" s="375">
        <v>0</v>
      </c>
      <c r="I38" s="375">
        <v>0</v>
      </c>
      <c r="J38" s="375">
        <v>0</v>
      </c>
      <c r="K38" s="375">
        <v>0</v>
      </c>
      <c r="L38" s="375">
        <v>0</v>
      </c>
      <c r="M38" s="375">
        <v>0</v>
      </c>
      <c r="N38" s="375">
        <v>0</v>
      </c>
      <c r="O38" s="348">
        <f t="shared" si="28"/>
        <v>0</v>
      </c>
    </row>
    <row r="39" spans="1:18" x14ac:dyDescent="0.3">
      <c r="A39" s="210" t="s">
        <v>197</v>
      </c>
      <c r="B39" s="210" t="s">
        <v>198</v>
      </c>
      <c r="C39" s="221">
        <v>0</v>
      </c>
      <c r="D39" s="221">
        <v>0</v>
      </c>
      <c r="E39" s="221">
        <v>0</v>
      </c>
      <c r="F39" s="221">
        <v>0</v>
      </c>
      <c r="G39" s="221">
        <v>0</v>
      </c>
      <c r="H39" s="375">
        <v>0</v>
      </c>
      <c r="I39" s="375">
        <v>0</v>
      </c>
      <c r="J39" s="375">
        <v>0</v>
      </c>
      <c r="K39" s="375">
        <v>0</v>
      </c>
      <c r="L39" s="375">
        <v>0</v>
      </c>
      <c r="M39" s="375">
        <v>0</v>
      </c>
      <c r="N39" s="375">
        <v>0</v>
      </c>
      <c r="O39" s="348">
        <f t="shared" si="28"/>
        <v>0</v>
      </c>
    </row>
    <row r="40" spans="1:18" x14ac:dyDescent="0.3">
      <c r="A40" s="210">
        <v>577200</v>
      </c>
      <c r="B40" s="210" t="s">
        <v>199</v>
      </c>
      <c r="C40" s="103">
        <v>886.4</v>
      </c>
      <c r="D40" s="103">
        <v>-197.62</v>
      </c>
      <c r="E40" s="103">
        <v>1414.08</v>
      </c>
      <c r="F40" s="103">
        <v>1353.45</v>
      </c>
      <c r="G40" s="103">
        <v>2753.4</v>
      </c>
      <c r="H40" s="392">
        <f>H111*13</f>
        <v>1573</v>
      </c>
      <c r="I40" s="392">
        <f t="shared" ref="I40:N40" si="29">I111*13</f>
        <v>2080</v>
      </c>
      <c r="J40" s="392">
        <f t="shared" si="29"/>
        <v>1885</v>
      </c>
      <c r="K40" s="392">
        <f t="shared" si="29"/>
        <v>1560</v>
      </c>
      <c r="L40" s="392">
        <f t="shared" si="29"/>
        <v>1365</v>
      </c>
      <c r="M40" s="392">
        <f t="shared" si="29"/>
        <v>1365</v>
      </c>
      <c r="N40" s="392">
        <f t="shared" si="29"/>
        <v>1365</v>
      </c>
      <c r="O40" s="348">
        <f t="shared" si="28"/>
        <v>17402.71</v>
      </c>
      <c r="P40" s="346" t="s">
        <v>0</v>
      </c>
      <c r="Q40" s="345"/>
      <c r="R40" s="346"/>
    </row>
    <row r="41" spans="1:18" x14ac:dyDescent="0.3">
      <c r="A41" s="210" t="s">
        <v>200</v>
      </c>
      <c r="B41" s="210" t="s">
        <v>201</v>
      </c>
      <c r="C41" s="221">
        <v>0</v>
      </c>
      <c r="D41" s="221">
        <v>0</v>
      </c>
      <c r="E41" s="221">
        <v>991.35</v>
      </c>
      <c r="F41" s="221">
        <v>262.18</v>
      </c>
      <c r="G41" s="221">
        <v>380.15</v>
      </c>
      <c r="H41" s="375">
        <v>300</v>
      </c>
      <c r="I41" s="375">
        <v>300</v>
      </c>
      <c r="J41" s="375">
        <v>300</v>
      </c>
      <c r="K41" s="375">
        <v>300</v>
      </c>
      <c r="L41" s="375">
        <v>300</v>
      </c>
      <c r="M41" s="375">
        <v>300</v>
      </c>
      <c r="N41" s="375">
        <v>300</v>
      </c>
      <c r="O41" s="348">
        <f t="shared" si="28"/>
        <v>3733.68</v>
      </c>
    </row>
    <row r="42" spans="1:18" x14ac:dyDescent="0.3">
      <c r="A42" s="210" t="s">
        <v>202</v>
      </c>
      <c r="B42" s="210" t="s">
        <v>203</v>
      </c>
      <c r="C42" s="221">
        <v>271.3</v>
      </c>
      <c r="D42" s="221">
        <v>0</v>
      </c>
      <c r="E42" s="221">
        <v>0</v>
      </c>
      <c r="F42" s="221">
        <v>0</v>
      </c>
      <c r="G42" s="221">
        <v>0</v>
      </c>
      <c r="H42" s="375">
        <v>0</v>
      </c>
      <c r="I42" s="375">
        <v>0</v>
      </c>
      <c r="J42" s="375">
        <v>0</v>
      </c>
      <c r="K42" s="375">
        <v>0</v>
      </c>
      <c r="L42" s="375">
        <v>0</v>
      </c>
      <c r="M42" s="375">
        <v>0</v>
      </c>
      <c r="N42" s="375">
        <v>0</v>
      </c>
      <c r="O42" s="348">
        <f t="shared" si="28"/>
        <v>271.3</v>
      </c>
    </row>
    <row r="43" spans="1:18" x14ac:dyDescent="0.3">
      <c r="A43" s="210" t="s">
        <v>204</v>
      </c>
      <c r="B43" s="210" t="s">
        <v>205</v>
      </c>
      <c r="C43" s="103">
        <v>819.25</v>
      </c>
      <c r="D43" s="103">
        <v>0</v>
      </c>
      <c r="E43" s="103">
        <v>0</v>
      </c>
      <c r="F43" s="103">
        <v>0</v>
      </c>
      <c r="G43" s="103">
        <v>1285.3</v>
      </c>
      <c r="H43" s="372">
        <v>0</v>
      </c>
      <c r="I43" s="372">
        <v>0</v>
      </c>
      <c r="J43" s="372">
        <v>0</v>
      </c>
      <c r="K43" s="372">
        <v>0</v>
      </c>
      <c r="L43" s="372">
        <v>0</v>
      </c>
      <c r="M43" s="372">
        <v>0</v>
      </c>
      <c r="N43" s="372">
        <v>0</v>
      </c>
      <c r="O43" s="348">
        <f t="shared" si="28"/>
        <v>2104.5500000000002</v>
      </c>
    </row>
    <row r="44" spans="1:18" x14ac:dyDescent="0.3">
      <c r="A44" s="210" t="s">
        <v>206</v>
      </c>
      <c r="B44" s="210" t="s">
        <v>207</v>
      </c>
      <c r="C44" s="103">
        <v>237.5</v>
      </c>
      <c r="D44" s="103">
        <v>175</v>
      </c>
      <c r="E44" s="103">
        <v>160</v>
      </c>
      <c r="F44" s="103">
        <v>477.5</v>
      </c>
      <c r="G44" s="103">
        <v>0</v>
      </c>
      <c r="H44" s="372">
        <v>0</v>
      </c>
      <c r="I44" s="372">
        <v>0</v>
      </c>
      <c r="J44" s="372">
        <v>0</v>
      </c>
      <c r="K44" s="372">
        <v>0</v>
      </c>
      <c r="L44" s="372">
        <v>0</v>
      </c>
      <c r="M44" s="372">
        <v>0</v>
      </c>
      <c r="N44" s="372">
        <v>0</v>
      </c>
      <c r="O44" s="348">
        <f t="shared" si="28"/>
        <v>1050</v>
      </c>
    </row>
    <row r="45" spans="1:18" x14ac:dyDescent="0.3">
      <c r="A45" s="210" t="s">
        <v>208</v>
      </c>
      <c r="B45" s="210" t="s">
        <v>209</v>
      </c>
      <c r="C45" s="221">
        <v>0</v>
      </c>
      <c r="D45" s="221">
        <v>0</v>
      </c>
      <c r="E45" s="221">
        <v>0</v>
      </c>
      <c r="F45" s="221">
        <v>0</v>
      </c>
      <c r="G45" s="221">
        <v>0</v>
      </c>
      <c r="H45" s="375">
        <v>0</v>
      </c>
      <c r="I45" s="375">
        <v>0</v>
      </c>
      <c r="J45" s="375">
        <v>0</v>
      </c>
      <c r="K45" s="375">
        <v>0</v>
      </c>
      <c r="L45" s="375">
        <v>0</v>
      </c>
      <c r="M45" s="375">
        <v>0</v>
      </c>
      <c r="N45" s="375">
        <v>0</v>
      </c>
      <c r="O45" s="348">
        <f t="shared" si="28"/>
        <v>0</v>
      </c>
    </row>
    <row r="46" spans="1:18" x14ac:dyDescent="0.3">
      <c r="A46" s="210" t="s">
        <v>210</v>
      </c>
      <c r="B46" s="210" t="s">
        <v>211</v>
      </c>
      <c r="C46" s="221">
        <v>0</v>
      </c>
      <c r="D46" s="221">
        <v>0</v>
      </c>
      <c r="E46" s="221">
        <v>0</v>
      </c>
      <c r="F46" s="221">
        <v>0</v>
      </c>
      <c r="G46" s="221">
        <v>0</v>
      </c>
      <c r="H46" s="375">
        <v>0</v>
      </c>
      <c r="I46" s="375">
        <v>0</v>
      </c>
      <c r="J46" s="375">
        <v>0</v>
      </c>
      <c r="K46" s="375">
        <v>0</v>
      </c>
      <c r="L46" s="375">
        <v>0</v>
      </c>
      <c r="M46" s="375">
        <v>0</v>
      </c>
      <c r="N46" s="375">
        <v>0</v>
      </c>
      <c r="O46" s="348">
        <f t="shared" si="28"/>
        <v>0</v>
      </c>
    </row>
    <row r="47" spans="1:18" x14ac:dyDescent="0.3">
      <c r="A47" s="210" t="s">
        <v>212</v>
      </c>
      <c r="B47" s="210" t="s">
        <v>213</v>
      </c>
      <c r="C47" s="221">
        <v>0</v>
      </c>
      <c r="D47" s="221">
        <v>0</v>
      </c>
      <c r="E47" s="221">
        <v>0</v>
      </c>
      <c r="F47" s="221">
        <v>0</v>
      </c>
      <c r="G47" s="221">
        <v>0</v>
      </c>
      <c r="H47" s="375">
        <v>0</v>
      </c>
      <c r="I47" s="375">
        <v>0</v>
      </c>
      <c r="J47" s="375">
        <v>0</v>
      </c>
      <c r="K47" s="375">
        <v>0</v>
      </c>
      <c r="L47" s="375">
        <v>0</v>
      </c>
      <c r="M47" s="375">
        <v>0</v>
      </c>
      <c r="N47" s="375">
        <v>0</v>
      </c>
      <c r="O47" s="348">
        <f t="shared" si="28"/>
        <v>0</v>
      </c>
    </row>
    <row r="48" spans="1:18" x14ac:dyDescent="0.3">
      <c r="A48" s="210" t="s">
        <v>214</v>
      </c>
      <c r="B48" s="210" t="s">
        <v>215</v>
      </c>
      <c r="C48" s="221">
        <v>0</v>
      </c>
      <c r="D48" s="221">
        <v>0</v>
      </c>
      <c r="E48" s="221">
        <v>0</v>
      </c>
      <c r="F48" s="221">
        <v>0</v>
      </c>
      <c r="G48" s="221">
        <v>0</v>
      </c>
      <c r="H48" s="375">
        <v>0</v>
      </c>
      <c r="I48" s="375">
        <v>0</v>
      </c>
      <c r="J48" s="375">
        <v>0</v>
      </c>
      <c r="K48" s="375">
        <v>0</v>
      </c>
      <c r="L48" s="375">
        <v>0</v>
      </c>
      <c r="M48" s="375">
        <v>0</v>
      </c>
      <c r="N48" s="375">
        <v>0</v>
      </c>
      <c r="O48" s="348">
        <f t="shared" si="28"/>
        <v>0</v>
      </c>
    </row>
    <row r="49" spans="1:15" x14ac:dyDescent="0.3">
      <c r="A49" s="210" t="s">
        <v>216</v>
      </c>
      <c r="B49" s="210" t="s">
        <v>217</v>
      </c>
      <c r="C49" s="221">
        <v>0</v>
      </c>
      <c r="D49" s="221">
        <v>0</v>
      </c>
      <c r="E49" s="221">
        <v>0</v>
      </c>
      <c r="F49" s="221">
        <v>0</v>
      </c>
      <c r="G49" s="221">
        <v>0</v>
      </c>
      <c r="H49" s="375">
        <v>0</v>
      </c>
      <c r="I49" s="375">
        <v>0</v>
      </c>
      <c r="J49" s="375">
        <v>0</v>
      </c>
      <c r="K49" s="375">
        <v>0</v>
      </c>
      <c r="L49" s="375">
        <v>0</v>
      </c>
      <c r="M49" s="375">
        <v>0</v>
      </c>
      <c r="N49" s="375">
        <v>0</v>
      </c>
      <c r="O49" s="348">
        <f t="shared" si="28"/>
        <v>0</v>
      </c>
    </row>
    <row r="50" spans="1:15" x14ac:dyDescent="0.3">
      <c r="A50" s="210" t="s">
        <v>218</v>
      </c>
      <c r="B50" s="210" t="s">
        <v>219</v>
      </c>
      <c r="C50" s="248">
        <v>0</v>
      </c>
      <c r="D50" s="248">
        <v>0</v>
      </c>
      <c r="E50" s="248">
        <v>0</v>
      </c>
      <c r="F50" s="248">
        <v>0</v>
      </c>
      <c r="G50" s="248">
        <v>0</v>
      </c>
      <c r="H50" s="375">
        <v>0</v>
      </c>
      <c r="I50" s="375">
        <v>0</v>
      </c>
      <c r="J50" s="375">
        <v>0</v>
      </c>
      <c r="K50" s="375">
        <v>0</v>
      </c>
      <c r="L50" s="375">
        <v>0</v>
      </c>
      <c r="M50" s="375">
        <v>0</v>
      </c>
      <c r="N50" s="375">
        <v>0</v>
      </c>
      <c r="O50" s="348">
        <f t="shared" si="28"/>
        <v>0</v>
      </c>
    </row>
    <row r="51" spans="1:15" x14ac:dyDescent="0.3">
      <c r="A51" s="210" t="s">
        <v>220</v>
      </c>
      <c r="B51" s="210" t="s">
        <v>221</v>
      </c>
      <c r="C51" s="221">
        <v>0</v>
      </c>
      <c r="D51" s="221">
        <v>0</v>
      </c>
      <c r="E51" s="221">
        <v>0</v>
      </c>
      <c r="F51" s="221">
        <v>0</v>
      </c>
      <c r="G51" s="221">
        <v>0</v>
      </c>
      <c r="H51" s="375">
        <v>0</v>
      </c>
      <c r="I51" s="375">
        <v>0</v>
      </c>
      <c r="J51" s="375">
        <v>0</v>
      </c>
      <c r="K51" s="375">
        <v>0</v>
      </c>
      <c r="L51" s="375">
        <v>0</v>
      </c>
      <c r="M51" s="375">
        <v>0</v>
      </c>
      <c r="N51" s="375">
        <v>0</v>
      </c>
      <c r="O51" s="348">
        <f t="shared" si="28"/>
        <v>0</v>
      </c>
    </row>
    <row r="52" spans="1:15" x14ac:dyDescent="0.3">
      <c r="A52" s="296" t="s">
        <v>222</v>
      </c>
      <c r="B52" s="296" t="s">
        <v>223</v>
      </c>
      <c r="C52" s="103">
        <v>0</v>
      </c>
      <c r="D52" s="103">
        <v>0</v>
      </c>
      <c r="E52" s="103">
        <v>0</v>
      </c>
      <c r="F52" s="103">
        <v>0</v>
      </c>
      <c r="G52" s="103">
        <v>0</v>
      </c>
      <c r="H52" s="372">
        <v>0</v>
      </c>
      <c r="I52" s="372">
        <v>0</v>
      </c>
      <c r="J52" s="372">
        <v>0</v>
      </c>
      <c r="K52" s="372">
        <v>0</v>
      </c>
      <c r="L52" s="372">
        <v>0</v>
      </c>
      <c r="M52" s="372">
        <v>0</v>
      </c>
      <c r="N52" s="372">
        <v>0</v>
      </c>
      <c r="O52" s="348">
        <f t="shared" si="28"/>
        <v>0</v>
      </c>
    </row>
    <row r="53" spans="1:15" x14ac:dyDescent="0.3">
      <c r="A53" s="293"/>
      <c r="B53" s="297" t="s">
        <v>224</v>
      </c>
      <c r="C53" s="303">
        <f>SUM(C31:C52)</f>
        <v>36977.840000000004</v>
      </c>
      <c r="D53" s="303">
        <f t="shared" ref="D53:N53" si="30">SUM(D31:D52)</f>
        <v>33935.99</v>
      </c>
      <c r="E53" s="303">
        <f t="shared" si="30"/>
        <v>29945.93</v>
      </c>
      <c r="F53" s="303">
        <f t="shared" si="30"/>
        <v>30936.55</v>
      </c>
      <c r="G53" s="303">
        <f t="shared" si="30"/>
        <v>35790.660000000003</v>
      </c>
      <c r="H53" s="374">
        <f t="shared" si="30"/>
        <v>39418.057500000003</v>
      </c>
      <c r="I53" s="374">
        <f t="shared" si="30"/>
        <v>51365.200000000004</v>
      </c>
      <c r="J53" s="374">
        <f t="shared" si="30"/>
        <v>47077.837500000001</v>
      </c>
      <c r="K53" s="374">
        <f t="shared" si="30"/>
        <v>38598.9</v>
      </c>
      <c r="L53" s="374">
        <f t="shared" si="30"/>
        <v>34311.537500000006</v>
      </c>
      <c r="M53" s="374">
        <f t="shared" si="30"/>
        <v>33811.537500000006</v>
      </c>
      <c r="N53" s="374">
        <f t="shared" si="30"/>
        <v>34311.537500000006</v>
      </c>
      <c r="O53" s="350">
        <f>SUM(O31:O52)</f>
        <v>446481.57749999996</v>
      </c>
    </row>
    <row r="54" spans="1:15" x14ac:dyDescent="0.3">
      <c r="A54" s="298"/>
      <c r="B54" s="213" t="s">
        <v>225</v>
      </c>
      <c r="C54" s="304">
        <f>C53+C30</f>
        <v>70913.140000000014</v>
      </c>
      <c r="D54" s="304">
        <f t="shared" ref="D54:O54" si="31">D53+D30</f>
        <v>69490.010000000009</v>
      </c>
      <c r="E54" s="304">
        <f t="shared" si="31"/>
        <v>84380.91</v>
      </c>
      <c r="F54" s="304">
        <f t="shared" si="31"/>
        <v>73278.099999999991</v>
      </c>
      <c r="G54" s="304">
        <f t="shared" si="31"/>
        <v>76774.16</v>
      </c>
      <c r="H54" s="376">
        <f t="shared" si="31"/>
        <v>88695.345850475074</v>
      </c>
      <c r="I54" s="376">
        <f t="shared" si="31"/>
        <v>116525.25071137198</v>
      </c>
      <c r="J54" s="376">
        <f t="shared" si="31"/>
        <v>106129.13345718087</v>
      </c>
      <c r="K54" s="376">
        <f t="shared" si="31"/>
        <v>87468.938033529004</v>
      </c>
      <c r="L54" s="376">
        <f t="shared" si="31"/>
        <v>77072.820779337868</v>
      </c>
      <c r="M54" s="376">
        <f t="shared" si="31"/>
        <v>76572.820779337868</v>
      </c>
      <c r="N54" s="376">
        <f t="shared" si="31"/>
        <v>77072.820779337868</v>
      </c>
      <c r="O54" s="350">
        <f t="shared" si="31"/>
        <v>1004373.4503905703</v>
      </c>
    </row>
    <row r="55" spans="1:15" x14ac:dyDescent="0.3">
      <c r="A55" s="210" t="s">
        <v>226</v>
      </c>
      <c r="B55" s="210" t="s">
        <v>227</v>
      </c>
      <c r="C55" s="103">
        <v>0</v>
      </c>
      <c r="D55" s="103">
        <v>0</v>
      </c>
      <c r="E55" s="103">
        <v>0</v>
      </c>
      <c r="F55" s="103">
        <v>0</v>
      </c>
      <c r="G55" s="103">
        <v>0</v>
      </c>
      <c r="H55" s="375">
        <v>0</v>
      </c>
      <c r="I55" s="375">
        <v>0</v>
      </c>
      <c r="J55" s="375">
        <v>0</v>
      </c>
      <c r="K55" s="375">
        <v>0</v>
      </c>
      <c r="L55" s="375">
        <v>0</v>
      </c>
      <c r="M55" s="375">
        <v>0</v>
      </c>
      <c r="N55" s="375">
        <v>0</v>
      </c>
      <c r="O55" s="348">
        <f>SUM(C55:N55)</f>
        <v>0</v>
      </c>
    </row>
    <row r="56" spans="1:15" x14ac:dyDescent="0.3">
      <c r="A56" s="210" t="s">
        <v>228</v>
      </c>
      <c r="B56" s="210" t="s">
        <v>229</v>
      </c>
      <c r="C56" s="103">
        <v>0</v>
      </c>
      <c r="D56" s="103">
        <v>0</v>
      </c>
      <c r="E56" s="103">
        <v>0</v>
      </c>
      <c r="F56" s="103">
        <v>0</v>
      </c>
      <c r="G56" s="103">
        <v>0</v>
      </c>
      <c r="H56" s="372">
        <v>0</v>
      </c>
      <c r="I56" s="372">
        <v>0</v>
      </c>
      <c r="J56" s="372">
        <v>0</v>
      </c>
      <c r="K56" s="372">
        <v>0</v>
      </c>
      <c r="L56" s="372">
        <v>0</v>
      </c>
      <c r="M56" s="372">
        <v>0</v>
      </c>
      <c r="N56" s="372">
        <v>0</v>
      </c>
      <c r="O56" s="348">
        <f t="shared" ref="O56:O106" si="32">SUM(C56:N56)</f>
        <v>0</v>
      </c>
    </row>
    <row r="57" spans="1:15" x14ac:dyDescent="0.3">
      <c r="A57" s="210" t="s">
        <v>230</v>
      </c>
      <c r="B57" s="210" t="s">
        <v>231</v>
      </c>
      <c r="C57" s="103">
        <v>0</v>
      </c>
      <c r="D57" s="103">
        <v>0</v>
      </c>
      <c r="E57" s="103">
        <v>0</v>
      </c>
      <c r="F57" s="103">
        <v>0</v>
      </c>
      <c r="G57" s="103">
        <v>0</v>
      </c>
      <c r="H57" s="375">
        <v>0</v>
      </c>
      <c r="I57" s="375">
        <v>0</v>
      </c>
      <c r="J57" s="375">
        <v>0</v>
      </c>
      <c r="K57" s="375">
        <v>0</v>
      </c>
      <c r="L57" s="375">
        <v>0</v>
      </c>
      <c r="M57" s="375">
        <v>0</v>
      </c>
      <c r="N57" s="375">
        <v>0</v>
      </c>
      <c r="O57" s="348">
        <f t="shared" si="32"/>
        <v>0</v>
      </c>
    </row>
    <row r="58" spans="1:15" x14ac:dyDescent="0.3">
      <c r="A58" s="210" t="s">
        <v>232</v>
      </c>
      <c r="B58" s="210" t="s">
        <v>233</v>
      </c>
      <c r="C58" s="103">
        <v>4805.5200000000004</v>
      </c>
      <c r="D58" s="103">
        <v>5339.68</v>
      </c>
      <c r="E58" s="103">
        <v>8009.52</v>
      </c>
      <c r="F58" s="103">
        <v>5072.4799999999996</v>
      </c>
      <c r="G58" s="103">
        <v>5339.68</v>
      </c>
      <c r="H58" s="372">
        <f t="shared" ref="H58:N58" si="33">69000/12</f>
        <v>5750</v>
      </c>
      <c r="I58" s="372">
        <f t="shared" si="33"/>
        <v>5750</v>
      </c>
      <c r="J58" s="372">
        <f t="shared" si="33"/>
        <v>5750</v>
      </c>
      <c r="K58" s="372">
        <f t="shared" si="33"/>
        <v>5750</v>
      </c>
      <c r="L58" s="372">
        <f t="shared" si="33"/>
        <v>5750</v>
      </c>
      <c r="M58" s="372">
        <f t="shared" si="33"/>
        <v>5750</v>
      </c>
      <c r="N58" s="372">
        <f t="shared" si="33"/>
        <v>5750</v>
      </c>
      <c r="O58" s="348">
        <f t="shared" si="32"/>
        <v>68816.88</v>
      </c>
    </row>
    <row r="59" spans="1:15" x14ac:dyDescent="0.3">
      <c r="A59" s="210" t="s">
        <v>234</v>
      </c>
      <c r="B59" s="210" t="s">
        <v>235</v>
      </c>
      <c r="C59" s="103">
        <v>0</v>
      </c>
      <c r="D59" s="103">
        <v>0</v>
      </c>
      <c r="E59" s="103">
        <v>0</v>
      </c>
      <c r="F59" s="103">
        <v>0</v>
      </c>
      <c r="G59" s="103">
        <v>0</v>
      </c>
      <c r="H59" s="375">
        <v>0</v>
      </c>
      <c r="I59" s="375">
        <v>0</v>
      </c>
      <c r="J59" s="375">
        <v>0</v>
      </c>
      <c r="K59" s="375">
        <v>0</v>
      </c>
      <c r="L59" s="375">
        <v>0</v>
      </c>
      <c r="M59" s="375">
        <v>0</v>
      </c>
      <c r="N59" s="375">
        <v>0</v>
      </c>
      <c r="O59" s="348">
        <f t="shared" si="32"/>
        <v>0</v>
      </c>
    </row>
    <row r="60" spans="1:15" x14ac:dyDescent="0.3">
      <c r="A60" s="210" t="s">
        <v>236</v>
      </c>
      <c r="B60" s="210" t="s">
        <v>237</v>
      </c>
      <c r="C60" s="103">
        <v>0</v>
      </c>
      <c r="D60" s="103">
        <v>0</v>
      </c>
      <c r="E60" s="103">
        <v>0</v>
      </c>
      <c r="F60" s="103">
        <v>0</v>
      </c>
      <c r="G60" s="103">
        <v>0</v>
      </c>
      <c r="H60" s="375">
        <v>0</v>
      </c>
      <c r="I60" s="375">
        <v>0</v>
      </c>
      <c r="J60" s="375">
        <v>0</v>
      </c>
      <c r="K60" s="375">
        <v>0</v>
      </c>
      <c r="L60" s="375">
        <v>0</v>
      </c>
      <c r="M60" s="375">
        <v>0</v>
      </c>
      <c r="N60" s="375">
        <v>0</v>
      </c>
      <c r="O60" s="348">
        <f t="shared" si="32"/>
        <v>0</v>
      </c>
    </row>
    <row r="61" spans="1:15" x14ac:dyDescent="0.3">
      <c r="A61" s="210" t="s">
        <v>238</v>
      </c>
      <c r="B61" s="210" t="s">
        <v>239</v>
      </c>
      <c r="C61" s="103">
        <v>14564.35</v>
      </c>
      <c r="D61" s="103">
        <v>12730.42</v>
      </c>
      <c r="E61" s="103">
        <v>18450.53</v>
      </c>
      <c r="F61" s="103">
        <v>11236.25</v>
      </c>
      <c r="G61" s="103">
        <v>13062.01</v>
      </c>
      <c r="H61" s="375">
        <v>14564</v>
      </c>
      <c r="I61" s="375">
        <v>14564</v>
      </c>
      <c r="J61" s="375">
        <v>14564</v>
      </c>
      <c r="K61" s="375">
        <v>14564</v>
      </c>
      <c r="L61" s="375">
        <v>14564</v>
      </c>
      <c r="M61" s="375">
        <v>14564</v>
      </c>
      <c r="N61" s="375">
        <v>14564</v>
      </c>
      <c r="O61" s="348">
        <f t="shared" si="32"/>
        <v>171991.56</v>
      </c>
    </row>
    <row r="62" spans="1:15" x14ac:dyDescent="0.3">
      <c r="A62" s="210" t="s">
        <v>240</v>
      </c>
      <c r="B62" s="210" t="s">
        <v>241</v>
      </c>
      <c r="C62" s="103">
        <v>0</v>
      </c>
      <c r="D62" s="103">
        <v>0</v>
      </c>
      <c r="E62" s="103">
        <v>0</v>
      </c>
      <c r="F62" s="103">
        <v>0</v>
      </c>
      <c r="G62" s="103">
        <v>0</v>
      </c>
      <c r="H62" s="375">
        <v>0</v>
      </c>
      <c r="I62" s="375">
        <v>0</v>
      </c>
      <c r="J62" s="375">
        <v>0</v>
      </c>
      <c r="K62" s="375">
        <v>0</v>
      </c>
      <c r="L62" s="375">
        <v>0</v>
      </c>
      <c r="M62" s="375">
        <v>0</v>
      </c>
      <c r="N62" s="375">
        <v>0</v>
      </c>
      <c r="O62" s="348">
        <f t="shared" si="32"/>
        <v>0</v>
      </c>
    </row>
    <row r="63" spans="1:15" x14ac:dyDescent="0.3">
      <c r="A63" s="210" t="s">
        <v>242</v>
      </c>
      <c r="B63" s="210" t="s">
        <v>243</v>
      </c>
      <c r="C63" s="103">
        <v>0</v>
      </c>
      <c r="D63" s="103">
        <v>0</v>
      </c>
      <c r="E63" s="103">
        <v>0</v>
      </c>
      <c r="F63" s="103">
        <v>0</v>
      </c>
      <c r="G63" s="103">
        <v>0</v>
      </c>
      <c r="H63" s="375">
        <v>0</v>
      </c>
      <c r="I63" s="375">
        <v>0</v>
      </c>
      <c r="J63" s="375">
        <v>0</v>
      </c>
      <c r="K63" s="375">
        <v>0</v>
      </c>
      <c r="L63" s="375">
        <v>0</v>
      </c>
      <c r="M63" s="375">
        <v>0</v>
      </c>
      <c r="N63" s="375">
        <v>0</v>
      </c>
      <c r="O63" s="348">
        <f t="shared" si="32"/>
        <v>0</v>
      </c>
    </row>
    <row r="64" spans="1:15" x14ac:dyDescent="0.3">
      <c r="A64" s="210" t="s">
        <v>244</v>
      </c>
      <c r="B64" s="210" t="s">
        <v>245</v>
      </c>
      <c r="C64" s="103">
        <v>0</v>
      </c>
      <c r="D64" s="103">
        <v>0</v>
      </c>
      <c r="E64" s="103">
        <v>0</v>
      </c>
      <c r="F64" s="103">
        <v>0</v>
      </c>
      <c r="G64" s="103">
        <v>0</v>
      </c>
      <c r="H64" s="375">
        <v>0</v>
      </c>
      <c r="I64" s="375">
        <v>0</v>
      </c>
      <c r="J64" s="375">
        <v>0</v>
      </c>
      <c r="K64" s="375">
        <v>0</v>
      </c>
      <c r="L64" s="375">
        <v>0</v>
      </c>
      <c r="M64" s="375">
        <v>0</v>
      </c>
      <c r="N64" s="375">
        <v>0</v>
      </c>
      <c r="O64" s="348">
        <f t="shared" si="32"/>
        <v>0</v>
      </c>
    </row>
    <row r="65" spans="1:15" x14ac:dyDescent="0.3">
      <c r="A65" s="210" t="s">
        <v>246</v>
      </c>
      <c r="B65" s="210" t="s">
        <v>247</v>
      </c>
      <c r="C65" s="103">
        <v>0</v>
      </c>
      <c r="D65" s="103">
        <v>0</v>
      </c>
      <c r="E65" s="103">
        <v>0</v>
      </c>
      <c r="F65" s="103">
        <v>0</v>
      </c>
      <c r="G65" s="103">
        <v>0</v>
      </c>
      <c r="H65" s="375">
        <v>0</v>
      </c>
      <c r="I65" s="375">
        <v>0</v>
      </c>
      <c r="J65" s="375">
        <v>0</v>
      </c>
      <c r="K65" s="375">
        <v>0</v>
      </c>
      <c r="L65" s="375">
        <v>0</v>
      </c>
      <c r="M65" s="375">
        <v>0</v>
      </c>
      <c r="N65" s="375">
        <v>0</v>
      </c>
      <c r="O65" s="348">
        <f t="shared" si="32"/>
        <v>0</v>
      </c>
    </row>
    <row r="66" spans="1:15" x14ac:dyDescent="0.3">
      <c r="A66" s="210" t="s">
        <v>248</v>
      </c>
      <c r="B66" s="210" t="s">
        <v>249</v>
      </c>
      <c r="C66" s="103">
        <v>0</v>
      </c>
      <c r="D66" s="103">
        <v>0</v>
      </c>
      <c r="E66" s="103">
        <v>0</v>
      </c>
      <c r="F66" s="103">
        <v>0</v>
      </c>
      <c r="G66" s="103">
        <v>0</v>
      </c>
      <c r="H66" s="375">
        <v>0</v>
      </c>
      <c r="I66" s="375">
        <v>0</v>
      </c>
      <c r="J66" s="375">
        <v>0</v>
      </c>
      <c r="K66" s="375">
        <v>0</v>
      </c>
      <c r="L66" s="375">
        <v>0</v>
      </c>
      <c r="M66" s="375">
        <v>0</v>
      </c>
      <c r="N66" s="375">
        <v>0</v>
      </c>
      <c r="O66" s="348">
        <f t="shared" si="32"/>
        <v>0</v>
      </c>
    </row>
    <row r="67" spans="1:15" x14ac:dyDescent="0.3">
      <c r="A67" s="210" t="s">
        <v>250</v>
      </c>
      <c r="B67" s="210" t="s">
        <v>251</v>
      </c>
      <c r="C67" s="103">
        <v>0</v>
      </c>
      <c r="D67" s="103">
        <v>0</v>
      </c>
      <c r="E67" s="103">
        <v>0</v>
      </c>
      <c r="F67" s="103">
        <v>0</v>
      </c>
      <c r="G67" s="103">
        <v>0</v>
      </c>
      <c r="H67" s="375">
        <v>0</v>
      </c>
      <c r="I67" s="375">
        <v>0</v>
      </c>
      <c r="J67" s="375">
        <v>0</v>
      </c>
      <c r="K67" s="375">
        <v>0</v>
      </c>
      <c r="L67" s="375">
        <v>0</v>
      </c>
      <c r="M67" s="375">
        <v>0</v>
      </c>
      <c r="N67" s="375">
        <v>0</v>
      </c>
      <c r="O67" s="348">
        <f t="shared" si="32"/>
        <v>0</v>
      </c>
    </row>
    <row r="68" spans="1:15" x14ac:dyDescent="0.3">
      <c r="A68" s="210" t="s">
        <v>252</v>
      </c>
      <c r="B68" s="210" t="s">
        <v>253</v>
      </c>
      <c r="C68" s="103">
        <v>0</v>
      </c>
      <c r="D68" s="103">
        <v>0</v>
      </c>
      <c r="E68" s="103">
        <v>0</v>
      </c>
      <c r="F68" s="103">
        <v>0</v>
      </c>
      <c r="G68" s="103">
        <v>0</v>
      </c>
      <c r="H68" s="375">
        <v>0</v>
      </c>
      <c r="I68" s="375">
        <v>0</v>
      </c>
      <c r="J68" s="375">
        <v>0</v>
      </c>
      <c r="K68" s="375">
        <v>0</v>
      </c>
      <c r="L68" s="375">
        <v>0</v>
      </c>
      <c r="M68" s="375">
        <v>0</v>
      </c>
      <c r="N68" s="375">
        <v>0</v>
      </c>
      <c r="O68" s="348">
        <f t="shared" si="32"/>
        <v>0</v>
      </c>
    </row>
    <row r="69" spans="1:15" x14ac:dyDescent="0.3">
      <c r="A69" s="210" t="s">
        <v>254</v>
      </c>
      <c r="B69" s="210" t="s">
        <v>255</v>
      </c>
      <c r="C69" s="103">
        <v>0</v>
      </c>
      <c r="D69" s="103">
        <v>0</v>
      </c>
      <c r="E69" s="103">
        <v>97.13</v>
      </c>
      <c r="F69" s="103">
        <v>310.89</v>
      </c>
      <c r="G69" s="103">
        <v>23.95</v>
      </c>
      <c r="H69" s="375">
        <v>25</v>
      </c>
      <c r="I69" s="375">
        <v>25</v>
      </c>
      <c r="J69" s="375">
        <v>25</v>
      </c>
      <c r="K69" s="375">
        <v>25</v>
      </c>
      <c r="L69" s="375">
        <v>25</v>
      </c>
      <c r="M69" s="375">
        <v>25</v>
      </c>
      <c r="N69" s="375">
        <v>25</v>
      </c>
      <c r="O69" s="348">
        <f t="shared" si="32"/>
        <v>606.97</v>
      </c>
    </row>
    <row r="70" spans="1:15" x14ac:dyDescent="0.3">
      <c r="A70" s="210" t="s">
        <v>256</v>
      </c>
      <c r="B70" s="210" t="s">
        <v>257</v>
      </c>
      <c r="C70" s="103">
        <v>0</v>
      </c>
      <c r="D70" s="103">
        <v>0</v>
      </c>
      <c r="E70" s="103">
        <v>0</v>
      </c>
      <c r="F70" s="103">
        <v>0</v>
      </c>
      <c r="G70" s="103">
        <v>0</v>
      </c>
      <c r="H70" s="375">
        <v>0</v>
      </c>
      <c r="I70" s="375">
        <v>0</v>
      </c>
      <c r="J70" s="375">
        <v>0</v>
      </c>
      <c r="K70" s="375">
        <v>0</v>
      </c>
      <c r="L70" s="375">
        <v>0</v>
      </c>
      <c r="M70" s="375">
        <v>0</v>
      </c>
      <c r="N70" s="375">
        <v>0</v>
      </c>
      <c r="O70" s="348">
        <f t="shared" si="32"/>
        <v>0</v>
      </c>
    </row>
    <row r="71" spans="1:15" x14ac:dyDescent="0.3">
      <c r="A71" s="210" t="s">
        <v>258</v>
      </c>
      <c r="B71" s="210" t="s">
        <v>259</v>
      </c>
      <c r="C71" s="103">
        <v>1327.1</v>
      </c>
      <c r="D71" s="103">
        <v>563.76</v>
      </c>
      <c r="E71" s="103">
        <v>2464.4499999999998</v>
      </c>
      <c r="F71" s="103">
        <v>2855.47</v>
      </c>
      <c r="G71" s="103">
        <v>1832.89</v>
      </c>
      <c r="H71" s="375">
        <v>1750</v>
      </c>
      <c r="I71" s="375">
        <v>1750</v>
      </c>
      <c r="J71" s="375">
        <v>1750</v>
      </c>
      <c r="K71" s="375">
        <v>1750</v>
      </c>
      <c r="L71" s="375">
        <v>1750</v>
      </c>
      <c r="M71" s="375">
        <v>1750</v>
      </c>
      <c r="N71" s="375">
        <v>1750</v>
      </c>
      <c r="O71" s="348">
        <f t="shared" si="32"/>
        <v>21293.67</v>
      </c>
    </row>
    <row r="72" spans="1:15" x14ac:dyDescent="0.3">
      <c r="A72" s="210" t="s">
        <v>260</v>
      </c>
      <c r="B72" s="210" t="s">
        <v>261</v>
      </c>
      <c r="C72" s="103">
        <v>0</v>
      </c>
      <c r="D72" s="103">
        <v>0</v>
      </c>
      <c r="E72" s="103">
        <v>150.72999999999999</v>
      </c>
      <c r="F72" s="103">
        <v>249.42</v>
      </c>
      <c r="G72" s="103">
        <v>249.4</v>
      </c>
      <c r="H72" s="372">
        <v>250</v>
      </c>
      <c r="I72" s="372">
        <v>250</v>
      </c>
      <c r="J72" s="372">
        <v>250</v>
      </c>
      <c r="K72" s="372">
        <v>250</v>
      </c>
      <c r="L72" s="372">
        <v>250</v>
      </c>
      <c r="M72" s="372">
        <v>250</v>
      </c>
      <c r="N72" s="372">
        <v>250</v>
      </c>
      <c r="O72" s="348">
        <f t="shared" si="32"/>
        <v>2399.5500000000002</v>
      </c>
    </row>
    <row r="73" spans="1:15" x14ac:dyDescent="0.3">
      <c r="A73" s="210" t="s">
        <v>262</v>
      </c>
      <c r="B73" s="210" t="s">
        <v>263</v>
      </c>
      <c r="C73" s="103">
        <v>314.14</v>
      </c>
      <c r="D73" s="103">
        <v>557.53</v>
      </c>
      <c r="E73" s="103">
        <v>0</v>
      </c>
      <c r="F73" s="103">
        <v>942.42</v>
      </c>
      <c r="G73" s="103">
        <v>854.24</v>
      </c>
      <c r="H73" s="372">
        <v>500</v>
      </c>
      <c r="I73" s="372">
        <v>500</v>
      </c>
      <c r="J73" s="372">
        <v>500</v>
      </c>
      <c r="K73" s="372">
        <v>500</v>
      </c>
      <c r="L73" s="372">
        <v>500</v>
      </c>
      <c r="M73" s="372">
        <v>500</v>
      </c>
      <c r="N73" s="372">
        <v>500</v>
      </c>
      <c r="O73" s="348">
        <f t="shared" si="32"/>
        <v>6168.33</v>
      </c>
    </row>
    <row r="74" spans="1:15" x14ac:dyDescent="0.3">
      <c r="A74" s="210" t="s">
        <v>264</v>
      </c>
      <c r="B74" s="210" t="s">
        <v>265</v>
      </c>
      <c r="C74" s="103">
        <v>2721.36</v>
      </c>
      <c r="D74" s="103">
        <v>2744.55</v>
      </c>
      <c r="E74" s="103">
        <v>2410.77</v>
      </c>
      <c r="F74" s="103">
        <v>2577.66</v>
      </c>
      <c r="G74" s="103">
        <v>2577.66</v>
      </c>
      <c r="H74" s="372">
        <v>2500</v>
      </c>
      <c r="I74" s="372">
        <v>2500</v>
      </c>
      <c r="J74" s="372">
        <v>2500</v>
      </c>
      <c r="K74" s="372">
        <v>2500</v>
      </c>
      <c r="L74" s="372">
        <v>2500</v>
      </c>
      <c r="M74" s="372">
        <v>2500</v>
      </c>
      <c r="N74" s="372">
        <v>2500</v>
      </c>
      <c r="O74" s="348">
        <f t="shared" si="32"/>
        <v>30532</v>
      </c>
    </row>
    <row r="75" spans="1:15" x14ac:dyDescent="0.3">
      <c r="A75" s="210" t="s">
        <v>266</v>
      </c>
      <c r="B75" s="210" t="s">
        <v>267</v>
      </c>
      <c r="C75" s="103">
        <v>0</v>
      </c>
      <c r="D75" s="103">
        <v>0</v>
      </c>
      <c r="E75" s="103">
        <v>0</v>
      </c>
      <c r="F75" s="103">
        <v>0</v>
      </c>
      <c r="G75" s="103">
        <v>1147.01</v>
      </c>
      <c r="H75" s="375">
        <v>0</v>
      </c>
      <c r="I75" s="375">
        <v>0</v>
      </c>
      <c r="J75" s="375">
        <v>0</v>
      </c>
      <c r="K75" s="375">
        <v>0</v>
      </c>
      <c r="L75" s="375">
        <v>0</v>
      </c>
      <c r="M75" s="375">
        <v>0</v>
      </c>
      <c r="N75" s="375">
        <v>0</v>
      </c>
      <c r="O75" s="348">
        <f t="shared" si="32"/>
        <v>1147.01</v>
      </c>
    </row>
    <row r="76" spans="1:15" x14ac:dyDescent="0.3">
      <c r="A76" s="210" t="s">
        <v>268</v>
      </c>
      <c r="B76" s="210" t="s">
        <v>269</v>
      </c>
      <c r="C76" s="103">
        <v>0</v>
      </c>
      <c r="D76" s="103">
        <v>0</v>
      </c>
      <c r="E76" s="103">
        <v>0</v>
      </c>
      <c r="F76" s="103">
        <v>0</v>
      </c>
      <c r="G76" s="103">
        <v>0</v>
      </c>
      <c r="H76" s="375">
        <v>0</v>
      </c>
      <c r="I76" s="375">
        <v>0</v>
      </c>
      <c r="J76" s="375">
        <v>0</v>
      </c>
      <c r="K76" s="375">
        <v>0</v>
      </c>
      <c r="L76" s="375">
        <v>0</v>
      </c>
      <c r="M76" s="375">
        <v>0</v>
      </c>
      <c r="N76" s="375">
        <v>0</v>
      </c>
      <c r="O76" s="348">
        <f t="shared" si="32"/>
        <v>0</v>
      </c>
    </row>
    <row r="77" spans="1:15" x14ac:dyDescent="0.3">
      <c r="A77" s="210" t="s">
        <v>270</v>
      </c>
      <c r="B77" s="210" t="s">
        <v>271</v>
      </c>
      <c r="C77" s="103">
        <v>0</v>
      </c>
      <c r="D77" s="103">
        <v>0</v>
      </c>
      <c r="E77" s="103">
        <v>0</v>
      </c>
      <c r="F77" s="103">
        <v>0</v>
      </c>
      <c r="G77" s="103">
        <v>0</v>
      </c>
      <c r="H77" s="375">
        <v>0</v>
      </c>
      <c r="I77" s="375">
        <v>0</v>
      </c>
      <c r="J77" s="375">
        <v>0</v>
      </c>
      <c r="K77" s="375">
        <v>0</v>
      </c>
      <c r="L77" s="375">
        <v>0</v>
      </c>
      <c r="M77" s="375">
        <v>0</v>
      </c>
      <c r="N77" s="375">
        <v>0</v>
      </c>
      <c r="O77" s="348">
        <f t="shared" si="32"/>
        <v>0</v>
      </c>
    </row>
    <row r="78" spans="1:15" x14ac:dyDescent="0.3">
      <c r="A78" s="210" t="s">
        <v>272</v>
      </c>
      <c r="B78" s="210" t="s">
        <v>273</v>
      </c>
      <c r="C78" s="103">
        <v>0</v>
      </c>
      <c r="D78" s="103">
        <v>0</v>
      </c>
      <c r="E78" s="103">
        <v>0</v>
      </c>
      <c r="F78" s="103">
        <v>0</v>
      </c>
      <c r="G78" s="103">
        <v>0</v>
      </c>
      <c r="H78" s="375">
        <v>0</v>
      </c>
      <c r="I78" s="375">
        <v>0</v>
      </c>
      <c r="J78" s="375">
        <v>0</v>
      </c>
      <c r="K78" s="375">
        <v>0</v>
      </c>
      <c r="L78" s="375">
        <v>0</v>
      </c>
      <c r="M78" s="375">
        <v>0</v>
      </c>
      <c r="N78" s="375">
        <v>0</v>
      </c>
      <c r="O78" s="348">
        <f t="shared" si="32"/>
        <v>0</v>
      </c>
    </row>
    <row r="79" spans="1:15" x14ac:dyDescent="0.3">
      <c r="A79" s="210" t="s">
        <v>274</v>
      </c>
      <c r="B79" s="210" t="s">
        <v>275</v>
      </c>
      <c r="C79" s="103">
        <v>0</v>
      </c>
      <c r="D79" s="103">
        <v>0</v>
      </c>
      <c r="E79" s="103">
        <v>0</v>
      </c>
      <c r="F79" s="103">
        <v>0</v>
      </c>
      <c r="G79" s="103">
        <v>0</v>
      </c>
      <c r="H79" s="375">
        <v>0</v>
      </c>
      <c r="I79" s="375">
        <v>0</v>
      </c>
      <c r="J79" s="375">
        <v>0</v>
      </c>
      <c r="K79" s="375">
        <v>0</v>
      </c>
      <c r="L79" s="375">
        <v>0</v>
      </c>
      <c r="M79" s="375">
        <v>0</v>
      </c>
      <c r="N79" s="375">
        <v>0</v>
      </c>
      <c r="O79" s="348">
        <f t="shared" si="32"/>
        <v>0</v>
      </c>
    </row>
    <row r="80" spans="1:15" x14ac:dyDescent="0.3">
      <c r="A80" s="210" t="s">
        <v>276</v>
      </c>
      <c r="B80" s="210" t="s">
        <v>277</v>
      </c>
      <c r="C80" s="103">
        <v>0</v>
      </c>
      <c r="D80" s="103">
        <v>0</v>
      </c>
      <c r="E80" s="103">
        <v>0</v>
      </c>
      <c r="F80" s="103">
        <v>0</v>
      </c>
      <c r="G80" s="103">
        <v>0</v>
      </c>
      <c r="H80" s="375">
        <v>0</v>
      </c>
      <c r="I80" s="375">
        <v>0</v>
      </c>
      <c r="J80" s="375">
        <v>0</v>
      </c>
      <c r="K80" s="375">
        <v>0</v>
      </c>
      <c r="L80" s="375">
        <v>0</v>
      </c>
      <c r="M80" s="375">
        <v>0</v>
      </c>
      <c r="N80" s="375">
        <v>0</v>
      </c>
      <c r="O80" s="348">
        <f t="shared" si="32"/>
        <v>0</v>
      </c>
    </row>
    <row r="81" spans="1:15" x14ac:dyDescent="0.3">
      <c r="A81" s="210" t="s">
        <v>278</v>
      </c>
      <c r="B81" s="210" t="s">
        <v>279</v>
      </c>
      <c r="C81" s="103">
        <v>0</v>
      </c>
      <c r="D81" s="103">
        <v>0</v>
      </c>
      <c r="E81" s="103">
        <v>0</v>
      </c>
      <c r="F81" s="103">
        <v>0</v>
      </c>
      <c r="G81" s="103">
        <v>0</v>
      </c>
      <c r="H81" s="375">
        <v>0</v>
      </c>
      <c r="I81" s="375">
        <v>0</v>
      </c>
      <c r="J81" s="375">
        <v>0</v>
      </c>
      <c r="K81" s="375">
        <v>0</v>
      </c>
      <c r="L81" s="375">
        <v>0</v>
      </c>
      <c r="M81" s="375">
        <v>0</v>
      </c>
      <c r="N81" s="375">
        <v>0</v>
      </c>
      <c r="O81" s="348">
        <f t="shared" si="32"/>
        <v>0</v>
      </c>
    </row>
    <row r="82" spans="1:15" x14ac:dyDescent="0.3">
      <c r="A82" s="210" t="s">
        <v>280</v>
      </c>
      <c r="B82" s="210" t="s">
        <v>281</v>
      </c>
      <c r="C82" s="103">
        <v>0</v>
      </c>
      <c r="D82" s="103">
        <v>0</v>
      </c>
      <c r="E82" s="103">
        <v>0</v>
      </c>
      <c r="F82" s="103">
        <v>0</v>
      </c>
      <c r="G82" s="103">
        <v>0</v>
      </c>
      <c r="H82" s="375">
        <v>0</v>
      </c>
      <c r="I82" s="375">
        <v>0</v>
      </c>
      <c r="J82" s="375">
        <v>0</v>
      </c>
      <c r="K82" s="375">
        <v>0</v>
      </c>
      <c r="L82" s="375">
        <v>0</v>
      </c>
      <c r="M82" s="375">
        <v>0</v>
      </c>
      <c r="N82" s="375">
        <v>0</v>
      </c>
      <c r="O82" s="348">
        <f t="shared" si="32"/>
        <v>0</v>
      </c>
    </row>
    <row r="83" spans="1:15" x14ac:dyDescent="0.3">
      <c r="A83" s="210" t="s">
        <v>282</v>
      </c>
      <c r="B83" s="210" t="s">
        <v>283</v>
      </c>
      <c r="C83" s="103">
        <v>0</v>
      </c>
      <c r="D83" s="103">
        <v>0</v>
      </c>
      <c r="E83" s="103">
        <v>0</v>
      </c>
      <c r="F83" s="103">
        <v>0</v>
      </c>
      <c r="G83" s="103">
        <v>0</v>
      </c>
      <c r="H83" s="375">
        <v>0</v>
      </c>
      <c r="I83" s="375">
        <v>0</v>
      </c>
      <c r="J83" s="375">
        <v>0</v>
      </c>
      <c r="K83" s="375">
        <v>0</v>
      </c>
      <c r="L83" s="375">
        <v>0</v>
      </c>
      <c r="M83" s="375">
        <v>0</v>
      </c>
      <c r="N83" s="375">
        <v>0</v>
      </c>
      <c r="O83" s="348">
        <f t="shared" si="32"/>
        <v>0</v>
      </c>
    </row>
    <row r="84" spans="1:15" x14ac:dyDescent="0.3">
      <c r="A84" s="210" t="s">
        <v>284</v>
      </c>
      <c r="B84" s="210" t="s">
        <v>285</v>
      </c>
      <c r="C84" s="103">
        <v>0</v>
      </c>
      <c r="D84" s="103">
        <v>0</v>
      </c>
      <c r="E84" s="103">
        <v>0</v>
      </c>
      <c r="F84" s="103">
        <v>0</v>
      </c>
      <c r="G84" s="103">
        <v>0</v>
      </c>
      <c r="H84" s="375">
        <v>0</v>
      </c>
      <c r="I84" s="375">
        <v>0</v>
      </c>
      <c r="J84" s="375">
        <v>0</v>
      </c>
      <c r="K84" s="375">
        <v>0</v>
      </c>
      <c r="L84" s="375">
        <v>0</v>
      </c>
      <c r="M84" s="375">
        <v>0</v>
      </c>
      <c r="N84" s="375">
        <v>0</v>
      </c>
      <c r="O84" s="348">
        <f t="shared" si="32"/>
        <v>0</v>
      </c>
    </row>
    <row r="85" spans="1:15" x14ac:dyDescent="0.3">
      <c r="A85" s="210" t="s">
        <v>286</v>
      </c>
      <c r="B85" s="210" t="s">
        <v>287</v>
      </c>
      <c r="C85" s="103">
        <v>1401.2</v>
      </c>
      <c r="D85" s="103">
        <v>0</v>
      </c>
      <c r="E85" s="103">
        <v>0</v>
      </c>
      <c r="F85" s="103">
        <v>0</v>
      </c>
      <c r="G85" s="103">
        <v>0</v>
      </c>
      <c r="H85" s="375">
        <v>0</v>
      </c>
      <c r="I85" s="375">
        <v>0</v>
      </c>
      <c r="J85" s="375">
        <v>0</v>
      </c>
      <c r="K85" s="375">
        <v>0</v>
      </c>
      <c r="L85" s="375">
        <v>0</v>
      </c>
      <c r="M85" s="375">
        <v>0</v>
      </c>
      <c r="N85" s="375">
        <v>0</v>
      </c>
      <c r="O85" s="348">
        <f t="shared" si="32"/>
        <v>1401.2</v>
      </c>
    </row>
    <row r="86" spans="1:15" x14ac:dyDescent="0.3">
      <c r="A86" s="210" t="s">
        <v>288</v>
      </c>
      <c r="B86" s="210" t="s">
        <v>289</v>
      </c>
      <c r="C86" s="103">
        <v>0</v>
      </c>
      <c r="D86" s="103">
        <v>0</v>
      </c>
      <c r="E86" s="103">
        <v>0</v>
      </c>
      <c r="F86" s="103">
        <v>0</v>
      </c>
      <c r="G86" s="103">
        <v>0</v>
      </c>
      <c r="H86" s="375">
        <v>0</v>
      </c>
      <c r="I86" s="375">
        <v>0</v>
      </c>
      <c r="J86" s="375">
        <v>0</v>
      </c>
      <c r="K86" s="375">
        <v>0</v>
      </c>
      <c r="L86" s="375">
        <v>0</v>
      </c>
      <c r="M86" s="375">
        <v>0</v>
      </c>
      <c r="N86" s="375">
        <v>0</v>
      </c>
      <c r="O86" s="348">
        <f t="shared" si="32"/>
        <v>0</v>
      </c>
    </row>
    <row r="87" spans="1:15" x14ac:dyDescent="0.3">
      <c r="A87" s="210" t="s">
        <v>290</v>
      </c>
      <c r="B87" s="210" t="s">
        <v>291</v>
      </c>
      <c r="C87" s="103">
        <v>285.23</v>
      </c>
      <c r="D87" s="103">
        <v>258.02999999999997</v>
      </c>
      <c r="E87" s="103">
        <v>405.06</v>
      </c>
      <c r="F87" s="103">
        <v>493.52</v>
      </c>
      <c r="G87" s="103">
        <v>482.75</v>
      </c>
      <c r="H87" s="375">
        <v>500</v>
      </c>
      <c r="I87" s="375">
        <v>500</v>
      </c>
      <c r="J87" s="375">
        <v>500</v>
      </c>
      <c r="K87" s="375">
        <v>500</v>
      </c>
      <c r="L87" s="375">
        <v>500</v>
      </c>
      <c r="M87" s="375">
        <v>500</v>
      </c>
      <c r="N87" s="375">
        <v>500</v>
      </c>
      <c r="O87" s="348">
        <f t="shared" si="32"/>
        <v>5424.59</v>
      </c>
    </row>
    <row r="88" spans="1:15" x14ac:dyDescent="0.3">
      <c r="A88" s="210" t="s">
        <v>292</v>
      </c>
      <c r="B88" s="210" t="s">
        <v>293</v>
      </c>
      <c r="C88" s="103">
        <v>0</v>
      </c>
      <c r="D88" s="103">
        <v>0</v>
      </c>
      <c r="E88" s="103">
        <v>0</v>
      </c>
      <c r="F88" s="103">
        <v>0</v>
      </c>
      <c r="G88" s="103">
        <v>0</v>
      </c>
      <c r="H88" s="375">
        <v>0</v>
      </c>
      <c r="I88" s="375">
        <v>0</v>
      </c>
      <c r="J88" s="375">
        <v>0</v>
      </c>
      <c r="K88" s="375">
        <v>0</v>
      </c>
      <c r="L88" s="375">
        <v>0</v>
      </c>
      <c r="M88" s="375">
        <v>0</v>
      </c>
      <c r="N88" s="375">
        <v>0</v>
      </c>
      <c r="O88" s="348">
        <f t="shared" si="32"/>
        <v>0</v>
      </c>
    </row>
    <row r="89" spans="1:15" x14ac:dyDescent="0.3">
      <c r="A89" s="210" t="s">
        <v>294</v>
      </c>
      <c r="B89" s="210" t="s">
        <v>295</v>
      </c>
      <c r="C89" s="103">
        <v>0</v>
      </c>
      <c r="D89" s="103">
        <v>0</v>
      </c>
      <c r="E89" s="103">
        <v>0</v>
      </c>
      <c r="F89" s="103">
        <v>0</v>
      </c>
      <c r="G89" s="103">
        <v>0</v>
      </c>
      <c r="H89" s="375">
        <v>0</v>
      </c>
      <c r="I89" s="375">
        <v>0</v>
      </c>
      <c r="J89" s="375">
        <v>0</v>
      </c>
      <c r="K89" s="375">
        <v>0</v>
      </c>
      <c r="L89" s="375">
        <v>0</v>
      </c>
      <c r="M89" s="375">
        <v>0</v>
      </c>
      <c r="N89" s="375">
        <v>0</v>
      </c>
      <c r="O89" s="348">
        <f t="shared" si="32"/>
        <v>0</v>
      </c>
    </row>
    <row r="90" spans="1:15" x14ac:dyDescent="0.3">
      <c r="A90" s="210" t="s">
        <v>296</v>
      </c>
      <c r="B90" s="210" t="s">
        <v>297</v>
      </c>
      <c r="C90" s="103">
        <v>0</v>
      </c>
      <c r="D90" s="103">
        <v>0</v>
      </c>
      <c r="E90" s="103">
        <v>0</v>
      </c>
      <c r="F90" s="103">
        <v>0</v>
      </c>
      <c r="G90" s="103">
        <v>0</v>
      </c>
      <c r="H90" s="375">
        <v>0</v>
      </c>
      <c r="I90" s="375">
        <v>0</v>
      </c>
      <c r="J90" s="375">
        <v>0</v>
      </c>
      <c r="K90" s="375">
        <v>0</v>
      </c>
      <c r="L90" s="375">
        <v>0</v>
      </c>
      <c r="M90" s="375">
        <v>0</v>
      </c>
      <c r="N90" s="375">
        <v>0</v>
      </c>
      <c r="O90" s="348">
        <f t="shared" si="32"/>
        <v>0</v>
      </c>
    </row>
    <row r="91" spans="1:15" x14ac:dyDescent="0.3">
      <c r="A91" s="210" t="s">
        <v>298</v>
      </c>
      <c r="B91" s="210" t="s">
        <v>299</v>
      </c>
      <c r="C91" s="103">
        <v>0</v>
      </c>
      <c r="D91" s="103">
        <v>0</v>
      </c>
      <c r="E91" s="103">
        <v>0</v>
      </c>
      <c r="F91" s="103">
        <v>0</v>
      </c>
      <c r="G91" s="103">
        <v>0</v>
      </c>
      <c r="H91" s="372">
        <v>0</v>
      </c>
      <c r="I91" s="372">
        <v>0</v>
      </c>
      <c r="J91" s="372">
        <v>0</v>
      </c>
      <c r="K91" s="372">
        <v>0</v>
      </c>
      <c r="L91" s="372">
        <v>0</v>
      </c>
      <c r="M91" s="372">
        <v>0</v>
      </c>
      <c r="N91" s="372">
        <v>0</v>
      </c>
      <c r="O91" s="348">
        <f t="shared" si="32"/>
        <v>0</v>
      </c>
    </row>
    <row r="92" spans="1:15" x14ac:dyDescent="0.3">
      <c r="A92" s="210" t="s">
        <v>300</v>
      </c>
      <c r="B92" s="210" t="s">
        <v>301</v>
      </c>
      <c r="C92" s="103">
        <v>0</v>
      </c>
      <c r="D92" s="103">
        <v>0</v>
      </c>
      <c r="E92" s="103">
        <v>0</v>
      </c>
      <c r="F92" s="103">
        <v>0</v>
      </c>
      <c r="G92" s="103">
        <v>0</v>
      </c>
      <c r="H92" s="375">
        <v>0</v>
      </c>
      <c r="I92" s="375">
        <v>0</v>
      </c>
      <c r="J92" s="375">
        <v>0</v>
      </c>
      <c r="K92" s="375">
        <v>0</v>
      </c>
      <c r="L92" s="375">
        <v>0</v>
      </c>
      <c r="M92" s="375">
        <v>0</v>
      </c>
      <c r="N92" s="375">
        <v>0</v>
      </c>
      <c r="O92" s="348">
        <f t="shared" si="32"/>
        <v>0</v>
      </c>
    </row>
    <row r="93" spans="1:15" x14ac:dyDescent="0.3">
      <c r="A93" s="210" t="s">
        <v>302</v>
      </c>
      <c r="B93" s="210" t="s">
        <v>303</v>
      </c>
      <c r="C93" s="103">
        <v>0</v>
      </c>
      <c r="D93" s="103">
        <v>0</v>
      </c>
      <c r="E93" s="103">
        <v>0</v>
      </c>
      <c r="F93" s="103">
        <v>0</v>
      </c>
      <c r="G93" s="103">
        <v>0</v>
      </c>
      <c r="H93" s="375">
        <v>0</v>
      </c>
      <c r="I93" s="375">
        <v>0</v>
      </c>
      <c r="J93" s="375">
        <v>0</v>
      </c>
      <c r="K93" s="375">
        <v>0</v>
      </c>
      <c r="L93" s="375">
        <v>0</v>
      </c>
      <c r="M93" s="375">
        <v>0</v>
      </c>
      <c r="N93" s="375">
        <v>0</v>
      </c>
      <c r="O93" s="348">
        <f t="shared" si="32"/>
        <v>0</v>
      </c>
    </row>
    <row r="94" spans="1:15" x14ac:dyDescent="0.3">
      <c r="A94" s="210" t="s">
        <v>304</v>
      </c>
      <c r="B94" s="210" t="s">
        <v>305</v>
      </c>
      <c r="C94" s="103">
        <v>0</v>
      </c>
      <c r="D94" s="103">
        <v>0</v>
      </c>
      <c r="E94" s="103">
        <v>0</v>
      </c>
      <c r="F94" s="103">
        <v>0</v>
      </c>
      <c r="G94" s="103">
        <v>0</v>
      </c>
      <c r="H94" s="375">
        <v>0</v>
      </c>
      <c r="I94" s="375">
        <v>0</v>
      </c>
      <c r="J94" s="375">
        <v>0</v>
      </c>
      <c r="K94" s="375">
        <v>0</v>
      </c>
      <c r="L94" s="375">
        <v>0</v>
      </c>
      <c r="M94" s="375">
        <v>0</v>
      </c>
      <c r="N94" s="375">
        <v>0</v>
      </c>
      <c r="O94" s="348">
        <f t="shared" si="32"/>
        <v>0</v>
      </c>
    </row>
    <row r="95" spans="1:15" x14ac:dyDescent="0.3">
      <c r="A95" s="210" t="s">
        <v>306</v>
      </c>
      <c r="B95" s="210" t="s">
        <v>307</v>
      </c>
      <c r="C95" s="103">
        <v>0</v>
      </c>
      <c r="D95" s="103">
        <v>0</v>
      </c>
      <c r="E95" s="103">
        <v>0</v>
      </c>
      <c r="F95" s="103">
        <v>0</v>
      </c>
      <c r="G95" s="103">
        <v>0</v>
      </c>
      <c r="H95" s="375">
        <v>0</v>
      </c>
      <c r="I95" s="375">
        <v>0</v>
      </c>
      <c r="J95" s="375">
        <v>0</v>
      </c>
      <c r="K95" s="375">
        <v>0</v>
      </c>
      <c r="L95" s="375">
        <v>0</v>
      </c>
      <c r="M95" s="375">
        <v>0</v>
      </c>
      <c r="N95" s="375">
        <v>0</v>
      </c>
      <c r="O95" s="348">
        <f t="shared" si="32"/>
        <v>0</v>
      </c>
    </row>
    <row r="96" spans="1:15" x14ac:dyDescent="0.3">
      <c r="A96" s="210" t="s">
        <v>308</v>
      </c>
      <c r="B96" s="210" t="s">
        <v>309</v>
      </c>
      <c r="C96" s="103">
        <v>0</v>
      </c>
      <c r="D96" s="103">
        <v>0</v>
      </c>
      <c r="E96" s="103">
        <v>0</v>
      </c>
      <c r="F96" s="103">
        <v>0</v>
      </c>
      <c r="G96" s="103">
        <v>0</v>
      </c>
      <c r="H96" s="375">
        <v>0</v>
      </c>
      <c r="I96" s="375">
        <v>0</v>
      </c>
      <c r="J96" s="375">
        <v>0</v>
      </c>
      <c r="K96" s="375">
        <v>0</v>
      </c>
      <c r="L96" s="375">
        <v>0</v>
      </c>
      <c r="M96" s="375">
        <v>0</v>
      </c>
      <c r="N96" s="375">
        <v>0</v>
      </c>
      <c r="O96" s="348">
        <f t="shared" si="32"/>
        <v>0</v>
      </c>
    </row>
    <row r="97" spans="1:16" x14ac:dyDescent="0.3">
      <c r="A97" s="210" t="s">
        <v>310</v>
      </c>
      <c r="B97" s="210" t="s">
        <v>311</v>
      </c>
      <c r="C97" s="103">
        <v>0</v>
      </c>
      <c r="D97" s="103">
        <v>0</v>
      </c>
      <c r="E97" s="103">
        <v>0</v>
      </c>
      <c r="F97" s="103">
        <v>0</v>
      </c>
      <c r="G97" s="103">
        <v>0</v>
      </c>
      <c r="H97" s="375">
        <v>0</v>
      </c>
      <c r="I97" s="375">
        <v>0</v>
      </c>
      <c r="J97" s="375">
        <v>0</v>
      </c>
      <c r="K97" s="375">
        <v>0</v>
      </c>
      <c r="L97" s="375">
        <v>0</v>
      </c>
      <c r="M97" s="375">
        <v>0</v>
      </c>
      <c r="N97" s="375">
        <v>0</v>
      </c>
      <c r="O97" s="348">
        <f t="shared" si="32"/>
        <v>0</v>
      </c>
    </row>
    <row r="98" spans="1:16" x14ac:dyDescent="0.3">
      <c r="A98" s="210" t="s">
        <v>312</v>
      </c>
      <c r="B98" s="210" t="s">
        <v>313</v>
      </c>
      <c r="C98" s="103">
        <v>0</v>
      </c>
      <c r="D98" s="103">
        <v>0</v>
      </c>
      <c r="E98" s="103">
        <v>0</v>
      </c>
      <c r="F98" s="103">
        <v>0</v>
      </c>
      <c r="G98" s="103">
        <v>0</v>
      </c>
      <c r="H98" s="375">
        <v>0</v>
      </c>
      <c r="I98" s="375">
        <v>0</v>
      </c>
      <c r="J98" s="375">
        <v>0</v>
      </c>
      <c r="K98" s="375">
        <v>0</v>
      </c>
      <c r="L98" s="375">
        <v>0</v>
      </c>
      <c r="M98" s="375">
        <v>0</v>
      </c>
      <c r="N98" s="375">
        <v>0</v>
      </c>
      <c r="O98" s="348">
        <f t="shared" si="32"/>
        <v>0</v>
      </c>
    </row>
    <row r="99" spans="1:16" x14ac:dyDescent="0.3">
      <c r="A99" s="210" t="s">
        <v>314</v>
      </c>
      <c r="B99" s="210" t="s">
        <v>315</v>
      </c>
      <c r="C99" s="103">
        <v>30908.98</v>
      </c>
      <c r="D99" s="103">
        <v>30908.98</v>
      </c>
      <c r="E99" s="103">
        <v>30908.98</v>
      </c>
      <c r="F99" s="103">
        <v>30908.98</v>
      </c>
      <c r="G99" s="103">
        <v>30908.98</v>
      </c>
      <c r="H99" s="372">
        <v>30908.98</v>
      </c>
      <c r="I99" s="372">
        <v>30908.98</v>
      </c>
      <c r="J99" s="372">
        <v>30908.98</v>
      </c>
      <c r="K99" s="372">
        <v>30908.98</v>
      </c>
      <c r="L99" s="372">
        <v>30908.98</v>
      </c>
      <c r="M99" s="372">
        <v>30908.98</v>
      </c>
      <c r="N99" s="372">
        <v>30908.98</v>
      </c>
      <c r="O99" s="348">
        <f t="shared" si="32"/>
        <v>370907.75999999995</v>
      </c>
    </row>
    <row r="100" spans="1:16" x14ac:dyDescent="0.3">
      <c r="A100" s="210" t="s">
        <v>316</v>
      </c>
      <c r="B100" s="210" t="s">
        <v>317</v>
      </c>
      <c r="C100" s="103">
        <v>0</v>
      </c>
      <c r="D100" s="103">
        <v>0</v>
      </c>
      <c r="E100" s="103">
        <v>0</v>
      </c>
      <c r="F100" s="103">
        <v>0</v>
      </c>
      <c r="G100" s="103">
        <v>0</v>
      </c>
      <c r="H100" s="375">
        <v>0</v>
      </c>
      <c r="I100" s="375">
        <v>0</v>
      </c>
      <c r="J100" s="375">
        <v>0</v>
      </c>
      <c r="K100" s="375">
        <v>0</v>
      </c>
      <c r="L100" s="375">
        <v>0</v>
      </c>
      <c r="M100" s="375">
        <v>0</v>
      </c>
      <c r="N100" s="375">
        <v>0</v>
      </c>
      <c r="O100" s="348">
        <f t="shared" si="32"/>
        <v>0</v>
      </c>
    </row>
    <row r="101" spans="1:16" x14ac:dyDescent="0.3">
      <c r="A101" s="210" t="s">
        <v>318</v>
      </c>
      <c r="B101" s="210" t="s">
        <v>319</v>
      </c>
      <c r="C101" s="103">
        <v>1819.3</v>
      </c>
      <c r="D101" s="103">
        <v>1819.3</v>
      </c>
      <c r="E101" s="103">
        <v>3638.6</v>
      </c>
      <c r="F101" s="103">
        <v>853.15</v>
      </c>
      <c r="G101" s="103">
        <v>1819.3</v>
      </c>
      <c r="H101" s="372">
        <v>1500</v>
      </c>
      <c r="I101" s="372">
        <v>1500</v>
      </c>
      <c r="J101" s="372">
        <v>1500</v>
      </c>
      <c r="K101" s="372">
        <v>1500</v>
      </c>
      <c r="L101" s="372">
        <v>1500</v>
      </c>
      <c r="M101" s="372">
        <v>1500</v>
      </c>
      <c r="N101" s="372">
        <v>1500</v>
      </c>
      <c r="O101" s="348">
        <f t="shared" si="32"/>
        <v>20449.650000000001</v>
      </c>
    </row>
    <row r="102" spans="1:16" x14ac:dyDescent="0.3">
      <c r="A102" s="210" t="s">
        <v>320</v>
      </c>
      <c r="B102" s="210" t="s">
        <v>321</v>
      </c>
      <c r="C102" s="103">
        <v>0</v>
      </c>
      <c r="D102" s="103">
        <v>0</v>
      </c>
      <c r="E102" s="103">
        <v>0</v>
      </c>
      <c r="F102" s="103">
        <v>0</v>
      </c>
      <c r="G102" s="103">
        <v>0</v>
      </c>
      <c r="H102" s="372">
        <v>0</v>
      </c>
      <c r="I102" s="372">
        <v>0</v>
      </c>
      <c r="J102" s="372">
        <v>0</v>
      </c>
      <c r="K102" s="372">
        <v>0</v>
      </c>
      <c r="L102" s="372">
        <v>0</v>
      </c>
      <c r="M102" s="372">
        <v>0</v>
      </c>
      <c r="N102" s="372">
        <v>0</v>
      </c>
      <c r="O102" s="348">
        <f t="shared" si="32"/>
        <v>0</v>
      </c>
    </row>
    <row r="103" spans="1:16" x14ac:dyDescent="0.3">
      <c r="A103" s="210" t="s">
        <v>322</v>
      </c>
      <c r="B103" s="210" t="s">
        <v>323</v>
      </c>
      <c r="C103" s="103">
        <v>0</v>
      </c>
      <c r="D103" s="103">
        <v>0</v>
      </c>
      <c r="E103" s="103">
        <v>0</v>
      </c>
      <c r="F103" s="103">
        <v>0</v>
      </c>
      <c r="G103" s="103">
        <v>0</v>
      </c>
      <c r="H103" s="372">
        <v>0</v>
      </c>
      <c r="I103" s="372">
        <v>0</v>
      </c>
      <c r="J103" s="372">
        <v>0</v>
      </c>
      <c r="K103" s="372">
        <v>0</v>
      </c>
      <c r="L103" s="372">
        <v>0</v>
      </c>
      <c r="M103" s="372">
        <v>0</v>
      </c>
      <c r="N103" s="372">
        <v>0</v>
      </c>
      <c r="O103" s="348">
        <f t="shared" si="32"/>
        <v>0</v>
      </c>
    </row>
    <row r="104" spans="1:16" x14ac:dyDescent="0.3">
      <c r="A104" s="210" t="s">
        <v>324</v>
      </c>
      <c r="B104" s="210" t="s">
        <v>325</v>
      </c>
      <c r="C104" s="103">
        <v>0</v>
      </c>
      <c r="D104" s="103">
        <v>0</v>
      </c>
      <c r="E104" s="103">
        <v>0</v>
      </c>
      <c r="F104" s="103">
        <v>0</v>
      </c>
      <c r="G104" s="103">
        <v>0</v>
      </c>
      <c r="H104" s="372">
        <v>0</v>
      </c>
      <c r="I104" s="372">
        <v>0</v>
      </c>
      <c r="J104" s="372">
        <v>0</v>
      </c>
      <c r="K104" s="372">
        <v>0</v>
      </c>
      <c r="L104" s="372">
        <v>0</v>
      </c>
      <c r="M104" s="372">
        <v>0</v>
      </c>
      <c r="N104" s="372">
        <v>0</v>
      </c>
      <c r="O104" s="348">
        <f t="shared" si="32"/>
        <v>0</v>
      </c>
    </row>
    <row r="105" spans="1:16" x14ac:dyDescent="0.3">
      <c r="A105" s="296" t="s">
        <v>326</v>
      </c>
      <c r="B105" s="296" t="s">
        <v>327</v>
      </c>
      <c r="C105" s="103">
        <v>795.6</v>
      </c>
      <c r="D105" s="103">
        <v>0</v>
      </c>
      <c r="E105" s="103">
        <v>0</v>
      </c>
      <c r="F105" s="103">
        <v>0</v>
      </c>
      <c r="G105" s="103">
        <v>0</v>
      </c>
      <c r="H105" s="372">
        <v>0</v>
      </c>
      <c r="I105" s="372">
        <v>0</v>
      </c>
      <c r="J105" s="372">
        <v>0</v>
      </c>
      <c r="K105" s="372">
        <v>0</v>
      </c>
      <c r="L105" s="372">
        <v>0</v>
      </c>
      <c r="M105" s="372">
        <v>0</v>
      </c>
      <c r="N105" s="372">
        <v>0</v>
      </c>
      <c r="O105" s="348">
        <f t="shared" si="32"/>
        <v>795.6</v>
      </c>
    </row>
    <row r="106" spans="1:16" x14ac:dyDescent="0.3">
      <c r="A106" s="296"/>
      <c r="B106" s="300" t="s">
        <v>382</v>
      </c>
      <c r="C106" s="103">
        <v>4281.2299999999996</v>
      </c>
      <c r="D106" s="103">
        <v>6516.24</v>
      </c>
      <c r="E106" s="103">
        <v>6466.12</v>
      </c>
      <c r="F106" s="103">
        <v>12882.68</v>
      </c>
      <c r="G106" s="103">
        <v>7139.88</v>
      </c>
      <c r="H106" s="511">
        <f>75*H111</f>
        <v>9075</v>
      </c>
      <c r="I106" s="511">
        <f t="shared" ref="I106:N106" si="34">75*I111</f>
        <v>12000</v>
      </c>
      <c r="J106" s="511">
        <f t="shared" si="34"/>
        <v>10875</v>
      </c>
      <c r="K106" s="511">
        <f t="shared" si="34"/>
        <v>9000</v>
      </c>
      <c r="L106" s="511">
        <f t="shared" si="34"/>
        <v>7875</v>
      </c>
      <c r="M106" s="511">
        <f t="shared" si="34"/>
        <v>7875</v>
      </c>
      <c r="N106" s="511">
        <f t="shared" si="34"/>
        <v>7875</v>
      </c>
      <c r="O106" s="348">
        <f t="shared" si="32"/>
        <v>101861.15</v>
      </c>
    </row>
    <row r="107" spans="1:16" x14ac:dyDescent="0.3">
      <c r="A107" s="293"/>
      <c r="B107" s="297" t="s">
        <v>328</v>
      </c>
      <c r="C107" s="339">
        <f>SUM(C55:C106)</f>
        <v>63224.010000000009</v>
      </c>
      <c r="D107" s="339">
        <f t="shared" ref="D107:F107" si="35">SUM(D55:D106)</f>
        <v>61438.49</v>
      </c>
      <c r="E107" s="339">
        <f t="shared" si="35"/>
        <v>73001.89</v>
      </c>
      <c r="F107" s="339">
        <f t="shared" si="35"/>
        <v>68382.92</v>
      </c>
      <c r="G107" s="339">
        <f>SUM(G55:G106)</f>
        <v>65437.750000000007</v>
      </c>
      <c r="H107" s="339">
        <f t="shared" ref="H107:N107" si="36">SUM(H55:H106)</f>
        <v>67322.98</v>
      </c>
      <c r="I107" s="339">
        <f t="shared" si="36"/>
        <v>70247.98</v>
      </c>
      <c r="J107" s="339">
        <f t="shared" si="36"/>
        <v>69122.98</v>
      </c>
      <c r="K107" s="339">
        <f t="shared" si="36"/>
        <v>67247.98</v>
      </c>
      <c r="L107" s="339">
        <f t="shared" si="36"/>
        <v>66122.98</v>
      </c>
      <c r="M107" s="339">
        <f t="shared" si="36"/>
        <v>66122.98</v>
      </c>
      <c r="N107" s="339">
        <f t="shared" si="36"/>
        <v>66122.98</v>
      </c>
      <c r="O107" s="350">
        <f>SUM(O55:O106)</f>
        <v>803795.92</v>
      </c>
      <c r="P107" s="344">
        <f>SUM(C107:N107)</f>
        <v>803795.91999999993</v>
      </c>
    </row>
    <row r="108" spans="1:16" x14ac:dyDescent="0.3">
      <c r="A108" s="295"/>
      <c r="B108" s="295"/>
      <c r="C108" s="304"/>
      <c r="D108" s="304"/>
      <c r="E108" s="304"/>
      <c r="F108" s="304"/>
      <c r="G108" s="304"/>
      <c r="H108" s="304"/>
      <c r="I108" s="302"/>
      <c r="J108" s="302"/>
      <c r="K108" s="304"/>
      <c r="L108" s="304"/>
      <c r="M108" s="304"/>
      <c r="N108" s="304"/>
      <c r="O108" s="351"/>
    </row>
    <row r="109" spans="1:16" s="165" customFormat="1" ht="15" thickBot="1" x14ac:dyDescent="0.35">
      <c r="A109" s="306" t="s">
        <v>0</v>
      </c>
      <c r="B109" s="306" t="s">
        <v>329</v>
      </c>
      <c r="C109" s="306">
        <f>C25-(C54+C107)</f>
        <v>6907.0299999999697</v>
      </c>
      <c r="D109" s="306">
        <f t="shared" ref="D109:N109" si="37">D25-(D54+D107)</f>
        <v>8926.140000000014</v>
      </c>
      <c r="E109" s="306">
        <f t="shared" si="37"/>
        <v>-9047.8699999999953</v>
      </c>
      <c r="F109" s="306">
        <f t="shared" si="37"/>
        <v>-8660.5199999999895</v>
      </c>
      <c r="G109" s="306">
        <f t="shared" si="37"/>
        <v>7988.5800000000163</v>
      </c>
      <c r="H109" s="306">
        <f t="shared" si="37"/>
        <v>14425.904149524955</v>
      </c>
      <c r="I109" s="306">
        <f t="shared" si="37"/>
        <v>36501.56928862803</v>
      </c>
      <c r="J109" s="306">
        <f t="shared" si="37"/>
        <v>27703.236542819155</v>
      </c>
      <c r="K109" s="306">
        <f t="shared" si="37"/>
        <v>14372.681966470991</v>
      </c>
      <c r="L109" s="306">
        <f t="shared" si="37"/>
        <v>5574.3492206621449</v>
      </c>
      <c r="M109" s="306">
        <f t="shared" si="37"/>
        <v>6074.3492206621449</v>
      </c>
      <c r="N109" s="306">
        <f t="shared" si="37"/>
        <v>5574.3492206621449</v>
      </c>
      <c r="O109" s="353">
        <f>SUM(C109:N109)</f>
        <v>116339.79960942958</v>
      </c>
      <c r="P109" s="165" t="s">
        <v>0</v>
      </c>
    </row>
    <row r="110" spans="1:16" ht="15.6" thickTop="1" thickBot="1" x14ac:dyDescent="0.35">
      <c r="C110" s="307"/>
      <c r="D110" s="307"/>
      <c r="E110" s="307"/>
      <c r="F110" s="307"/>
      <c r="G110" s="307"/>
      <c r="H110" s="307"/>
      <c r="K110" s="307"/>
      <c r="L110" s="307"/>
      <c r="M110" s="307"/>
      <c r="N110" s="307"/>
    </row>
    <row r="111" spans="1:16" s="166" customFormat="1" ht="15" thickBot="1" x14ac:dyDescent="0.35">
      <c r="A111" s="167"/>
      <c r="B111" s="167" t="s">
        <v>330</v>
      </c>
      <c r="C111" s="308">
        <v>92.45</v>
      </c>
      <c r="D111" s="308">
        <v>94.92</v>
      </c>
      <c r="E111" s="308">
        <v>96.92</v>
      </c>
      <c r="F111" s="308">
        <v>100.08</v>
      </c>
      <c r="G111" s="308">
        <v>107.58</v>
      </c>
      <c r="H111" s="308">
        <v>121</v>
      </c>
      <c r="I111" s="308">
        <v>160</v>
      </c>
      <c r="J111" s="308">
        <v>145</v>
      </c>
      <c r="K111" s="308">
        <v>120</v>
      </c>
      <c r="L111" s="308">
        <v>105</v>
      </c>
      <c r="M111" s="308">
        <v>105</v>
      </c>
      <c r="N111" s="308">
        <v>105</v>
      </c>
      <c r="O111" s="354">
        <f>SUM(C111:N111)/12</f>
        <v>112.74583333333334</v>
      </c>
      <c r="P111" s="341">
        <f>SUM(C111:O111)/12</f>
        <v>122.14131944444445</v>
      </c>
    </row>
    <row r="112" spans="1:16" x14ac:dyDescent="0.3">
      <c r="O112" s="221" t="s">
        <v>0</v>
      </c>
    </row>
    <row r="113" spans="1:15" x14ac:dyDescent="0.3">
      <c r="A113" s="196" t="s">
        <v>335</v>
      </c>
      <c r="B113" s="197" t="s">
        <v>335</v>
      </c>
      <c r="C113" s="355">
        <f>C8/C111</f>
        <v>1352.72990805841</v>
      </c>
      <c r="D113" s="355">
        <f t="shared" ref="D113:O113" si="38">D8/D111</f>
        <v>1264.1818373367046</v>
      </c>
      <c r="E113" s="355">
        <f t="shared" si="38"/>
        <v>1234.0925505571606</v>
      </c>
      <c r="F113" s="355">
        <f t="shared" si="38"/>
        <v>1242.5437649880096</v>
      </c>
      <c r="G113" s="355">
        <f t="shared" si="38"/>
        <v>1237.1355270496376</v>
      </c>
      <c r="H113" s="355">
        <f t="shared" si="38"/>
        <v>1224.6300000000001</v>
      </c>
      <c r="I113" s="355">
        <f t="shared" si="38"/>
        <v>1224.6300000000001</v>
      </c>
      <c r="J113" s="355">
        <f t="shared" si="38"/>
        <v>1224.6300000000001</v>
      </c>
      <c r="K113" s="355">
        <f t="shared" si="38"/>
        <v>1224.6300000000001</v>
      </c>
      <c r="L113" s="355">
        <f t="shared" si="38"/>
        <v>1224.6300000000001</v>
      </c>
      <c r="M113" s="355">
        <f t="shared" si="38"/>
        <v>1224.6300000000001</v>
      </c>
      <c r="N113" s="355">
        <f t="shared" si="38"/>
        <v>1224.6300000000001</v>
      </c>
      <c r="O113" s="355">
        <f t="shared" si="38"/>
        <v>14869.866765216748</v>
      </c>
    </row>
    <row r="114" spans="1:15" x14ac:dyDescent="0.3">
      <c r="A114" s="196" t="s">
        <v>337</v>
      </c>
      <c r="B114" s="197" t="s">
        <v>337</v>
      </c>
      <c r="C114" s="355">
        <f>C54/C111</f>
        <v>767.04315846403472</v>
      </c>
      <c r="D114" s="355">
        <f t="shared" ref="D114:N114" si="39">D54/D111</f>
        <v>732.09028655710085</v>
      </c>
      <c r="E114" s="355">
        <f t="shared" si="39"/>
        <v>870.62432934378876</v>
      </c>
      <c r="F114" s="355">
        <f t="shared" si="39"/>
        <v>732.19524380495591</v>
      </c>
      <c r="G114" s="355">
        <f t="shared" si="39"/>
        <v>713.64714630972298</v>
      </c>
      <c r="H114" s="355">
        <f t="shared" si="39"/>
        <v>733.01938719400891</v>
      </c>
      <c r="I114" s="355">
        <f t="shared" si="39"/>
        <v>728.28281694607483</v>
      </c>
      <c r="J114" s="355">
        <f t="shared" si="39"/>
        <v>731.92505832538529</v>
      </c>
      <c r="K114" s="355">
        <f t="shared" si="39"/>
        <v>728.90781694607506</v>
      </c>
      <c r="L114" s="355">
        <f t="shared" si="39"/>
        <v>734.02686456512254</v>
      </c>
      <c r="M114" s="355">
        <f t="shared" si="39"/>
        <v>729.26495980321783</v>
      </c>
      <c r="N114" s="355">
        <f t="shared" si="39"/>
        <v>734.02686456512254</v>
      </c>
      <c r="O114" s="355">
        <f>O54/O111</f>
        <v>8908.2977232616449</v>
      </c>
    </row>
    <row r="115" spans="1:15" x14ac:dyDescent="0.3">
      <c r="I115" s="356"/>
      <c r="J115" s="356"/>
      <c r="O115" s="356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E413-FC4A-464A-B54A-CE32C4D64890}">
  <sheetPr>
    <tabColor rgb="FF00B050"/>
  </sheetPr>
  <dimension ref="A1:AH120"/>
  <sheetViews>
    <sheetView zoomScale="76" zoomScaleNormal="76" workbookViewId="0">
      <selection activeCell="O17" sqref="O17"/>
    </sheetView>
  </sheetViews>
  <sheetFormatPr defaultRowHeight="14.4" x14ac:dyDescent="0.3"/>
  <cols>
    <col min="1" max="1" width="11.88671875" style="203" customWidth="1"/>
    <col min="2" max="2" width="34.6640625" style="203" customWidth="1"/>
    <col min="3" max="15" width="10.77734375" style="220" customWidth="1"/>
    <col min="16" max="16" width="19.77734375" style="204" customWidth="1"/>
    <col min="17" max="256" width="8.88671875" style="204"/>
    <col min="257" max="257" width="16.6640625" style="204" customWidth="1"/>
    <col min="258" max="258" width="39.88671875" style="204" customWidth="1"/>
    <col min="259" max="271" width="15.6640625" style="204" customWidth="1"/>
    <col min="272" max="512" width="8.88671875" style="204"/>
    <col min="513" max="513" width="16.6640625" style="204" customWidth="1"/>
    <col min="514" max="514" width="39.88671875" style="204" customWidth="1"/>
    <col min="515" max="527" width="15.6640625" style="204" customWidth="1"/>
    <col min="528" max="768" width="8.88671875" style="204"/>
    <col min="769" max="769" width="16.6640625" style="204" customWidth="1"/>
    <col min="770" max="770" width="39.88671875" style="204" customWidth="1"/>
    <col min="771" max="783" width="15.6640625" style="204" customWidth="1"/>
    <col min="784" max="1024" width="8.88671875" style="204"/>
    <col min="1025" max="1025" width="16.6640625" style="204" customWidth="1"/>
    <col min="1026" max="1026" width="39.88671875" style="204" customWidth="1"/>
    <col min="1027" max="1039" width="15.6640625" style="204" customWidth="1"/>
    <col min="1040" max="1280" width="8.88671875" style="204"/>
    <col min="1281" max="1281" width="16.6640625" style="204" customWidth="1"/>
    <col min="1282" max="1282" width="39.88671875" style="204" customWidth="1"/>
    <col min="1283" max="1295" width="15.6640625" style="204" customWidth="1"/>
    <col min="1296" max="1536" width="8.88671875" style="204"/>
    <col min="1537" max="1537" width="16.6640625" style="204" customWidth="1"/>
    <col min="1538" max="1538" width="39.88671875" style="204" customWidth="1"/>
    <col min="1539" max="1551" width="15.6640625" style="204" customWidth="1"/>
    <col min="1552" max="1792" width="8.88671875" style="204"/>
    <col min="1793" max="1793" width="16.6640625" style="204" customWidth="1"/>
    <col min="1794" max="1794" width="39.88671875" style="204" customWidth="1"/>
    <col min="1795" max="1807" width="15.6640625" style="204" customWidth="1"/>
    <col min="1808" max="2048" width="8.88671875" style="204"/>
    <col min="2049" max="2049" width="16.6640625" style="204" customWidth="1"/>
    <col min="2050" max="2050" width="39.88671875" style="204" customWidth="1"/>
    <col min="2051" max="2063" width="15.6640625" style="204" customWidth="1"/>
    <col min="2064" max="2304" width="8.88671875" style="204"/>
    <col min="2305" max="2305" width="16.6640625" style="204" customWidth="1"/>
    <col min="2306" max="2306" width="39.88671875" style="204" customWidth="1"/>
    <col min="2307" max="2319" width="15.6640625" style="204" customWidth="1"/>
    <col min="2320" max="2560" width="8.88671875" style="204"/>
    <col min="2561" max="2561" width="16.6640625" style="204" customWidth="1"/>
    <col min="2562" max="2562" width="39.88671875" style="204" customWidth="1"/>
    <col min="2563" max="2575" width="15.6640625" style="204" customWidth="1"/>
    <col min="2576" max="2816" width="8.88671875" style="204"/>
    <col min="2817" max="2817" width="16.6640625" style="204" customWidth="1"/>
    <col min="2818" max="2818" width="39.88671875" style="204" customWidth="1"/>
    <col min="2819" max="2831" width="15.6640625" style="204" customWidth="1"/>
    <col min="2832" max="3072" width="8.88671875" style="204"/>
    <col min="3073" max="3073" width="16.6640625" style="204" customWidth="1"/>
    <col min="3074" max="3074" width="39.88671875" style="204" customWidth="1"/>
    <col min="3075" max="3087" width="15.6640625" style="204" customWidth="1"/>
    <col min="3088" max="3328" width="8.88671875" style="204"/>
    <col min="3329" max="3329" width="16.6640625" style="204" customWidth="1"/>
    <col min="3330" max="3330" width="39.88671875" style="204" customWidth="1"/>
    <col min="3331" max="3343" width="15.6640625" style="204" customWidth="1"/>
    <col min="3344" max="3584" width="8.88671875" style="204"/>
    <col min="3585" max="3585" width="16.6640625" style="204" customWidth="1"/>
    <col min="3586" max="3586" width="39.88671875" style="204" customWidth="1"/>
    <col min="3587" max="3599" width="15.6640625" style="204" customWidth="1"/>
    <col min="3600" max="3840" width="8.88671875" style="204"/>
    <col min="3841" max="3841" width="16.6640625" style="204" customWidth="1"/>
    <col min="3842" max="3842" width="39.88671875" style="204" customWidth="1"/>
    <col min="3843" max="3855" width="15.6640625" style="204" customWidth="1"/>
    <col min="3856" max="4096" width="8.88671875" style="204"/>
    <col min="4097" max="4097" width="16.6640625" style="204" customWidth="1"/>
    <col min="4098" max="4098" width="39.88671875" style="204" customWidth="1"/>
    <col min="4099" max="4111" width="15.6640625" style="204" customWidth="1"/>
    <col min="4112" max="4352" width="8.88671875" style="204"/>
    <col min="4353" max="4353" width="16.6640625" style="204" customWidth="1"/>
    <col min="4354" max="4354" width="39.88671875" style="204" customWidth="1"/>
    <col min="4355" max="4367" width="15.6640625" style="204" customWidth="1"/>
    <col min="4368" max="4608" width="8.88671875" style="204"/>
    <col min="4609" max="4609" width="16.6640625" style="204" customWidth="1"/>
    <col min="4610" max="4610" width="39.88671875" style="204" customWidth="1"/>
    <col min="4611" max="4623" width="15.6640625" style="204" customWidth="1"/>
    <col min="4624" max="4864" width="8.88671875" style="204"/>
    <col min="4865" max="4865" width="16.6640625" style="204" customWidth="1"/>
    <col min="4866" max="4866" width="39.88671875" style="204" customWidth="1"/>
    <col min="4867" max="4879" width="15.6640625" style="204" customWidth="1"/>
    <col min="4880" max="5120" width="8.88671875" style="204"/>
    <col min="5121" max="5121" width="16.6640625" style="204" customWidth="1"/>
    <col min="5122" max="5122" width="39.88671875" style="204" customWidth="1"/>
    <col min="5123" max="5135" width="15.6640625" style="204" customWidth="1"/>
    <col min="5136" max="5376" width="8.88671875" style="204"/>
    <col min="5377" max="5377" width="16.6640625" style="204" customWidth="1"/>
    <col min="5378" max="5378" width="39.88671875" style="204" customWidth="1"/>
    <col min="5379" max="5391" width="15.6640625" style="204" customWidth="1"/>
    <col min="5392" max="5632" width="8.88671875" style="204"/>
    <col min="5633" max="5633" width="16.6640625" style="204" customWidth="1"/>
    <col min="5634" max="5634" width="39.88671875" style="204" customWidth="1"/>
    <col min="5635" max="5647" width="15.6640625" style="204" customWidth="1"/>
    <col min="5648" max="5888" width="8.88671875" style="204"/>
    <col min="5889" max="5889" width="16.6640625" style="204" customWidth="1"/>
    <col min="5890" max="5890" width="39.88671875" style="204" customWidth="1"/>
    <col min="5891" max="5903" width="15.6640625" style="204" customWidth="1"/>
    <col min="5904" max="6144" width="8.88671875" style="204"/>
    <col min="6145" max="6145" width="16.6640625" style="204" customWidth="1"/>
    <col min="6146" max="6146" width="39.88671875" style="204" customWidth="1"/>
    <col min="6147" max="6159" width="15.6640625" style="204" customWidth="1"/>
    <col min="6160" max="6400" width="8.88671875" style="204"/>
    <col min="6401" max="6401" width="16.6640625" style="204" customWidth="1"/>
    <col min="6402" max="6402" width="39.88671875" style="204" customWidth="1"/>
    <col min="6403" max="6415" width="15.6640625" style="204" customWidth="1"/>
    <col min="6416" max="6656" width="8.88671875" style="204"/>
    <col min="6657" max="6657" width="16.6640625" style="204" customWidth="1"/>
    <col min="6658" max="6658" width="39.88671875" style="204" customWidth="1"/>
    <col min="6659" max="6671" width="15.6640625" style="204" customWidth="1"/>
    <col min="6672" max="6912" width="8.88671875" style="204"/>
    <col min="6913" max="6913" width="16.6640625" style="204" customWidth="1"/>
    <col min="6914" max="6914" width="39.88671875" style="204" customWidth="1"/>
    <col min="6915" max="6927" width="15.6640625" style="204" customWidth="1"/>
    <col min="6928" max="7168" width="8.88671875" style="204"/>
    <col min="7169" max="7169" width="16.6640625" style="204" customWidth="1"/>
    <col min="7170" max="7170" width="39.88671875" style="204" customWidth="1"/>
    <col min="7171" max="7183" width="15.6640625" style="204" customWidth="1"/>
    <col min="7184" max="7424" width="8.88671875" style="204"/>
    <col min="7425" max="7425" width="16.6640625" style="204" customWidth="1"/>
    <col min="7426" max="7426" width="39.88671875" style="204" customWidth="1"/>
    <col min="7427" max="7439" width="15.6640625" style="204" customWidth="1"/>
    <col min="7440" max="7680" width="8.88671875" style="204"/>
    <col min="7681" max="7681" width="16.6640625" style="204" customWidth="1"/>
    <col min="7682" max="7682" width="39.88671875" style="204" customWidth="1"/>
    <col min="7683" max="7695" width="15.6640625" style="204" customWidth="1"/>
    <col min="7696" max="7936" width="8.88671875" style="204"/>
    <col min="7937" max="7937" width="16.6640625" style="204" customWidth="1"/>
    <col min="7938" max="7938" width="39.88671875" style="204" customWidth="1"/>
    <col min="7939" max="7951" width="15.6640625" style="204" customWidth="1"/>
    <col min="7952" max="8192" width="8.88671875" style="204"/>
    <col min="8193" max="8193" width="16.6640625" style="204" customWidth="1"/>
    <col min="8194" max="8194" width="39.88671875" style="204" customWidth="1"/>
    <col min="8195" max="8207" width="15.6640625" style="204" customWidth="1"/>
    <col min="8208" max="8448" width="8.88671875" style="204"/>
    <col min="8449" max="8449" width="16.6640625" style="204" customWidth="1"/>
    <col min="8450" max="8450" width="39.88671875" style="204" customWidth="1"/>
    <col min="8451" max="8463" width="15.6640625" style="204" customWidth="1"/>
    <col min="8464" max="8704" width="8.88671875" style="204"/>
    <col min="8705" max="8705" width="16.6640625" style="204" customWidth="1"/>
    <col min="8706" max="8706" width="39.88671875" style="204" customWidth="1"/>
    <col min="8707" max="8719" width="15.6640625" style="204" customWidth="1"/>
    <col min="8720" max="8960" width="8.88671875" style="204"/>
    <col min="8961" max="8961" width="16.6640625" style="204" customWidth="1"/>
    <col min="8962" max="8962" width="39.88671875" style="204" customWidth="1"/>
    <col min="8963" max="8975" width="15.6640625" style="204" customWidth="1"/>
    <col min="8976" max="9216" width="8.88671875" style="204"/>
    <col min="9217" max="9217" width="16.6640625" style="204" customWidth="1"/>
    <col min="9218" max="9218" width="39.88671875" style="204" customWidth="1"/>
    <col min="9219" max="9231" width="15.6640625" style="204" customWidth="1"/>
    <col min="9232" max="9472" width="8.88671875" style="204"/>
    <col min="9473" max="9473" width="16.6640625" style="204" customWidth="1"/>
    <col min="9474" max="9474" width="39.88671875" style="204" customWidth="1"/>
    <col min="9475" max="9487" width="15.6640625" style="204" customWidth="1"/>
    <col min="9488" max="9728" width="8.88671875" style="204"/>
    <col min="9729" max="9729" width="16.6640625" style="204" customWidth="1"/>
    <col min="9730" max="9730" width="39.88671875" style="204" customWidth="1"/>
    <col min="9731" max="9743" width="15.6640625" style="204" customWidth="1"/>
    <col min="9744" max="9984" width="8.88671875" style="204"/>
    <col min="9985" max="9985" width="16.6640625" style="204" customWidth="1"/>
    <col min="9986" max="9986" width="39.88671875" style="204" customWidth="1"/>
    <col min="9987" max="9999" width="15.6640625" style="204" customWidth="1"/>
    <col min="10000" max="10240" width="8.88671875" style="204"/>
    <col min="10241" max="10241" width="16.6640625" style="204" customWidth="1"/>
    <col min="10242" max="10242" width="39.88671875" style="204" customWidth="1"/>
    <col min="10243" max="10255" width="15.6640625" style="204" customWidth="1"/>
    <col min="10256" max="10496" width="8.88671875" style="204"/>
    <col min="10497" max="10497" width="16.6640625" style="204" customWidth="1"/>
    <col min="10498" max="10498" width="39.88671875" style="204" customWidth="1"/>
    <col min="10499" max="10511" width="15.6640625" style="204" customWidth="1"/>
    <col min="10512" max="10752" width="8.88671875" style="204"/>
    <col min="10753" max="10753" width="16.6640625" style="204" customWidth="1"/>
    <col min="10754" max="10754" width="39.88671875" style="204" customWidth="1"/>
    <col min="10755" max="10767" width="15.6640625" style="204" customWidth="1"/>
    <col min="10768" max="11008" width="8.88671875" style="204"/>
    <col min="11009" max="11009" width="16.6640625" style="204" customWidth="1"/>
    <col min="11010" max="11010" width="39.88671875" style="204" customWidth="1"/>
    <col min="11011" max="11023" width="15.6640625" style="204" customWidth="1"/>
    <col min="11024" max="11264" width="8.88671875" style="204"/>
    <col min="11265" max="11265" width="16.6640625" style="204" customWidth="1"/>
    <col min="11266" max="11266" width="39.88671875" style="204" customWidth="1"/>
    <col min="11267" max="11279" width="15.6640625" style="204" customWidth="1"/>
    <col min="11280" max="11520" width="8.88671875" style="204"/>
    <col min="11521" max="11521" width="16.6640625" style="204" customWidth="1"/>
    <col min="11522" max="11522" width="39.88671875" style="204" customWidth="1"/>
    <col min="11523" max="11535" width="15.6640625" style="204" customWidth="1"/>
    <col min="11536" max="11776" width="8.88671875" style="204"/>
    <col min="11777" max="11777" width="16.6640625" style="204" customWidth="1"/>
    <col min="11778" max="11778" width="39.88671875" style="204" customWidth="1"/>
    <col min="11779" max="11791" width="15.6640625" style="204" customWidth="1"/>
    <col min="11792" max="12032" width="8.88671875" style="204"/>
    <col min="12033" max="12033" width="16.6640625" style="204" customWidth="1"/>
    <col min="12034" max="12034" width="39.88671875" style="204" customWidth="1"/>
    <col min="12035" max="12047" width="15.6640625" style="204" customWidth="1"/>
    <col min="12048" max="12288" width="8.88671875" style="204"/>
    <col min="12289" max="12289" width="16.6640625" style="204" customWidth="1"/>
    <col min="12290" max="12290" width="39.88671875" style="204" customWidth="1"/>
    <col min="12291" max="12303" width="15.6640625" style="204" customWidth="1"/>
    <col min="12304" max="12544" width="8.88671875" style="204"/>
    <col min="12545" max="12545" width="16.6640625" style="204" customWidth="1"/>
    <col min="12546" max="12546" width="39.88671875" style="204" customWidth="1"/>
    <col min="12547" max="12559" width="15.6640625" style="204" customWidth="1"/>
    <col min="12560" max="12800" width="8.88671875" style="204"/>
    <col min="12801" max="12801" width="16.6640625" style="204" customWidth="1"/>
    <col min="12802" max="12802" width="39.88671875" style="204" customWidth="1"/>
    <col min="12803" max="12815" width="15.6640625" style="204" customWidth="1"/>
    <col min="12816" max="13056" width="8.88671875" style="204"/>
    <col min="13057" max="13057" width="16.6640625" style="204" customWidth="1"/>
    <col min="13058" max="13058" width="39.88671875" style="204" customWidth="1"/>
    <col min="13059" max="13071" width="15.6640625" style="204" customWidth="1"/>
    <col min="13072" max="13312" width="8.88671875" style="204"/>
    <col min="13313" max="13313" width="16.6640625" style="204" customWidth="1"/>
    <col min="13314" max="13314" width="39.88671875" style="204" customWidth="1"/>
    <col min="13315" max="13327" width="15.6640625" style="204" customWidth="1"/>
    <col min="13328" max="13568" width="8.88671875" style="204"/>
    <col min="13569" max="13569" width="16.6640625" style="204" customWidth="1"/>
    <col min="13570" max="13570" width="39.88671875" style="204" customWidth="1"/>
    <col min="13571" max="13583" width="15.6640625" style="204" customWidth="1"/>
    <col min="13584" max="13824" width="8.88671875" style="204"/>
    <col min="13825" max="13825" width="16.6640625" style="204" customWidth="1"/>
    <col min="13826" max="13826" width="39.88671875" style="204" customWidth="1"/>
    <col min="13827" max="13839" width="15.6640625" style="204" customWidth="1"/>
    <col min="13840" max="14080" width="8.88671875" style="204"/>
    <col min="14081" max="14081" width="16.6640625" style="204" customWidth="1"/>
    <col min="14082" max="14082" width="39.88671875" style="204" customWidth="1"/>
    <col min="14083" max="14095" width="15.6640625" style="204" customWidth="1"/>
    <col min="14096" max="14336" width="8.88671875" style="204"/>
    <col min="14337" max="14337" width="16.6640625" style="204" customWidth="1"/>
    <col min="14338" max="14338" width="39.88671875" style="204" customWidth="1"/>
    <col min="14339" max="14351" width="15.6640625" style="204" customWidth="1"/>
    <col min="14352" max="14592" width="8.88671875" style="204"/>
    <col min="14593" max="14593" width="16.6640625" style="204" customWidth="1"/>
    <col min="14594" max="14594" width="39.88671875" style="204" customWidth="1"/>
    <col min="14595" max="14607" width="15.6640625" style="204" customWidth="1"/>
    <col min="14608" max="14848" width="8.88671875" style="204"/>
    <col min="14849" max="14849" width="16.6640625" style="204" customWidth="1"/>
    <col min="14850" max="14850" width="39.88671875" style="204" customWidth="1"/>
    <col min="14851" max="14863" width="15.6640625" style="204" customWidth="1"/>
    <col min="14864" max="15104" width="8.88671875" style="204"/>
    <col min="15105" max="15105" width="16.6640625" style="204" customWidth="1"/>
    <col min="15106" max="15106" width="39.88671875" style="204" customWidth="1"/>
    <col min="15107" max="15119" width="15.6640625" style="204" customWidth="1"/>
    <col min="15120" max="15360" width="8.88671875" style="204"/>
    <col min="15361" max="15361" width="16.6640625" style="204" customWidth="1"/>
    <col min="15362" max="15362" width="39.88671875" style="204" customWidth="1"/>
    <col min="15363" max="15375" width="15.6640625" style="204" customWidth="1"/>
    <col min="15376" max="15616" width="8.88671875" style="204"/>
    <col min="15617" max="15617" width="16.6640625" style="204" customWidth="1"/>
    <col min="15618" max="15618" width="39.88671875" style="204" customWidth="1"/>
    <col min="15619" max="15631" width="15.6640625" style="204" customWidth="1"/>
    <col min="15632" max="15872" width="8.88671875" style="204"/>
    <col min="15873" max="15873" width="16.6640625" style="204" customWidth="1"/>
    <col min="15874" max="15874" width="39.88671875" style="204" customWidth="1"/>
    <col min="15875" max="15887" width="15.6640625" style="204" customWidth="1"/>
    <col min="15888" max="16128" width="8.88671875" style="204"/>
    <col min="16129" max="16129" width="16.6640625" style="204" customWidth="1"/>
    <col min="16130" max="16130" width="39.88671875" style="204" customWidth="1"/>
    <col min="16131" max="16143" width="15.6640625" style="204" customWidth="1"/>
    <col min="16144" max="16384" width="8.88671875" style="204"/>
  </cols>
  <sheetData>
    <row r="1" spans="1:34" ht="16.8" customHeight="1" x14ac:dyDescent="0.3">
      <c r="C1" s="201" t="s">
        <v>123</v>
      </c>
      <c r="D1" s="201" t="s">
        <v>124</v>
      </c>
      <c r="E1" s="201" t="s">
        <v>125</v>
      </c>
      <c r="F1" s="201" t="s">
        <v>126</v>
      </c>
      <c r="G1" s="201" t="s">
        <v>127</v>
      </c>
      <c r="H1" s="371" t="s">
        <v>128</v>
      </c>
      <c r="I1" s="371" t="s">
        <v>129</v>
      </c>
      <c r="J1" s="371" t="s">
        <v>130</v>
      </c>
      <c r="K1" s="371" t="s">
        <v>131</v>
      </c>
      <c r="L1" s="371" t="s">
        <v>132</v>
      </c>
      <c r="M1" s="371" t="s">
        <v>133</v>
      </c>
      <c r="N1" s="371" t="s">
        <v>134</v>
      </c>
      <c r="O1" s="237" t="s">
        <v>10</v>
      </c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</row>
    <row r="2" spans="1:34" x14ac:dyDescent="0.3">
      <c r="A2" s="97" t="s">
        <v>135</v>
      </c>
      <c r="B2" s="97" t="s">
        <v>136</v>
      </c>
      <c r="C2" s="202">
        <v>0</v>
      </c>
      <c r="D2" s="202">
        <v>0</v>
      </c>
      <c r="E2" s="202">
        <v>0</v>
      </c>
      <c r="F2" s="202">
        <v>0</v>
      </c>
      <c r="G2" s="202">
        <v>0</v>
      </c>
      <c r="H2" s="372">
        <v>0</v>
      </c>
      <c r="I2" s="372">
        <v>0</v>
      </c>
      <c r="J2" s="372">
        <v>0</v>
      </c>
      <c r="K2" s="372">
        <v>0</v>
      </c>
      <c r="L2" s="372">
        <v>0</v>
      </c>
      <c r="M2" s="372">
        <v>0</v>
      </c>
      <c r="N2" s="372">
        <v>0</v>
      </c>
      <c r="O2" s="516"/>
    </row>
    <row r="3" spans="1:34" x14ac:dyDescent="0.3">
      <c r="A3" s="97" t="s">
        <v>137</v>
      </c>
      <c r="B3" s="97" t="s">
        <v>138</v>
      </c>
      <c r="C3" s="202">
        <v>0</v>
      </c>
      <c r="D3" s="202">
        <v>0</v>
      </c>
      <c r="E3" s="202">
        <v>0</v>
      </c>
      <c r="F3" s="202">
        <v>0</v>
      </c>
      <c r="G3" s="202">
        <v>0</v>
      </c>
      <c r="H3" s="372">
        <v>0</v>
      </c>
      <c r="I3" s="372">
        <v>0</v>
      </c>
      <c r="J3" s="372">
        <v>0</v>
      </c>
      <c r="K3" s="372">
        <v>0</v>
      </c>
      <c r="L3" s="372">
        <v>0</v>
      </c>
      <c r="M3" s="372">
        <v>0</v>
      </c>
      <c r="N3" s="372">
        <v>0</v>
      </c>
      <c r="O3" s="517"/>
    </row>
    <row r="4" spans="1:34" x14ac:dyDescent="0.3">
      <c r="A4" s="97" t="s">
        <v>139</v>
      </c>
      <c r="B4" s="97" t="s">
        <v>140</v>
      </c>
      <c r="C4" s="202">
        <v>0</v>
      </c>
      <c r="D4" s="202">
        <v>0</v>
      </c>
      <c r="E4" s="202">
        <v>0</v>
      </c>
      <c r="F4" s="202">
        <v>0</v>
      </c>
      <c r="G4" s="202">
        <v>0</v>
      </c>
      <c r="H4" s="372">
        <v>0</v>
      </c>
      <c r="I4" s="372">
        <v>0</v>
      </c>
      <c r="J4" s="372">
        <v>0</v>
      </c>
      <c r="K4" s="372">
        <v>0</v>
      </c>
      <c r="L4" s="372">
        <v>0</v>
      </c>
      <c r="M4" s="372">
        <v>0</v>
      </c>
      <c r="N4" s="372">
        <v>0</v>
      </c>
      <c r="O4" s="517"/>
    </row>
    <row r="5" spans="1:34" x14ac:dyDescent="0.3">
      <c r="A5" s="97" t="s">
        <v>340</v>
      </c>
      <c r="B5" s="97" t="s">
        <v>141</v>
      </c>
      <c r="C5" s="202">
        <v>0</v>
      </c>
      <c r="D5" s="202">
        <v>0</v>
      </c>
      <c r="E5" s="202">
        <v>0</v>
      </c>
      <c r="F5" s="202">
        <v>0</v>
      </c>
      <c r="G5" s="202">
        <v>0</v>
      </c>
      <c r="H5" s="372">
        <v>0</v>
      </c>
      <c r="I5" s="372">
        <v>0</v>
      </c>
      <c r="J5" s="372">
        <v>0</v>
      </c>
      <c r="K5" s="372">
        <v>0</v>
      </c>
      <c r="L5" s="372">
        <v>0</v>
      </c>
      <c r="M5" s="372">
        <v>0</v>
      </c>
      <c r="N5" s="372">
        <v>0</v>
      </c>
      <c r="O5" s="517"/>
    </row>
    <row r="6" spans="1:34" x14ac:dyDescent="0.3">
      <c r="A6" s="97" t="s">
        <v>142</v>
      </c>
      <c r="B6" s="97" t="s">
        <v>143</v>
      </c>
      <c r="C6" s="202">
        <v>0</v>
      </c>
      <c r="D6" s="202">
        <v>0</v>
      </c>
      <c r="E6" s="202">
        <v>0</v>
      </c>
      <c r="F6" s="202">
        <v>0</v>
      </c>
      <c r="G6" s="202">
        <v>0</v>
      </c>
      <c r="H6" s="372">
        <v>0</v>
      </c>
      <c r="I6" s="372">
        <v>0</v>
      </c>
      <c r="J6" s="372">
        <v>0</v>
      </c>
      <c r="K6" s="372">
        <v>0</v>
      </c>
      <c r="L6" s="372">
        <v>0</v>
      </c>
      <c r="M6" s="372">
        <v>0</v>
      </c>
      <c r="N6" s="372">
        <v>0</v>
      </c>
      <c r="O6" s="517"/>
    </row>
    <row r="7" spans="1:34" x14ac:dyDescent="0.3">
      <c r="A7" s="205"/>
      <c r="B7" s="206" t="s">
        <v>144</v>
      </c>
      <c r="C7" s="518">
        <f>SUM(C2:C6)</f>
        <v>0</v>
      </c>
      <c r="D7" s="518">
        <f t="shared" ref="D7:N7" si="0">SUM(D2:D6)</f>
        <v>0</v>
      </c>
      <c r="E7" s="518">
        <f t="shared" si="0"/>
        <v>0</v>
      </c>
      <c r="F7" s="518">
        <f t="shared" si="0"/>
        <v>0</v>
      </c>
      <c r="G7" s="518">
        <f t="shared" si="0"/>
        <v>0</v>
      </c>
      <c r="H7" s="528">
        <f t="shared" si="0"/>
        <v>0</v>
      </c>
      <c r="I7" s="528">
        <f t="shared" si="0"/>
        <v>0</v>
      </c>
      <c r="J7" s="528">
        <f t="shared" si="0"/>
        <v>0</v>
      </c>
      <c r="K7" s="528">
        <f t="shared" si="0"/>
        <v>0</v>
      </c>
      <c r="L7" s="528">
        <f t="shared" si="0"/>
        <v>0</v>
      </c>
      <c r="M7" s="528">
        <f t="shared" si="0"/>
        <v>0</v>
      </c>
      <c r="N7" s="528">
        <f t="shared" si="0"/>
        <v>0</v>
      </c>
      <c r="O7" s="517"/>
    </row>
    <row r="8" spans="1:34" x14ac:dyDescent="0.3">
      <c r="A8" s="97" t="s">
        <v>145</v>
      </c>
      <c r="B8" s="97" t="s">
        <v>146</v>
      </c>
      <c r="C8" s="202">
        <v>0</v>
      </c>
      <c r="D8" s="202">
        <v>0</v>
      </c>
      <c r="E8" s="202">
        <v>0</v>
      </c>
      <c r="F8" s="202">
        <v>0</v>
      </c>
      <c r="G8" s="202">
        <v>0</v>
      </c>
      <c r="H8" s="372">
        <v>0</v>
      </c>
      <c r="I8" s="372">
        <v>0</v>
      </c>
      <c r="J8" s="372">
        <v>0</v>
      </c>
      <c r="K8" s="372">
        <v>0</v>
      </c>
      <c r="L8" s="372">
        <v>0</v>
      </c>
      <c r="M8" s="372">
        <v>0</v>
      </c>
      <c r="N8" s="372">
        <v>0</v>
      </c>
      <c r="O8" s="519">
        <f t="shared" ref="O8:O19" si="1">SUM(C8:N8)</f>
        <v>0</v>
      </c>
    </row>
    <row r="9" spans="1:34" x14ac:dyDescent="0.3">
      <c r="A9" s="97" t="s">
        <v>341</v>
      </c>
      <c r="B9" s="97" t="s">
        <v>147</v>
      </c>
      <c r="C9" s="202">
        <v>0</v>
      </c>
      <c r="D9" s="202">
        <v>0</v>
      </c>
      <c r="E9" s="202">
        <v>0</v>
      </c>
      <c r="F9" s="202">
        <v>0</v>
      </c>
      <c r="G9" s="202">
        <v>0</v>
      </c>
      <c r="H9" s="372">
        <v>0</v>
      </c>
      <c r="I9" s="372">
        <v>0</v>
      </c>
      <c r="J9" s="372">
        <v>0</v>
      </c>
      <c r="K9" s="372">
        <v>0</v>
      </c>
      <c r="L9" s="372">
        <v>0</v>
      </c>
      <c r="M9" s="372">
        <v>0</v>
      </c>
      <c r="N9" s="372">
        <v>0</v>
      </c>
      <c r="O9" s="519">
        <f t="shared" si="1"/>
        <v>0</v>
      </c>
    </row>
    <row r="10" spans="1:34" x14ac:dyDescent="0.3">
      <c r="A10" s="97" t="s">
        <v>148</v>
      </c>
      <c r="B10" s="97" t="s">
        <v>149</v>
      </c>
      <c r="C10" s="202">
        <v>0</v>
      </c>
      <c r="D10" s="202">
        <v>0</v>
      </c>
      <c r="E10" s="202">
        <v>0</v>
      </c>
      <c r="F10" s="202">
        <v>0</v>
      </c>
      <c r="G10" s="202">
        <v>0</v>
      </c>
      <c r="H10" s="372">
        <v>0</v>
      </c>
      <c r="I10" s="372">
        <v>0</v>
      </c>
      <c r="J10" s="372">
        <v>0</v>
      </c>
      <c r="K10" s="372">
        <v>0</v>
      </c>
      <c r="L10" s="372">
        <v>0</v>
      </c>
      <c r="M10" s="372">
        <v>0</v>
      </c>
      <c r="N10" s="372">
        <v>0</v>
      </c>
      <c r="O10" s="519">
        <f t="shared" si="1"/>
        <v>0</v>
      </c>
    </row>
    <row r="11" spans="1:34" x14ac:dyDescent="0.3">
      <c r="A11" s="97" t="s">
        <v>150</v>
      </c>
      <c r="B11" s="97" t="s">
        <v>151</v>
      </c>
      <c r="C11" s="202">
        <v>0</v>
      </c>
      <c r="D11" s="202">
        <v>0</v>
      </c>
      <c r="E11" s="202">
        <v>0</v>
      </c>
      <c r="F11" s="202">
        <v>0</v>
      </c>
      <c r="G11" s="202">
        <v>0</v>
      </c>
      <c r="H11" s="372">
        <v>0</v>
      </c>
      <c r="I11" s="372">
        <v>0</v>
      </c>
      <c r="J11" s="372">
        <v>0</v>
      </c>
      <c r="K11" s="372">
        <v>0</v>
      </c>
      <c r="L11" s="372">
        <v>0</v>
      </c>
      <c r="M11" s="372">
        <v>0</v>
      </c>
      <c r="N11" s="372">
        <v>0</v>
      </c>
      <c r="O11" s="519">
        <f t="shared" si="1"/>
        <v>0</v>
      </c>
    </row>
    <row r="12" spans="1:34" x14ac:dyDescent="0.3">
      <c r="A12" s="97" t="s">
        <v>152</v>
      </c>
      <c r="B12" s="97" t="s">
        <v>153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  <c r="H12" s="372">
        <v>0</v>
      </c>
      <c r="I12" s="372">
        <v>0</v>
      </c>
      <c r="J12" s="372">
        <v>0</v>
      </c>
      <c r="K12" s="372">
        <v>0</v>
      </c>
      <c r="L12" s="372">
        <v>0</v>
      </c>
      <c r="M12" s="372">
        <v>0</v>
      </c>
      <c r="N12" s="372">
        <v>0</v>
      </c>
      <c r="O12" s="519">
        <f t="shared" si="1"/>
        <v>0</v>
      </c>
    </row>
    <row r="13" spans="1:34" x14ac:dyDescent="0.3">
      <c r="A13" s="97" t="s">
        <v>154</v>
      </c>
      <c r="B13" s="97" t="s">
        <v>155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  <c r="H13" s="372">
        <v>0</v>
      </c>
      <c r="I13" s="372">
        <v>0</v>
      </c>
      <c r="J13" s="372">
        <v>0</v>
      </c>
      <c r="K13" s="372">
        <v>0</v>
      </c>
      <c r="L13" s="372">
        <v>0</v>
      </c>
      <c r="M13" s="372">
        <v>0</v>
      </c>
      <c r="N13" s="372">
        <v>0</v>
      </c>
      <c r="O13" s="519">
        <f t="shared" si="1"/>
        <v>0</v>
      </c>
    </row>
    <row r="14" spans="1:34" x14ac:dyDescent="0.3">
      <c r="A14" s="97" t="s">
        <v>156</v>
      </c>
      <c r="B14" s="97" t="s">
        <v>157</v>
      </c>
      <c r="C14" s="202">
        <v>0</v>
      </c>
      <c r="D14" s="202">
        <v>0</v>
      </c>
      <c r="E14" s="202">
        <v>0</v>
      </c>
      <c r="F14" s="202">
        <v>0</v>
      </c>
      <c r="G14" s="202">
        <v>0</v>
      </c>
      <c r="H14" s="372">
        <v>0</v>
      </c>
      <c r="I14" s="372">
        <v>0</v>
      </c>
      <c r="J14" s="372">
        <v>0</v>
      </c>
      <c r="K14" s="372">
        <v>0</v>
      </c>
      <c r="L14" s="372">
        <v>0</v>
      </c>
      <c r="M14" s="372">
        <v>0</v>
      </c>
      <c r="N14" s="372">
        <v>0</v>
      </c>
      <c r="O14" s="519">
        <f t="shared" si="1"/>
        <v>0</v>
      </c>
    </row>
    <row r="15" spans="1:34" x14ac:dyDescent="0.3">
      <c r="A15" s="97" t="s">
        <v>160</v>
      </c>
      <c r="B15" s="97" t="s">
        <v>161</v>
      </c>
      <c r="C15" s="202">
        <v>0</v>
      </c>
      <c r="D15" s="202">
        <v>0</v>
      </c>
      <c r="E15" s="202">
        <v>0</v>
      </c>
      <c r="F15" s="202">
        <v>0</v>
      </c>
      <c r="G15" s="202">
        <v>0</v>
      </c>
      <c r="H15" s="372">
        <v>0</v>
      </c>
      <c r="I15" s="372">
        <v>0</v>
      </c>
      <c r="J15" s="372">
        <v>0</v>
      </c>
      <c r="K15" s="372">
        <v>0</v>
      </c>
      <c r="L15" s="372">
        <v>0</v>
      </c>
      <c r="M15" s="372">
        <v>0</v>
      </c>
      <c r="N15" s="372">
        <v>0</v>
      </c>
      <c r="O15" s="519">
        <f t="shared" si="1"/>
        <v>0</v>
      </c>
    </row>
    <row r="16" spans="1:34" x14ac:dyDescent="0.3">
      <c r="A16" s="97" t="s">
        <v>162</v>
      </c>
      <c r="B16" s="97" t="s">
        <v>163</v>
      </c>
      <c r="C16" s="202">
        <f>C107*$C$116*$D$116+C108*$C$117*$D$117+C109*$C$118*$D$118+C110*$C$119*$D$119</f>
        <v>5313</v>
      </c>
      <c r="D16" s="202">
        <f t="shared" ref="D16:N16" si="2">D107*$C$116*$D$116+D108*$C$117*$D$117+D109*$C$118*$D$118+D110*$C$119*$D$119</f>
        <v>4812.3999999999996</v>
      </c>
      <c r="E16" s="202">
        <f t="shared" si="2"/>
        <v>5586</v>
      </c>
      <c r="F16" s="202">
        <f t="shared" si="2"/>
        <v>4539.3999999999996</v>
      </c>
      <c r="G16" s="202">
        <f t="shared" si="2"/>
        <v>3633</v>
      </c>
      <c r="H16" s="372">
        <f t="shared" si="2"/>
        <v>3972.4</v>
      </c>
      <c r="I16" s="372">
        <f t="shared" si="2"/>
        <v>5313</v>
      </c>
      <c r="J16" s="372">
        <f t="shared" si="2"/>
        <v>3972.4</v>
      </c>
      <c r="K16" s="372">
        <f t="shared" si="2"/>
        <v>6153</v>
      </c>
      <c r="L16" s="372">
        <f t="shared" si="2"/>
        <v>3405.4</v>
      </c>
      <c r="M16" s="372">
        <f t="shared" si="2"/>
        <v>4245.3999999999996</v>
      </c>
      <c r="N16" s="372">
        <f t="shared" si="2"/>
        <v>4473</v>
      </c>
      <c r="O16" s="519">
        <f t="shared" ref="O16:O21" si="3">SUM(C16:N16)</f>
        <v>55418.400000000001</v>
      </c>
    </row>
    <row r="17" spans="1:15" x14ac:dyDescent="0.3">
      <c r="A17" s="97" t="s">
        <v>342</v>
      </c>
      <c r="B17" s="97" t="s">
        <v>164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  <c r="H17" s="372">
        <v>0</v>
      </c>
      <c r="I17" s="372">
        <v>0</v>
      </c>
      <c r="J17" s="372">
        <v>0</v>
      </c>
      <c r="K17" s="372">
        <v>0</v>
      </c>
      <c r="L17" s="372">
        <v>0</v>
      </c>
      <c r="M17" s="372">
        <v>0</v>
      </c>
      <c r="N17" s="372">
        <v>0</v>
      </c>
      <c r="O17" s="519">
        <f t="shared" si="1"/>
        <v>0</v>
      </c>
    </row>
    <row r="18" spans="1:15" x14ac:dyDescent="0.3">
      <c r="A18" s="97" t="s">
        <v>167</v>
      </c>
      <c r="B18" s="97" t="s">
        <v>168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  <c r="H18" s="372">
        <v>0</v>
      </c>
      <c r="I18" s="372">
        <v>0</v>
      </c>
      <c r="J18" s="372">
        <v>0</v>
      </c>
      <c r="K18" s="372">
        <v>0</v>
      </c>
      <c r="L18" s="372">
        <v>0</v>
      </c>
      <c r="M18" s="372">
        <v>0</v>
      </c>
      <c r="N18" s="372">
        <v>0</v>
      </c>
      <c r="O18" s="519">
        <f t="shared" si="1"/>
        <v>0</v>
      </c>
    </row>
    <row r="19" spans="1:15" x14ac:dyDescent="0.3">
      <c r="A19" s="207" t="s">
        <v>169</v>
      </c>
      <c r="B19" s="207" t="s">
        <v>170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  <c r="H19" s="372">
        <v>0</v>
      </c>
      <c r="I19" s="372">
        <v>0</v>
      </c>
      <c r="J19" s="372">
        <v>0</v>
      </c>
      <c r="K19" s="372">
        <v>0</v>
      </c>
      <c r="L19" s="372">
        <v>0</v>
      </c>
      <c r="M19" s="372">
        <v>0</v>
      </c>
      <c r="N19" s="372">
        <v>0</v>
      </c>
      <c r="O19" s="519">
        <f t="shared" si="1"/>
        <v>0</v>
      </c>
    </row>
    <row r="20" spans="1:15" x14ac:dyDescent="0.3">
      <c r="A20" s="208"/>
      <c r="B20" s="209" t="s">
        <v>173</v>
      </c>
      <c r="C20" s="218">
        <f t="shared" ref="C20:N20" si="4">SUM(C8:C19)</f>
        <v>5313</v>
      </c>
      <c r="D20" s="218">
        <f t="shared" si="4"/>
        <v>4812.3999999999996</v>
      </c>
      <c r="E20" s="218">
        <f t="shared" si="4"/>
        <v>5586</v>
      </c>
      <c r="F20" s="218">
        <f t="shared" si="4"/>
        <v>4539.3999999999996</v>
      </c>
      <c r="G20" s="218">
        <f t="shared" si="4"/>
        <v>3633</v>
      </c>
      <c r="H20" s="374">
        <f t="shared" si="4"/>
        <v>3972.4</v>
      </c>
      <c r="I20" s="374">
        <f t="shared" si="4"/>
        <v>5313</v>
      </c>
      <c r="J20" s="374">
        <f t="shared" si="4"/>
        <v>3972.4</v>
      </c>
      <c r="K20" s="374">
        <f t="shared" si="4"/>
        <v>6153</v>
      </c>
      <c r="L20" s="374">
        <f t="shared" si="4"/>
        <v>3405.4</v>
      </c>
      <c r="M20" s="374">
        <f t="shared" si="4"/>
        <v>4245.3999999999996</v>
      </c>
      <c r="N20" s="374">
        <f t="shared" si="4"/>
        <v>4473</v>
      </c>
      <c r="O20" s="520">
        <f t="shared" si="3"/>
        <v>55418.400000000001</v>
      </c>
    </row>
    <row r="21" spans="1:15" x14ac:dyDescent="0.3">
      <c r="A21" s="208"/>
      <c r="B21" s="209" t="s">
        <v>174</v>
      </c>
      <c r="C21" s="218">
        <f t="shared" ref="C21:N21" si="5">C20+C7</f>
        <v>5313</v>
      </c>
      <c r="D21" s="218">
        <f t="shared" si="5"/>
        <v>4812.3999999999996</v>
      </c>
      <c r="E21" s="218">
        <f t="shared" si="5"/>
        <v>5586</v>
      </c>
      <c r="F21" s="218">
        <f t="shared" si="5"/>
        <v>4539.3999999999996</v>
      </c>
      <c r="G21" s="218">
        <f t="shared" si="5"/>
        <v>3633</v>
      </c>
      <c r="H21" s="374">
        <f t="shared" si="5"/>
        <v>3972.4</v>
      </c>
      <c r="I21" s="374">
        <f t="shared" si="5"/>
        <v>5313</v>
      </c>
      <c r="J21" s="374">
        <f t="shared" si="5"/>
        <v>3972.4</v>
      </c>
      <c r="K21" s="374">
        <f t="shared" si="5"/>
        <v>6153</v>
      </c>
      <c r="L21" s="374">
        <f t="shared" si="5"/>
        <v>3405.4</v>
      </c>
      <c r="M21" s="374">
        <f t="shared" si="5"/>
        <v>4245.3999999999996</v>
      </c>
      <c r="N21" s="374">
        <f t="shared" si="5"/>
        <v>4473</v>
      </c>
      <c r="O21" s="520">
        <f t="shared" si="3"/>
        <v>55418.400000000001</v>
      </c>
    </row>
    <row r="22" spans="1:15" x14ac:dyDescent="0.3">
      <c r="A22" s="97" t="s">
        <v>343</v>
      </c>
      <c r="B22" s="97" t="s">
        <v>175</v>
      </c>
      <c r="C22" s="202">
        <f>C107*$E$116*$F$116+C108*$E$117*$F$117+C109*$E$118*$F$118</f>
        <v>2500</v>
      </c>
      <c r="D22" s="202">
        <f t="shared" ref="D22:N22" si="6">D107*$E$116*$F$116+D108*$E$117*$F$117+D109*$E$118*$F$118</f>
        <v>2287.5</v>
      </c>
      <c r="E22" s="202">
        <f t="shared" si="6"/>
        <v>2675</v>
      </c>
      <c r="F22" s="202">
        <f t="shared" si="6"/>
        <v>2112.5</v>
      </c>
      <c r="G22" s="202">
        <f t="shared" si="6"/>
        <v>1725</v>
      </c>
      <c r="H22" s="372">
        <f t="shared" si="6"/>
        <v>1900</v>
      </c>
      <c r="I22" s="372">
        <f t="shared" si="6"/>
        <v>2500</v>
      </c>
      <c r="J22" s="372">
        <f t="shared" si="6"/>
        <v>1900</v>
      </c>
      <c r="K22" s="372">
        <f t="shared" si="6"/>
        <v>2887.5</v>
      </c>
      <c r="L22" s="372">
        <f t="shared" si="6"/>
        <v>1687.5</v>
      </c>
      <c r="M22" s="372">
        <f t="shared" si="6"/>
        <v>2075</v>
      </c>
      <c r="N22" s="372">
        <f t="shared" si="6"/>
        <v>2112.5</v>
      </c>
      <c r="O22" s="521"/>
    </row>
    <row r="23" spans="1:15" x14ac:dyDescent="0.3">
      <c r="A23" s="97" t="s">
        <v>176</v>
      </c>
      <c r="B23" s="97" t="s">
        <v>344</v>
      </c>
      <c r="C23" s="221">
        <f>C22*0.09</f>
        <v>225</v>
      </c>
      <c r="D23" s="221">
        <f t="shared" ref="D23:N23" si="7">D22*0.09</f>
        <v>205.875</v>
      </c>
      <c r="E23" s="221">
        <f t="shared" si="7"/>
        <v>240.75</v>
      </c>
      <c r="F23" s="221">
        <f t="shared" si="7"/>
        <v>190.125</v>
      </c>
      <c r="G23" s="221">
        <f t="shared" si="7"/>
        <v>155.25</v>
      </c>
      <c r="H23" s="375">
        <f t="shared" si="7"/>
        <v>171</v>
      </c>
      <c r="I23" s="375">
        <f t="shared" si="7"/>
        <v>225</v>
      </c>
      <c r="J23" s="375">
        <f t="shared" si="7"/>
        <v>171</v>
      </c>
      <c r="K23" s="375">
        <f t="shared" si="7"/>
        <v>259.875</v>
      </c>
      <c r="L23" s="375">
        <f t="shared" si="7"/>
        <v>151.875</v>
      </c>
      <c r="M23" s="375">
        <f t="shared" si="7"/>
        <v>186.75</v>
      </c>
      <c r="N23" s="375">
        <f t="shared" si="7"/>
        <v>190.125</v>
      </c>
      <c r="O23" s="521"/>
    </row>
    <row r="24" spans="1:15" x14ac:dyDescent="0.3">
      <c r="A24" s="97" t="s">
        <v>178</v>
      </c>
      <c r="B24" s="97" t="s">
        <v>179</v>
      </c>
      <c r="C24" s="221">
        <v>0</v>
      </c>
      <c r="D24" s="221">
        <v>0</v>
      </c>
      <c r="E24" s="221">
        <v>0</v>
      </c>
      <c r="F24" s="221">
        <v>0</v>
      </c>
      <c r="G24" s="221">
        <v>0</v>
      </c>
      <c r="H24" s="375">
        <v>0</v>
      </c>
      <c r="I24" s="375">
        <v>0</v>
      </c>
      <c r="J24" s="375">
        <v>0</v>
      </c>
      <c r="K24" s="375">
        <v>0</v>
      </c>
      <c r="L24" s="375">
        <v>0</v>
      </c>
      <c r="M24" s="375">
        <v>0</v>
      </c>
      <c r="N24" s="375">
        <v>0</v>
      </c>
      <c r="O24" s="521"/>
    </row>
    <row r="25" spans="1:15" x14ac:dyDescent="0.3">
      <c r="A25" s="207" t="s">
        <v>180</v>
      </c>
      <c r="B25" s="207" t="s">
        <v>181</v>
      </c>
      <c r="C25" s="221">
        <v>0</v>
      </c>
      <c r="D25" s="221">
        <v>0</v>
      </c>
      <c r="E25" s="221">
        <v>0</v>
      </c>
      <c r="F25" s="221">
        <v>0</v>
      </c>
      <c r="G25" s="221">
        <v>0</v>
      </c>
      <c r="H25" s="375">
        <v>0</v>
      </c>
      <c r="I25" s="375">
        <v>0</v>
      </c>
      <c r="J25" s="375">
        <v>0</v>
      </c>
      <c r="K25" s="375">
        <v>0</v>
      </c>
      <c r="L25" s="375">
        <v>0</v>
      </c>
      <c r="M25" s="375">
        <v>0</v>
      </c>
      <c r="N25" s="375">
        <v>0</v>
      </c>
      <c r="O25" s="522"/>
    </row>
    <row r="26" spans="1:15" x14ac:dyDescent="0.3">
      <c r="A26" s="208"/>
      <c r="B26" s="209" t="s">
        <v>182</v>
      </c>
      <c r="C26" s="218">
        <f>SUM(C22:C25)</f>
        <v>2725</v>
      </c>
      <c r="D26" s="218">
        <f t="shared" ref="D26:M26" si="8">SUM(D22:D25)</f>
        <v>2493.375</v>
      </c>
      <c r="E26" s="218">
        <f t="shared" si="8"/>
        <v>2915.75</v>
      </c>
      <c r="F26" s="218">
        <f t="shared" si="8"/>
        <v>2302.625</v>
      </c>
      <c r="G26" s="218">
        <f t="shared" si="8"/>
        <v>1880.25</v>
      </c>
      <c r="H26" s="374">
        <f t="shared" si="8"/>
        <v>2071</v>
      </c>
      <c r="I26" s="374">
        <f t="shared" si="8"/>
        <v>2725</v>
      </c>
      <c r="J26" s="374">
        <f t="shared" si="8"/>
        <v>2071</v>
      </c>
      <c r="K26" s="374">
        <f t="shared" si="8"/>
        <v>3147.375</v>
      </c>
      <c r="L26" s="374">
        <f t="shared" si="8"/>
        <v>1839.375</v>
      </c>
      <c r="M26" s="374">
        <f t="shared" si="8"/>
        <v>2261.75</v>
      </c>
      <c r="N26" s="374">
        <f>SUM(N22:N25)</f>
        <v>2302.625</v>
      </c>
      <c r="O26" s="498">
        <f>SUM(C26:N26)</f>
        <v>28735.125</v>
      </c>
    </row>
    <row r="27" spans="1:15" x14ac:dyDescent="0.3">
      <c r="A27" s="97" t="s">
        <v>345</v>
      </c>
      <c r="B27" s="97" t="s">
        <v>183</v>
      </c>
      <c r="C27" s="202">
        <v>0</v>
      </c>
      <c r="D27" s="202">
        <v>0</v>
      </c>
      <c r="E27" s="202">
        <v>0</v>
      </c>
      <c r="F27" s="202">
        <v>0</v>
      </c>
      <c r="G27" s="202">
        <v>0</v>
      </c>
      <c r="H27" s="372">
        <v>0</v>
      </c>
      <c r="I27" s="372">
        <v>0</v>
      </c>
      <c r="J27" s="372">
        <v>0</v>
      </c>
      <c r="K27" s="372">
        <v>0</v>
      </c>
      <c r="L27" s="372">
        <v>0</v>
      </c>
      <c r="M27" s="372">
        <v>0</v>
      </c>
      <c r="N27" s="372">
        <v>0</v>
      </c>
      <c r="O27" s="523"/>
    </row>
    <row r="28" spans="1:15" s="211" customFormat="1" x14ac:dyDescent="0.3">
      <c r="A28" s="210" t="s">
        <v>184</v>
      </c>
      <c r="B28" s="210" t="s">
        <v>185</v>
      </c>
      <c r="C28" s="221">
        <f t="shared" ref="C28:N28" si="9">C27*1.09</f>
        <v>0</v>
      </c>
      <c r="D28" s="221">
        <f t="shared" si="9"/>
        <v>0</v>
      </c>
      <c r="E28" s="221">
        <f t="shared" si="9"/>
        <v>0</v>
      </c>
      <c r="F28" s="221">
        <f t="shared" si="9"/>
        <v>0</v>
      </c>
      <c r="G28" s="221">
        <f t="shared" si="9"/>
        <v>0</v>
      </c>
      <c r="H28" s="375">
        <f t="shared" si="9"/>
        <v>0</v>
      </c>
      <c r="I28" s="375">
        <f t="shared" si="9"/>
        <v>0</v>
      </c>
      <c r="J28" s="375">
        <f t="shared" si="9"/>
        <v>0</v>
      </c>
      <c r="K28" s="375">
        <f t="shared" si="9"/>
        <v>0</v>
      </c>
      <c r="L28" s="375">
        <f t="shared" si="9"/>
        <v>0</v>
      </c>
      <c r="M28" s="375">
        <f t="shared" si="9"/>
        <v>0</v>
      </c>
      <c r="N28" s="375">
        <f t="shared" si="9"/>
        <v>0</v>
      </c>
      <c r="O28" s="524"/>
    </row>
    <row r="29" spans="1:15" x14ac:dyDescent="0.3">
      <c r="A29" s="97" t="s">
        <v>186</v>
      </c>
      <c r="B29" s="97" t="s">
        <v>187</v>
      </c>
      <c r="C29" s="202">
        <v>0</v>
      </c>
      <c r="D29" s="202">
        <v>0</v>
      </c>
      <c r="E29" s="202">
        <v>0</v>
      </c>
      <c r="F29" s="202">
        <v>0</v>
      </c>
      <c r="G29" s="202">
        <v>0</v>
      </c>
      <c r="H29" s="372">
        <v>0</v>
      </c>
      <c r="I29" s="372">
        <v>0</v>
      </c>
      <c r="J29" s="372">
        <v>0</v>
      </c>
      <c r="K29" s="372">
        <v>0</v>
      </c>
      <c r="L29" s="372">
        <v>0</v>
      </c>
      <c r="M29" s="372">
        <v>0</v>
      </c>
      <c r="N29" s="372">
        <v>0</v>
      </c>
      <c r="O29" s="521"/>
    </row>
    <row r="30" spans="1:15" x14ac:dyDescent="0.3">
      <c r="A30" s="97" t="s">
        <v>188</v>
      </c>
      <c r="B30" s="97" t="s">
        <v>189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  <c r="H30" s="372">
        <v>0</v>
      </c>
      <c r="I30" s="372">
        <v>0</v>
      </c>
      <c r="J30" s="372">
        <v>0</v>
      </c>
      <c r="K30" s="372">
        <v>0</v>
      </c>
      <c r="L30" s="372">
        <v>0</v>
      </c>
      <c r="M30" s="372">
        <v>0</v>
      </c>
      <c r="N30" s="372">
        <v>0</v>
      </c>
      <c r="O30" s="521"/>
    </row>
    <row r="31" spans="1:15" x14ac:dyDescent="0.3">
      <c r="A31" s="97" t="s">
        <v>190</v>
      </c>
      <c r="B31" s="97" t="s">
        <v>191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  <c r="H31" s="372">
        <v>0</v>
      </c>
      <c r="I31" s="372">
        <v>0</v>
      </c>
      <c r="J31" s="372">
        <v>0</v>
      </c>
      <c r="K31" s="372">
        <v>0</v>
      </c>
      <c r="L31" s="372">
        <v>0</v>
      </c>
      <c r="M31" s="372">
        <v>0</v>
      </c>
      <c r="N31" s="372">
        <v>0</v>
      </c>
      <c r="O31" s="521"/>
    </row>
    <row r="32" spans="1:15" x14ac:dyDescent="0.3">
      <c r="A32" s="97" t="s">
        <v>192</v>
      </c>
      <c r="B32" s="97" t="s">
        <v>193</v>
      </c>
      <c r="C32" s="202">
        <v>0</v>
      </c>
      <c r="D32" s="202">
        <v>0</v>
      </c>
      <c r="E32" s="202">
        <v>0</v>
      </c>
      <c r="F32" s="202">
        <v>0</v>
      </c>
      <c r="G32" s="202">
        <v>0</v>
      </c>
      <c r="H32" s="372">
        <v>0</v>
      </c>
      <c r="I32" s="372">
        <v>0</v>
      </c>
      <c r="J32" s="372">
        <v>0</v>
      </c>
      <c r="K32" s="372">
        <v>0</v>
      </c>
      <c r="L32" s="372">
        <v>0</v>
      </c>
      <c r="M32" s="372">
        <v>0</v>
      </c>
      <c r="N32" s="372">
        <v>0</v>
      </c>
      <c r="O32" s="521"/>
    </row>
    <row r="33" spans="1:15" x14ac:dyDescent="0.3">
      <c r="A33" s="97" t="s">
        <v>194</v>
      </c>
      <c r="B33" s="97" t="s">
        <v>195</v>
      </c>
      <c r="C33" s="202">
        <v>0</v>
      </c>
      <c r="D33" s="202">
        <v>0</v>
      </c>
      <c r="E33" s="202">
        <v>0</v>
      </c>
      <c r="F33" s="202">
        <v>0</v>
      </c>
      <c r="G33" s="202">
        <v>0</v>
      </c>
      <c r="H33" s="372">
        <v>0</v>
      </c>
      <c r="I33" s="372">
        <v>0</v>
      </c>
      <c r="J33" s="372">
        <v>0</v>
      </c>
      <c r="K33" s="372">
        <v>0</v>
      </c>
      <c r="L33" s="372">
        <v>0</v>
      </c>
      <c r="M33" s="372">
        <v>0</v>
      </c>
      <c r="N33" s="372">
        <v>0</v>
      </c>
      <c r="O33" s="521"/>
    </row>
    <row r="34" spans="1:15" s="211" customFormat="1" x14ac:dyDescent="0.3">
      <c r="A34" s="210" t="s">
        <v>196</v>
      </c>
      <c r="B34" s="222" t="s">
        <v>346</v>
      </c>
      <c r="C34" s="221">
        <v>0</v>
      </c>
      <c r="D34" s="221">
        <v>0</v>
      </c>
      <c r="E34" s="221">
        <v>0</v>
      </c>
      <c r="F34" s="221">
        <v>0</v>
      </c>
      <c r="G34" s="221">
        <v>0</v>
      </c>
      <c r="H34" s="375">
        <v>0</v>
      </c>
      <c r="I34" s="375">
        <v>0</v>
      </c>
      <c r="J34" s="375">
        <v>0</v>
      </c>
      <c r="K34" s="375">
        <v>0</v>
      </c>
      <c r="L34" s="375">
        <v>0</v>
      </c>
      <c r="M34" s="375">
        <v>0</v>
      </c>
      <c r="N34" s="375">
        <v>0</v>
      </c>
      <c r="O34" s="524"/>
    </row>
    <row r="35" spans="1:15" s="211" customFormat="1" x14ac:dyDescent="0.3">
      <c r="A35" s="210" t="s">
        <v>197</v>
      </c>
      <c r="B35" s="210" t="s">
        <v>198</v>
      </c>
      <c r="C35" s="221">
        <v>0</v>
      </c>
      <c r="D35" s="221">
        <v>0</v>
      </c>
      <c r="E35" s="221">
        <v>0</v>
      </c>
      <c r="F35" s="221">
        <v>0</v>
      </c>
      <c r="G35" s="221">
        <v>0</v>
      </c>
      <c r="H35" s="375">
        <v>0</v>
      </c>
      <c r="I35" s="375">
        <v>0</v>
      </c>
      <c r="J35" s="375">
        <v>0</v>
      </c>
      <c r="K35" s="375">
        <v>0</v>
      </c>
      <c r="L35" s="375">
        <v>0</v>
      </c>
      <c r="M35" s="375">
        <v>0</v>
      </c>
      <c r="N35" s="375">
        <v>0</v>
      </c>
      <c r="O35" s="524"/>
    </row>
    <row r="36" spans="1:15" x14ac:dyDescent="0.3">
      <c r="A36" s="97" t="s">
        <v>347</v>
      </c>
      <c r="B36" s="97" t="s">
        <v>199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  <c r="H36" s="372">
        <v>0</v>
      </c>
      <c r="I36" s="372">
        <v>0</v>
      </c>
      <c r="J36" s="372">
        <v>0</v>
      </c>
      <c r="K36" s="372">
        <v>0</v>
      </c>
      <c r="L36" s="372">
        <v>0</v>
      </c>
      <c r="M36" s="372">
        <v>0</v>
      </c>
      <c r="N36" s="372">
        <v>0</v>
      </c>
      <c r="O36" s="521"/>
    </row>
    <row r="37" spans="1:15" s="211" customFormat="1" x14ac:dyDescent="0.3">
      <c r="A37" s="210" t="s">
        <v>200</v>
      </c>
      <c r="B37" s="210" t="s">
        <v>201</v>
      </c>
      <c r="C37" s="221">
        <v>0</v>
      </c>
      <c r="D37" s="221">
        <v>0</v>
      </c>
      <c r="E37" s="221">
        <v>0</v>
      </c>
      <c r="F37" s="221">
        <v>0</v>
      </c>
      <c r="G37" s="221">
        <v>0</v>
      </c>
      <c r="H37" s="375">
        <v>0</v>
      </c>
      <c r="I37" s="375">
        <v>0</v>
      </c>
      <c r="J37" s="375">
        <v>0</v>
      </c>
      <c r="K37" s="375">
        <v>0</v>
      </c>
      <c r="L37" s="375">
        <v>0</v>
      </c>
      <c r="M37" s="375">
        <v>0</v>
      </c>
      <c r="N37" s="375">
        <v>0</v>
      </c>
      <c r="O37" s="524"/>
    </row>
    <row r="38" spans="1:15" s="211" customFormat="1" x14ac:dyDescent="0.3">
      <c r="A38" s="210" t="s">
        <v>202</v>
      </c>
      <c r="B38" s="210" t="s">
        <v>203</v>
      </c>
      <c r="C38" s="221">
        <v>0</v>
      </c>
      <c r="D38" s="221">
        <v>0</v>
      </c>
      <c r="E38" s="221">
        <v>0</v>
      </c>
      <c r="F38" s="221">
        <v>0</v>
      </c>
      <c r="G38" s="221">
        <v>0</v>
      </c>
      <c r="H38" s="375">
        <v>0</v>
      </c>
      <c r="I38" s="375">
        <v>0</v>
      </c>
      <c r="J38" s="375">
        <v>0</v>
      </c>
      <c r="K38" s="375">
        <v>0</v>
      </c>
      <c r="L38" s="375">
        <v>0</v>
      </c>
      <c r="M38" s="375">
        <v>0</v>
      </c>
      <c r="N38" s="375">
        <v>0</v>
      </c>
      <c r="O38" s="524"/>
    </row>
    <row r="39" spans="1:15" x14ac:dyDescent="0.3">
      <c r="A39" s="97" t="s">
        <v>204</v>
      </c>
      <c r="B39" s="97" t="s">
        <v>348</v>
      </c>
      <c r="C39" s="202">
        <f>(C107+C109)*158.84</f>
        <v>953.04</v>
      </c>
      <c r="D39" s="202">
        <f t="shared" ref="D39:N39" si="10">(D107+D109)*158.84</f>
        <v>953.04</v>
      </c>
      <c r="E39" s="202">
        <f t="shared" si="10"/>
        <v>953.04</v>
      </c>
      <c r="F39" s="202">
        <f t="shared" si="10"/>
        <v>953.04</v>
      </c>
      <c r="G39" s="202">
        <f t="shared" si="10"/>
        <v>635.36</v>
      </c>
      <c r="H39" s="372">
        <f t="shared" si="10"/>
        <v>794.2</v>
      </c>
      <c r="I39" s="372">
        <f t="shared" si="10"/>
        <v>953.04</v>
      </c>
      <c r="J39" s="372">
        <f t="shared" si="10"/>
        <v>794.2</v>
      </c>
      <c r="K39" s="372">
        <f t="shared" si="10"/>
        <v>1111.8800000000001</v>
      </c>
      <c r="L39" s="372">
        <f t="shared" si="10"/>
        <v>635.36</v>
      </c>
      <c r="M39" s="372">
        <f t="shared" si="10"/>
        <v>794.2</v>
      </c>
      <c r="N39" s="372">
        <f t="shared" si="10"/>
        <v>794.2</v>
      </c>
      <c r="O39" s="521">
        <f>SUM(C39:N39)</f>
        <v>10324.6</v>
      </c>
    </row>
    <row r="40" spans="1:15" x14ac:dyDescent="0.3">
      <c r="A40" s="97" t="s">
        <v>206</v>
      </c>
      <c r="B40" s="97" t="s">
        <v>207</v>
      </c>
      <c r="C40" s="202"/>
      <c r="D40" s="202"/>
      <c r="E40" s="202"/>
      <c r="F40" s="202"/>
      <c r="G40" s="202"/>
      <c r="H40" s="372"/>
      <c r="I40" s="372"/>
      <c r="J40" s="372"/>
      <c r="K40" s="372"/>
      <c r="L40" s="372"/>
      <c r="M40" s="372"/>
      <c r="N40" s="372"/>
      <c r="O40" s="521"/>
    </row>
    <row r="41" spans="1:15" s="211" customFormat="1" x14ac:dyDescent="0.3">
      <c r="A41" s="210" t="s">
        <v>208</v>
      </c>
      <c r="B41" s="210" t="s">
        <v>209</v>
      </c>
      <c r="C41" s="221">
        <v>0</v>
      </c>
      <c r="D41" s="221">
        <v>0</v>
      </c>
      <c r="E41" s="221">
        <v>0</v>
      </c>
      <c r="F41" s="221">
        <v>0</v>
      </c>
      <c r="G41" s="221">
        <v>0</v>
      </c>
      <c r="H41" s="375">
        <v>0</v>
      </c>
      <c r="I41" s="375">
        <v>0</v>
      </c>
      <c r="J41" s="375">
        <v>0</v>
      </c>
      <c r="K41" s="375">
        <v>0</v>
      </c>
      <c r="L41" s="375">
        <v>0</v>
      </c>
      <c r="M41" s="375">
        <v>0</v>
      </c>
      <c r="N41" s="375">
        <v>0</v>
      </c>
      <c r="O41" s="524"/>
    </row>
    <row r="42" spans="1:15" s="211" customFormat="1" x14ac:dyDescent="0.3">
      <c r="A42" s="210" t="s">
        <v>210</v>
      </c>
      <c r="B42" s="210" t="s">
        <v>211</v>
      </c>
      <c r="C42" s="221">
        <v>0</v>
      </c>
      <c r="D42" s="221">
        <v>0</v>
      </c>
      <c r="E42" s="221">
        <v>0</v>
      </c>
      <c r="F42" s="221">
        <v>0</v>
      </c>
      <c r="G42" s="221">
        <v>0</v>
      </c>
      <c r="H42" s="375">
        <v>0</v>
      </c>
      <c r="I42" s="375">
        <v>0</v>
      </c>
      <c r="J42" s="375">
        <v>0</v>
      </c>
      <c r="K42" s="375">
        <v>0</v>
      </c>
      <c r="L42" s="375">
        <v>0</v>
      </c>
      <c r="M42" s="375">
        <v>0</v>
      </c>
      <c r="N42" s="375">
        <v>0</v>
      </c>
      <c r="O42" s="524"/>
    </row>
    <row r="43" spans="1:15" s="211" customFormat="1" x14ac:dyDescent="0.3">
      <c r="A43" s="210" t="s">
        <v>212</v>
      </c>
      <c r="B43" s="210" t="s">
        <v>213</v>
      </c>
      <c r="C43" s="221">
        <v>0</v>
      </c>
      <c r="D43" s="221">
        <v>0</v>
      </c>
      <c r="E43" s="221">
        <v>0</v>
      </c>
      <c r="F43" s="221">
        <v>0</v>
      </c>
      <c r="G43" s="221">
        <v>0</v>
      </c>
      <c r="H43" s="375">
        <v>0</v>
      </c>
      <c r="I43" s="375">
        <v>0</v>
      </c>
      <c r="J43" s="375">
        <v>0</v>
      </c>
      <c r="K43" s="375">
        <v>0</v>
      </c>
      <c r="L43" s="375">
        <v>0</v>
      </c>
      <c r="M43" s="375">
        <v>0</v>
      </c>
      <c r="N43" s="375">
        <v>0</v>
      </c>
      <c r="O43" s="524"/>
    </row>
    <row r="44" spans="1:15" s="211" customFormat="1" x14ac:dyDescent="0.3">
      <c r="A44" s="210" t="s">
        <v>214</v>
      </c>
      <c r="B44" s="210" t="s">
        <v>215</v>
      </c>
      <c r="C44" s="221">
        <v>0</v>
      </c>
      <c r="D44" s="221">
        <v>0</v>
      </c>
      <c r="E44" s="221">
        <v>0</v>
      </c>
      <c r="F44" s="221">
        <v>0</v>
      </c>
      <c r="G44" s="221">
        <v>0</v>
      </c>
      <c r="H44" s="375">
        <v>0</v>
      </c>
      <c r="I44" s="375">
        <v>0</v>
      </c>
      <c r="J44" s="375">
        <v>0</v>
      </c>
      <c r="K44" s="375">
        <v>0</v>
      </c>
      <c r="L44" s="375">
        <v>0</v>
      </c>
      <c r="M44" s="375">
        <v>0</v>
      </c>
      <c r="N44" s="375">
        <v>0</v>
      </c>
      <c r="O44" s="524"/>
    </row>
    <row r="45" spans="1:15" s="211" customFormat="1" x14ac:dyDescent="0.3">
      <c r="A45" s="210" t="s">
        <v>216</v>
      </c>
      <c r="B45" s="210" t="s">
        <v>217</v>
      </c>
      <c r="C45" s="221">
        <v>0</v>
      </c>
      <c r="D45" s="221">
        <v>0</v>
      </c>
      <c r="E45" s="221">
        <v>0</v>
      </c>
      <c r="F45" s="221">
        <v>0</v>
      </c>
      <c r="G45" s="221">
        <v>0</v>
      </c>
      <c r="H45" s="375">
        <v>0</v>
      </c>
      <c r="I45" s="375">
        <v>0</v>
      </c>
      <c r="J45" s="375">
        <v>0</v>
      </c>
      <c r="K45" s="375">
        <v>0</v>
      </c>
      <c r="L45" s="375">
        <v>0</v>
      </c>
      <c r="M45" s="375">
        <v>0</v>
      </c>
      <c r="N45" s="375">
        <v>0</v>
      </c>
      <c r="O45" s="524"/>
    </row>
    <row r="46" spans="1:15" s="211" customFormat="1" x14ac:dyDescent="0.3">
      <c r="A46" s="210" t="s">
        <v>218</v>
      </c>
      <c r="B46" s="210" t="s">
        <v>219</v>
      </c>
      <c r="C46" s="221">
        <v>0</v>
      </c>
      <c r="D46" s="221">
        <v>0</v>
      </c>
      <c r="E46" s="221">
        <v>0</v>
      </c>
      <c r="F46" s="221">
        <v>0</v>
      </c>
      <c r="G46" s="221">
        <v>0</v>
      </c>
      <c r="H46" s="375">
        <v>0</v>
      </c>
      <c r="I46" s="375">
        <v>0</v>
      </c>
      <c r="J46" s="375">
        <v>0</v>
      </c>
      <c r="K46" s="375">
        <v>0</v>
      </c>
      <c r="L46" s="375">
        <v>0</v>
      </c>
      <c r="M46" s="375">
        <v>0</v>
      </c>
      <c r="N46" s="375">
        <v>0</v>
      </c>
      <c r="O46" s="524"/>
    </row>
    <row r="47" spans="1:15" s="211" customFormat="1" x14ac:dyDescent="0.3">
      <c r="A47" s="210" t="s">
        <v>220</v>
      </c>
      <c r="B47" s="210" t="s">
        <v>221</v>
      </c>
      <c r="C47" s="221">
        <v>0</v>
      </c>
      <c r="D47" s="221">
        <v>0</v>
      </c>
      <c r="E47" s="221">
        <v>0</v>
      </c>
      <c r="F47" s="221">
        <v>0</v>
      </c>
      <c r="G47" s="221">
        <v>0</v>
      </c>
      <c r="H47" s="375">
        <v>0</v>
      </c>
      <c r="I47" s="375">
        <v>0</v>
      </c>
      <c r="J47" s="375">
        <v>0</v>
      </c>
      <c r="K47" s="375">
        <v>0</v>
      </c>
      <c r="L47" s="375">
        <v>0</v>
      </c>
      <c r="M47" s="375">
        <v>0</v>
      </c>
      <c r="N47" s="375">
        <v>0</v>
      </c>
      <c r="O47" s="524"/>
    </row>
    <row r="48" spans="1:15" x14ac:dyDescent="0.3">
      <c r="A48" s="207" t="s">
        <v>222</v>
      </c>
      <c r="B48" s="207" t="s">
        <v>223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  <c r="H48" s="372">
        <v>0</v>
      </c>
      <c r="I48" s="372">
        <v>0</v>
      </c>
      <c r="J48" s="372">
        <v>0</v>
      </c>
      <c r="K48" s="372">
        <v>0</v>
      </c>
      <c r="L48" s="372">
        <v>0</v>
      </c>
      <c r="M48" s="372">
        <v>0</v>
      </c>
      <c r="N48" s="372">
        <v>0</v>
      </c>
      <c r="O48" s="522"/>
    </row>
    <row r="49" spans="1:15" x14ac:dyDescent="0.3">
      <c r="A49" s="208"/>
      <c r="B49" s="209" t="s">
        <v>224</v>
      </c>
      <c r="C49" s="218">
        <f>SUM(C27:C48)</f>
        <v>953.04</v>
      </c>
      <c r="D49" s="218">
        <f t="shared" ref="D49:N49" si="11">SUM(D27:D48)</f>
        <v>953.04</v>
      </c>
      <c r="E49" s="218">
        <f t="shared" si="11"/>
        <v>953.04</v>
      </c>
      <c r="F49" s="218">
        <f t="shared" si="11"/>
        <v>953.04</v>
      </c>
      <c r="G49" s="218">
        <f t="shared" si="11"/>
        <v>635.36</v>
      </c>
      <c r="H49" s="374">
        <f t="shared" si="11"/>
        <v>794.2</v>
      </c>
      <c r="I49" s="374">
        <f t="shared" si="11"/>
        <v>953.04</v>
      </c>
      <c r="J49" s="374">
        <f t="shared" si="11"/>
        <v>794.2</v>
      </c>
      <c r="K49" s="374">
        <f t="shared" si="11"/>
        <v>1111.8800000000001</v>
      </c>
      <c r="L49" s="374">
        <f t="shared" si="11"/>
        <v>635.36</v>
      </c>
      <c r="M49" s="374">
        <f t="shared" si="11"/>
        <v>794.2</v>
      </c>
      <c r="N49" s="374">
        <f t="shared" si="11"/>
        <v>794.2</v>
      </c>
      <c r="O49" s="238">
        <f>SUM(C49:N49)</f>
        <v>10324.6</v>
      </c>
    </row>
    <row r="50" spans="1:15" x14ac:dyDescent="0.3">
      <c r="A50" s="212"/>
      <c r="B50" s="206" t="s">
        <v>225</v>
      </c>
      <c r="C50" s="219">
        <f>C49+C26</f>
        <v>3678.04</v>
      </c>
      <c r="D50" s="219">
        <f t="shared" ref="D50:N50" si="12">D49+D26</f>
        <v>3446.415</v>
      </c>
      <c r="E50" s="219">
        <f t="shared" si="12"/>
        <v>3868.79</v>
      </c>
      <c r="F50" s="219">
        <f t="shared" si="12"/>
        <v>3255.665</v>
      </c>
      <c r="G50" s="219">
        <f t="shared" si="12"/>
        <v>2515.61</v>
      </c>
      <c r="H50" s="376">
        <f t="shared" si="12"/>
        <v>2865.2</v>
      </c>
      <c r="I50" s="376">
        <f t="shared" si="12"/>
        <v>3678.04</v>
      </c>
      <c r="J50" s="376">
        <f t="shared" si="12"/>
        <v>2865.2</v>
      </c>
      <c r="K50" s="376">
        <f t="shared" si="12"/>
        <v>4259.2550000000001</v>
      </c>
      <c r="L50" s="376">
        <f t="shared" si="12"/>
        <v>2474.7350000000001</v>
      </c>
      <c r="M50" s="376">
        <f t="shared" si="12"/>
        <v>3055.95</v>
      </c>
      <c r="N50" s="376">
        <f t="shared" si="12"/>
        <v>3096.8249999999998</v>
      </c>
      <c r="O50" s="238">
        <f>SUM(C50:N50)</f>
        <v>39059.724999999999</v>
      </c>
    </row>
    <row r="51" spans="1:15" s="211" customFormat="1" x14ac:dyDescent="0.3">
      <c r="A51" s="210" t="s">
        <v>226</v>
      </c>
      <c r="B51" s="210" t="s">
        <v>227</v>
      </c>
      <c r="C51" s="221">
        <v>0</v>
      </c>
      <c r="D51" s="221">
        <v>0</v>
      </c>
      <c r="E51" s="221">
        <v>0</v>
      </c>
      <c r="F51" s="221">
        <v>0</v>
      </c>
      <c r="G51" s="221">
        <v>0</v>
      </c>
      <c r="H51" s="375">
        <v>0</v>
      </c>
      <c r="I51" s="375">
        <v>0</v>
      </c>
      <c r="J51" s="375">
        <v>0</v>
      </c>
      <c r="K51" s="375">
        <v>0</v>
      </c>
      <c r="L51" s="375">
        <v>0</v>
      </c>
      <c r="M51" s="375">
        <v>0</v>
      </c>
      <c r="N51" s="375">
        <v>0</v>
      </c>
      <c r="O51" s="525"/>
    </row>
    <row r="52" spans="1:15" s="211" customFormat="1" x14ac:dyDescent="0.3">
      <c r="A52" s="210" t="s">
        <v>228</v>
      </c>
      <c r="B52" s="210" t="s">
        <v>229</v>
      </c>
      <c r="C52" s="221">
        <v>0</v>
      </c>
      <c r="D52" s="221">
        <v>0</v>
      </c>
      <c r="E52" s="221">
        <v>0</v>
      </c>
      <c r="F52" s="221">
        <v>0</v>
      </c>
      <c r="G52" s="221">
        <v>0</v>
      </c>
      <c r="H52" s="375">
        <v>0</v>
      </c>
      <c r="I52" s="375">
        <v>0</v>
      </c>
      <c r="J52" s="375">
        <v>0</v>
      </c>
      <c r="K52" s="375">
        <v>0</v>
      </c>
      <c r="L52" s="375">
        <v>0</v>
      </c>
      <c r="M52" s="375">
        <v>0</v>
      </c>
      <c r="N52" s="375">
        <v>0</v>
      </c>
      <c r="O52" s="524"/>
    </row>
    <row r="53" spans="1:15" s="211" customFormat="1" x14ac:dyDescent="0.3">
      <c r="A53" s="210" t="s">
        <v>230</v>
      </c>
      <c r="B53" s="210" t="s">
        <v>231</v>
      </c>
      <c r="C53" s="221">
        <v>0</v>
      </c>
      <c r="D53" s="221">
        <v>0</v>
      </c>
      <c r="E53" s="221">
        <v>0</v>
      </c>
      <c r="F53" s="221">
        <v>0</v>
      </c>
      <c r="G53" s="221">
        <v>0</v>
      </c>
      <c r="H53" s="375">
        <v>0</v>
      </c>
      <c r="I53" s="375">
        <v>0</v>
      </c>
      <c r="J53" s="375">
        <v>0</v>
      </c>
      <c r="K53" s="375">
        <v>0</v>
      </c>
      <c r="L53" s="375">
        <v>0</v>
      </c>
      <c r="M53" s="375">
        <v>0</v>
      </c>
      <c r="N53" s="375">
        <v>0</v>
      </c>
      <c r="O53" s="524"/>
    </row>
    <row r="54" spans="1:15" s="211" customFormat="1" x14ac:dyDescent="0.3">
      <c r="A54" s="210" t="s">
        <v>232</v>
      </c>
      <c r="B54" s="210" t="s">
        <v>233</v>
      </c>
      <c r="C54" s="103">
        <v>0</v>
      </c>
      <c r="D54" s="103">
        <v>0</v>
      </c>
      <c r="E54" s="103">
        <v>0</v>
      </c>
      <c r="F54" s="103">
        <v>0</v>
      </c>
      <c r="G54" s="103">
        <v>0</v>
      </c>
      <c r="H54" s="372">
        <v>0</v>
      </c>
      <c r="I54" s="372">
        <v>0</v>
      </c>
      <c r="J54" s="372">
        <v>0</v>
      </c>
      <c r="K54" s="372">
        <v>0</v>
      </c>
      <c r="L54" s="372">
        <v>0</v>
      </c>
      <c r="M54" s="372">
        <v>0</v>
      </c>
      <c r="N54" s="372">
        <v>0</v>
      </c>
      <c r="O54" s="524"/>
    </row>
    <row r="55" spans="1:15" s="211" customFormat="1" x14ac:dyDescent="0.3">
      <c r="A55" s="210" t="s">
        <v>234</v>
      </c>
      <c r="B55" s="210" t="s">
        <v>235</v>
      </c>
      <c r="C55" s="221">
        <v>0</v>
      </c>
      <c r="D55" s="221">
        <v>0</v>
      </c>
      <c r="E55" s="221">
        <v>0</v>
      </c>
      <c r="F55" s="221">
        <v>0</v>
      </c>
      <c r="G55" s="221">
        <v>0</v>
      </c>
      <c r="H55" s="375">
        <v>0</v>
      </c>
      <c r="I55" s="375">
        <v>0</v>
      </c>
      <c r="J55" s="375">
        <v>0</v>
      </c>
      <c r="K55" s="375">
        <v>0</v>
      </c>
      <c r="L55" s="375">
        <v>0</v>
      </c>
      <c r="M55" s="375">
        <v>0</v>
      </c>
      <c r="N55" s="375">
        <v>0</v>
      </c>
      <c r="O55" s="524"/>
    </row>
    <row r="56" spans="1:15" s="211" customFormat="1" x14ac:dyDescent="0.3">
      <c r="A56" s="210" t="s">
        <v>236</v>
      </c>
      <c r="B56" s="210" t="s">
        <v>237</v>
      </c>
      <c r="C56" s="221">
        <v>0</v>
      </c>
      <c r="D56" s="221">
        <v>0</v>
      </c>
      <c r="E56" s="221">
        <v>0</v>
      </c>
      <c r="F56" s="221">
        <v>0</v>
      </c>
      <c r="G56" s="221">
        <v>0</v>
      </c>
      <c r="H56" s="375">
        <v>0</v>
      </c>
      <c r="I56" s="375">
        <v>0</v>
      </c>
      <c r="J56" s="375">
        <v>0</v>
      </c>
      <c r="K56" s="375">
        <v>0</v>
      </c>
      <c r="L56" s="375">
        <v>0</v>
      </c>
      <c r="M56" s="375">
        <v>0</v>
      </c>
      <c r="N56" s="375">
        <v>0</v>
      </c>
      <c r="O56" s="524"/>
    </row>
    <row r="57" spans="1:15" s="211" customFormat="1" x14ac:dyDescent="0.3">
      <c r="A57" s="210" t="s">
        <v>238</v>
      </c>
      <c r="B57" s="210" t="s">
        <v>239</v>
      </c>
      <c r="C57" s="103"/>
      <c r="D57" s="103"/>
      <c r="E57" s="103"/>
      <c r="F57" s="103"/>
      <c r="G57" s="103"/>
      <c r="H57" s="372"/>
      <c r="I57" s="372"/>
      <c r="J57" s="372"/>
      <c r="K57" s="372"/>
      <c r="L57" s="372"/>
      <c r="M57" s="372"/>
      <c r="N57" s="372"/>
      <c r="O57" s="524"/>
    </row>
    <row r="58" spans="1:15" s="211" customFormat="1" x14ac:dyDescent="0.3">
      <c r="A58" s="210" t="s">
        <v>240</v>
      </c>
      <c r="B58" s="210" t="s">
        <v>241</v>
      </c>
      <c r="C58" s="221">
        <v>0</v>
      </c>
      <c r="D58" s="221">
        <v>0</v>
      </c>
      <c r="E58" s="221">
        <v>0</v>
      </c>
      <c r="F58" s="221">
        <v>0</v>
      </c>
      <c r="G58" s="221">
        <v>0</v>
      </c>
      <c r="H58" s="375">
        <v>0</v>
      </c>
      <c r="I58" s="375">
        <v>0</v>
      </c>
      <c r="J58" s="375">
        <v>0</v>
      </c>
      <c r="K58" s="375">
        <v>0</v>
      </c>
      <c r="L58" s="375">
        <v>0</v>
      </c>
      <c r="M58" s="375">
        <v>0</v>
      </c>
      <c r="N58" s="375">
        <v>0</v>
      </c>
      <c r="O58" s="524"/>
    </row>
    <row r="59" spans="1:15" s="211" customFormat="1" x14ac:dyDescent="0.3">
      <c r="A59" s="210" t="s">
        <v>242</v>
      </c>
      <c r="B59" s="210" t="s">
        <v>243</v>
      </c>
      <c r="C59" s="221">
        <v>0</v>
      </c>
      <c r="D59" s="221">
        <v>0</v>
      </c>
      <c r="E59" s="221">
        <v>0</v>
      </c>
      <c r="F59" s="221">
        <v>0</v>
      </c>
      <c r="G59" s="221">
        <v>0</v>
      </c>
      <c r="H59" s="375">
        <v>0</v>
      </c>
      <c r="I59" s="375">
        <v>0</v>
      </c>
      <c r="J59" s="375">
        <v>0</v>
      </c>
      <c r="K59" s="375">
        <v>0</v>
      </c>
      <c r="L59" s="375">
        <v>0</v>
      </c>
      <c r="M59" s="375">
        <v>0</v>
      </c>
      <c r="N59" s="375">
        <v>0</v>
      </c>
      <c r="O59" s="524"/>
    </row>
    <row r="60" spans="1:15" s="211" customFormat="1" x14ac:dyDescent="0.3">
      <c r="A60" s="210" t="s">
        <v>244</v>
      </c>
      <c r="B60" s="210" t="s">
        <v>245</v>
      </c>
      <c r="C60" s="221">
        <v>0</v>
      </c>
      <c r="D60" s="221">
        <v>0</v>
      </c>
      <c r="E60" s="221">
        <v>0</v>
      </c>
      <c r="F60" s="221">
        <v>0</v>
      </c>
      <c r="G60" s="221">
        <v>0</v>
      </c>
      <c r="H60" s="375">
        <v>0</v>
      </c>
      <c r="I60" s="375">
        <v>0</v>
      </c>
      <c r="J60" s="375">
        <v>0</v>
      </c>
      <c r="K60" s="375">
        <v>0</v>
      </c>
      <c r="L60" s="375">
        <v>0</v>
      </c>
      <c r="M60" s="375">
        <v>0</v>
      </c>
      <c r="N60" s="375">
        <v>0</v>
      </c>
      <c r="O60" s="524"/>
    </row>
    <row r="61" spans="1:15" s="211" customFormat="1" x14ac:dyDescent="0.3">
      <c r="A61" s="210" t="s">
        <v>246</v>
      </c>
      <c r="B61" s="210" t="s">
        <v>247</v>
      </c>
      <c r="C61" s="221">
        <v>0</v>
      </c>
      <c r="D61" s="221">
        <v>0</v>
      </c>
      <c r="E61" s="221">
        <v>0</v>
      </c>
      <c r="F61" s="221">
        <v>0</v>
      </c>
      <c r="G61" s="221">
        <v>0</v>
      </c>
      <c r="H61" s="375">
        <v>0</v>
      </c>
      <c r="I61" s="375">
        <v>0</v>
      </c>
      <c r="J61" s="375">
        <v>0</v>
      </c>
      <c r="K61" s="375">
        <v>0</v>
      </c>
      <c r="L61" s="375">
        <v>0</v>
      </c>
      <c r="M61" s="375">
        <v>0</v>
      </c>
      <c r="N61" s="375">
        <v>0</v>
      </c>
      <c r="O61" s="524"/>
    </row>
    <row r="62" spans="1:15" s="211" customFormat="1" x14ac:dyDescent="0.3">
      <c r="A62" s="210" t="s">
        <v>248</v>
      </c>
      <c r="B62" s="210" t="s">
        <v>249</v>
      </c>
      <c r="C62" s="221">
        <v>0</v>
      </c>
      <c r="D62" s="221">
        <v>0</v>
      </c>
      <c r="E62" s="221">
        <v>0</v>
      </c>
      <c r="F62" s="221">
        <v>0</v>
      </c>
      <c r="G62" s="221">
        <v>0</v>
      </c>
      <c r="H62" s="375">
        <v>0</v>
      </c>
      <c r="I62" s="375">
        <v>0</v>
      </c>
      <c r="J62" s="375">
        <v>0</v>
      </c>
      <c r="K62" s="375">
        <v>0</v>
      </c>
      <c r="L62" s="375">
        <v>0</v>
      </c>
      <c r="M62" s="375">
        <v>0</v>
      </c>
      <c r="N62" s="375">
        <v>0</v>
      </c>
      <c r="O62" s="524"/>
    </row>
    <row r="63" spans="1:15" s="211" customFormat="1" x14ac:dyDescent="0.3">
      <c r="A63" s="210" t="s">
        <v>250</v>
      </c>
      <c r="B63" s="210" t="s">
        <v>251</v>
      </c>
      <c r="C63" s="221">
        <v>0</v>
      </c>
      <c r="D63" s="221">
        <v>0</v>
      </c>
      <c r="E63" s="221">
        <v>0</v>
      </c>
      <c r="F63" s="221">
        <v>0</v>
      </c>
      <c r="G63" s="221">
        <v>0</v>
      </c>
      <c r="H63" s="375">
        <v>0</v>
      </c>
      <c r="I63" s="375">
        <v>0</v>
      </c>
      <c r="J63" s="375">
        <v>0</v>
      </c>
      <c r="K63" s="375">
        <v>0</v>
      </c>
      <c r="L63" s="375">
        <v>0</v>
      </c>
      <c r="M63" s="375">
        <v>0</v>
      </c>
      <c r="N63" s="375">
        <v>0</v>
      </c>
      <c r="O63" s="524"/>
    </row>
    <row r="64" spans="1:15" s="211" customFormat="1" x14ac:dyDescent="0.3">
      <c r="A64" s="210" t="s">
        <v>252</v>
      </c>
      <c r="B64" s="210" t="s">
        <v>253</v>
      </c>
      <c r="C64" s="103">
        <v>0</v>
      </c>
      <c r="D64" s="103">
        <v>0</v>
      </c>
      <c r="E64" s="103">
        <v>0</v>
      </c>
      <c r="F64" s="103">
        <v>0</v>
      </c>
      <c r="G64" s="103">
        <v>0</v>
      </c>
      <c r="H64" s="372">
        <v>0</v>
      </c>
      <c r="I64" s="372">
        <v>0</v>
      </c>
      <c r="J64" s="372">
        <v>0</v>
      </c>
      <c r="K64" s="372">
        <v>0</v>
      </c>
      <c r="L64" s="372">
        <v>0</v>
      </c>
      <c r="M64" s="372">
        <v>0</v>
      </c>
      <c r="N64" s="372">
        <v>0</v>
      </c>
      <c r="O64" s="524"/>
    </row>
    <row r="65" spans="1:15" s="211" customFormat="1" x14ac:dyDescent="0.3">
      <c r="A65" s="210" t="s">
        <v>254</v>
      </c>
      <c r="B65" s="210" t="s">
        <v>255</v>
      </c>
      <c r="C65" s="221">
        <v>0</v>
      </c>
      <c r="D65" s="221">
        <v>0</v>
      </c>
      <c r="E65" s="221">
        <v>0</v>
      </c>
      <c r="F65" s="221">
        <v>0</v>
      </c>
      <c r="G65" s="221">
        <v>0</v>
      </c>
      <c r="H65" s="375">
        <v>0</v>
      </c>
      <c r="I65" s="375">
        <v>0</v>
      </c>
      <c r="J65" s="375">
        <v>0</v>
      </c>
      <c r="K65" s="375">
        <v>0</v>
      </c>
      <c r="L65" s="375">
        <v>0</v>
      </c>
      <c r="M65" s="375">
        <v>0</v>
      </c>
      <c r="N65" s="375">
        <v>0</v>
      </c>
      <c r="O65" s="524"/>
    </row>
    <row r="66" spans="1:15" s="211" customFormat="1" x14ac:dyDescent="0.3">
      <c r="A66" s="210" t="s">
        <v>256</v>
      </c>
      <c r="B66" s="210" t="s">
        <v>257</v>
      </c>
      <c r="C66" s="221">
        <v>0</v>
      </c>
      <c r="D66" s="221">
        <v>0</v>
      </c>
      <c r="E66" s="221">
        <v>0</v>
      </c>
      <c r="F66" s="221">
        <v>0</v>
      </c>
      <c r="G66" s="221">
        <v>0</v>
      </c>
      <c r="H66" s="375">
        <v>0</v>
      </c>
      <c r="I66" s="375">
        <v>0</v>
      </c>
      <c r="J66" s="375">
        <v>0</v>
      </c>
      <c r="K66" s="375">
        <v>0</v>
      </c>
      <c r="L66" s="375">
        <v>0</v>
      </c>
      <c r="M66" s="375">
        <v>0</v>
      </c>
      <c r="N66" s="375">
        <v>0</v>
      </c>
      <c r="O66" s="524"/>
    </row>
    <row r="67" spans="1:15" s="211" customFormat="1" x14ac:dyDescent="0.3">
      <c r="A67" s="210" t="s">
        <v>258</v>
      </c>
      <c r="B67" s="210" t="s">
        <v>259</v>
      </c>
      <c r="C67" s="103">
        <v>0</v>
      </c>
      <c r="D67" s="103">
        <v>0</v>
      </c>
      <c r="E67" s="103">
        <v>0</v>
      </c>
      <c r="F67" s="103">
        <v>0</v>
      </c>
      <c r="G67" s="103">
        <v>0</v>
      </c>
      <c r="H67" s="372">
        <v>0</v>
      </c>
      <c r="I67" s="372">
        <v>0</v>
      </c>
      <c r="J67" s="372">
        <v>0</v>
      </c>
      <c r="K67" s="372">
        <v>0</v>
      </c>
      <c r="L67" s="372">
        <v>0</v>
      </c>
      <c r="M67" s="372">
        <v>0</v>
      </c>
      <c r="N67" s="372">
        <v>0</v>
      </c>
      <c r="O67" s="524"/>
    </row>
    <row r="68" spans="1:15" s="211" customFormat="1" x14ac:dyDescent="0.3">
      <c r="A68" s="210" t="s">
        <v>260</v>
      </c>
      <c r="B68" s="210" t="s">
        <v>261</v>
      </c>
      <c r="C68" s="103">
        <v>0</v>
      </c>
      <c r="D68" s="103">
        <v>0</v>
      </c>
      <c r="E68" s="103">
        <v>0</v>
      </c>
      <c r="F68" s="103">
        <v>0</v>
      </c>
      <c r="G68" s="103">
        <v>0</v>
      </c>
      <c r="H68" s="372">
        <v>0</v>
      </c>
      <c r="I68" s="372">
        <v>0</v>
      </c>
      <c r="J68" s="372">
        <v>0</v>
      </c>
      <c r="K68" s="372">
        <v>0</v>
      </c>
      <c r="L68" s="372">
        <v>0</v>
      </c>
      <c r="M68" s="372">
        <v>0</v>
      </c>
      <c r="N68" s="372">
        <v>0</v>
      </c>
      <c r="O68" s="524"/>
    </row>
    <row r="69" spans="1:15" s="211" customFormat="1" x14ac:dyDescent="0.3">
      <c r="A69" s="210" t="s">
        <v>262</v>
      </c>
      <c r="B69" s="210" t="s">
        <v>263</v>
      </c>
      <c r="C69" s="103">
        <v>0</v>
      </c>
      <c r="D69" s="103">
        <v>0</v>
      </c>
      <c r="E69" s="103">
        <v>0</v>
      </c>
      <c r="F69" s="103">
        <v>0</v>
      </c>
      <c r="G69" s="103">
        <v>0</v>
      </c>
      <c r="H69" s="372">
        <v>0</v>
      </c>
      <c r="I69" s="372">
        <v>0</v>
      </c>
      <c r="J69" s="372">
        <v>0</v>
      </c>
      <c r="K69" s="372">
        <v>0</v>
      </c>
      <c r="L69" s="372">
        <v>0</v>
      </c>
      <c r="M69" s="372">
        <v>0</v>
      </c>
      <c r="N69" s="372">
        <v>0</v>
      </c>
      <c r="O69" s="524"/>
    </row>
    <row r="70" spans="1:15" s="211" customFormat="1" x14ac:dyDescent="0.3">
      <c r="A70" s="210" t="s">
        <v>264</v>
      </c>
      <c r="B70" s="210" t="s">
        <v>265</v>
      </c>
      <c r="C70" s="103">
        <v>0</v>
      </c>
      <c r="D70" s="103">
        <v>0</v>
      </c>
      <c r="E70" s="103">
        <v>0</v>
      </c>
      <c r="F70" s="103">
        <v>0</v>
      </c>
      <c r="G70" s="103">
        <v>0</v>
      </c>
      <c r="H70" s="372">
        <v>0</v>
      </c>
      <c r="I70" s="372">
        <v>0</v>
      </c>
      <c r="J70" s="372">
        <v>0</v>
      </c>
      <c r="K70" s="372">
        <v>0</v>
      </c>
      <c r="L70" s="372">
        <v>0</v>
      </c>
      <c r="M70" s="372">
        <v>0</v>
      </c>
      <c r="N70" s="372">
        <v>0</v>
      </c>
      <c r="O70" s="524"/>
    </row>
    <row r="71" spans="1:15" s="211" customFormat="1" x14ac:dyDescent="0.3">
      <c r="A71" s="210" t="s">
        <v>266</v>
      </c>
      <c r="B71" s="210" t="s">
        <v>267</v>
      </c>
      <c r="C71" s="221">
        <v>0</v>
      </c>
      <c r="D71" s="221">
        <v>0</v>
      </c>
      <c r="E71" s="221">
        <v>0</v>
      </c>
      <c r="F71" s="221">
        <v>0</v>
      </c>
      <c r="G71" s="221">
        <v>0</v>
      </c>
      <c r="H71" s="375">
        <v>0</v>
      </c>
      <c r="I71" s="375">
        <v>0</v>
      </c>
      <c r="J71" s="375">
        <v>0</v>
      </c>
      <c r="K71" s="375">
        <v>0</v>
      </c>
      <c r="L71" s="375">
        <v>0</v>
      </c>
      <c r="M71" s="375">
        <v>0</v>
      </c>
      <c r="N71" s="375">
        <v>0</v>
      </c>
      <c r="O71" s="524"/>
    </row>
    <row r="72" spans="1:15" s="211" customFormat="1" x14ac:dyDescent="0.3">
      <c r="A72" s="210" t="s">
        <v>268</v>
      </c>
      <c r="B72" s="210" t="s">
        <v>269</v>
      </c>
      <c r="C72" s="221">
        <v>0</v>
      </c>
      <c r="D72" s="221">
        <v>0</v>
      </c>
      <c r="E72" s="221">
        <v>0</v>
      </c>
      <c r="F72" s="221">
        <v>0</v>
      </c>
      <c r="G72" s="221">
        <v>0</v>
      </c>
      <c r="H72" s="375">
        <v>0</v>
      </c>
      <c r="I72" s="375">
        <v>0</v>
      </c>
      <c r="J72" s="375">
        <v>0</v>
      </c>
      <c r="K72" s="375">
        <v>0</v>
      </c>
      <c r="L72" s="375">
        <v>0</v>
      </c>
      <c r="M72" s="375">
        <v>0</v>
      </c>
      <c r="N72" s="375">
        <v>0</v>
      </c>
      <c r="O72" s="524"/>
    </row>
    <row r="73" spans="1:15" s="211" customFormat="1" x14ac:dyDescent="0.3">
      <c r="A73" s="210" t="s">
        <v>270</v>
      </c>
      <c r="B73" s="210" t="s">
        <v>271</v>
      </c>
      <c r="C73" s="221">
        <v>0</v>
      </c>
      <c r="D73" s="221">
        <v>0</v>
      </c>
      <c r="E73" s="221">
        <v>0</v>
      </c>
      <c r="F73" s="221">
        <v>0</v>
      </c>
      <c r="G73" s="221">
        <v>0</v>
      </c>
      <c r="H73" s="375">
        <v>0</v>
      </c>
      <c r="I73" s="375">
        <v>0</v>
      </c>
      <c r="J73" s="375">
        <v>0</v>
      </c>
      <c r="K73" s="375">
        <v>0</v>
      </c>
      <c r="L73" s="375">
        <v>0</v>
      </c>
      <c r="M73" s="375">
        <v>0</v>
      </c>
      <c r="N73" s="375">
        <v>0</v>
      </c>
      <c r="O73" s="524"/>
    </row>
    <row r="74" spans="1:15" s="211" customFormat="1" x14ac:dyDescent="0.3">
      <c r="A74" s="210" t="s">
        <v>272</v>
      </c>
      <c r="B74" s="210" t="s">
        <v>273</v>
      </c>
      <c r="C74" s="221">
        <v>0</v>
      </c>
      <c r="D74" s="221">
        <v>0</v>
      </c>
      <c r="E74" s="221">
        <v>0</v>
      </c>
      <c r="F74" s="221">
        <v>0</v>
      </c>
      <c r="G74" s="221">
        <v>0</v>
      </c>
      <c r="H74" s="375">
        <v>0</v>
      </c>
      <c r="I74" s="375">
        <v>0</v>
      </c>
      <c r="J74" s="375">
        <v>0</v>
      </c>
      <c r="K74" s="375">
        <v>0</v>
      </c>
      <c r="L74" s="375">
        <v>0</v>
      </c>
      <c r="M74" s="375">
        <v>0</v>
      </c>
      <c r="N74" s="375">
        <v>0</v>
      </c>
      <c r="O74" s="524"/>
    </row>
    <row r="75" spans="1:15" s="211" customFormat="1" x14ac:dyDescent="0.3">
      <c r="A75" s="210" t="s">
        <v>274</v>
      </c>
      <c r="B75" s="210" t="s">
        <v>275</v>
      </c>
      <c r="C75" s="221">
        <v>0</v>
      </c>
      <c r="D75" s="221">
        <v>0</v>
      </c>
      <c r="E75" s="221">
        <v>0</v>
      </c>
      <c r="F75" s="221">
        <v>0</v>
      </c>
      <c r="G75" s="221">
        <v>0</v>
      </c>
      <c r="H75" s="375">
        <v>0</v>
      </c>
      <c r="I75" s="375">
        <v>0</v>
      </c>
      <c r="J75" s="375">
        <v>0</v>
      </c>
      <c r="K75" s="375">
        <v>0</v>
      </c>
      <c r="L75" s="375">
        <v>0</v>
      </c>
      <c r="M75" s="375">
        <v>0</v>
      </c>
      <c r="N75" s="375">
        <v>0</v>
      </c>
      <c r="O75" s="524"/>
    </row>
    <row r="76" spans="1:15" s="211" customFormat="1" x14ac:dyDescent="0.3">
      <c r="A76" s="210" t="s">
        <v>276</v>
      </c>
      <c r="B76" s="210" t="s">
        <v>277</v>
      </c>
      <c r="C76" s="221">
        <v>0</v>
      </c>
      <c r="D76" s="221">
        <v>0</v>
      </c>
      <c r="E76" s="221">
        <v>0</v>
      </c>
      <c r="F76" s="221">
        <v>0</v>
      </c>
      <c r="G76" s="221">
        <v>0</v>
      </c>
      <c r="H76" s="375">
        <v>0</v>
      </c>
      <c r="I76" s="375">
        <v>0</v>
      </c>
      <c r="J76" s="375">
        <v>0</v>
      </c>
      <c r="K76" s="375">
        <v>0</v>
      </c>
      <c r="L76" s="375">
        <v>0</v>
      </c>
      <c r="M76" s="375">
        <v>0</v>
      </c>
      <c r="N76" s="375">
        <v>0</v>
      </c>
      <c r="O76" s="524"/>
    </row>
    <row r="77" spans="1:15" s="211" customFormat="1" x14ac:dyDescent="0.3">
      <c r="A77" s="210" t="s">
        <v>278</v>
      </c>
      <c r="B77" s="210" t="s">
        <v>279</v>
      </c>
      <c r="C77" s="221">
        <v>0</v>
      </c>
      <c r="D77" s="221">
        <v>0</v>
      </c>
      <c r="E77" s="221">
        <v>0</v>
      </c>
      <c r="F77" s="221">
        <v>0</v>
      </c>
      <c r="G77" s="221">
        <v>0</v>
      </c>
      <c r="H77" s="375">
        <v>0</v>
      </c>
      <c r="I77" s="375">
        <v>0</v>
      </c>
      <c r="J77" s="375">
        <v>0</v>
      </c>
      <c r="K77" s="375">
        <v>0</v>
      </c>
      <c r="L77" s="375">
        <v>0</v>
      </c>
      <c r="M77" s="375">
        <v>0</v>
      </c>
      <c r="N77" s="375">
        <v>0</v>
      </c>
      <c r="O77" s="524"/>
    </row>
    <row r="78" spans="1:15" s="211" customFormat="1" x14ac:dyDescent="0.3">
      <c r="A78" s="210" t="s">
        <v>280</v>
      </c>
      <c r="B78" s="210" t="s">
        <v>281</v>
      </c>
      <c r="C78" s="221">
        <v>0</v>
      </c>
      <c r="D78" s="221">
        <v>0</v>
      </c>
      <c r="E78" s="221">
        <v>0</v>
      </c>
      <c r="F78" s="221">
        <v>0</v>
      </c>
      <c r="G78" s="221">
        <v>0</v>
      </c>
      <c r="H78" s="375">
        <v>0</v>
      </c>
      <c r="I78" s="375">
        <v>0</v>
      </c>
      <c r="J78" s="375">
        <v>0</v>
      </c>
      <c r="K78" s="375">
        <v>0</v>
      </c>
      <c r="L78" s="375">
        <v>0</v>
      </c>
      <c r="M78" s="375">
        <v>0</v>
      </c>
      <c r="N78" s="375">
        <v>0</v>
      </c>
      <c r="O78" s="524"/>
    </row>
    <row r="79" spans="1:15" s="211" customFormat="1" x14ac:dyDescent="0.3">
      <c r="A79" s="210" t="s">
        <v>282</v>
      </c>
      <c r="B79" s="210" t="s">
        <v>283</v>
      </c>
      <c r="C79" s="221">
        <v>0</v>
      </c>
      <c r="D79" s="221">
        <v>0</v>
      </c>
      <c r="E79" s="221">
        <v>0</v>
      </c>
      <c r="F79" s="221">
        <v>0</v>
      </c>
      <c r="G79" s="221">
        <v>0</v>
      </c>
      <c r="H79" s="375">
        <v>0</v>
      </c>
      <c r="I79" s="375">
        <v>0</v>
      </c>
      <c r="J79" s="375">
        <v>0</v>
      </c>
      <c r="K79" s="375">
        <v>0</v>
      </c>
      <c r="L79" s="375">
        <v>0</v>
      </c>
      <c r="M79" s="375">
        <v>0</v>
      </c>
      <c r="N79" s="375">
        <v>0</v>
      </c>
      <c r="O79" s="524"/>
    </row>
    <row r="80" spans="1:15" s="211" customFormat="1" x14ac:dyDescent="0.3">
      <c r="A80" s="210" t="s">
        <v>284</v>
      </c>
      <c r="B80" s="210" t="s">
        <v>349</v>
      </c>
      <c r="C80" s="221"/>
      <c r="D80" s="221"/>
      <c r="E80" s="221"/>
      <c r="F80" s="221"/>
      <c r="G80" s="221"/>
      <c r="H80" s="375"/>
      <c r="I80" s="375"/>
      <c r="J80" s="375"/>
      <c r="K80" s="375"/>
      <c r="L80" s="375"/>
      <c r="M80" s="375"/>
      <c r="N80" s="375"/>
      <c r="O80" s="524"/>
    </row>
    <row r="81" spans="1:15" s="211" customFormat="1" x14ac:dyDescent="0.3">
      <c r="A81" s="210" t="s">
        <v>286</v>
      </c>
      <c r="B81" s="210" t="s">
        <v>287</v>
      </c>
      <c r="C81" s="221">
        <v>0</v>
      </c>
      <c r="D81" s="221">
        <v>0</v>
      </c>
      <c r="E81" s="221">
        <v>0</v>
      </c>
      <c r="F81" s="221">
        <v>0</v>
      </c>
      <c r="G81" s="221">
        <v>0</v>
      </c>
      <c r="H81" s="375">
        <v>0</v>
      </c>
      <c r="I81" s="375">
        <v>0</v>
      </c>
      <c r="J81" s="375">
        <v>0</v>
      </c>
      <c r="K81" s="375">
        <v>0</v>
      </c>
      <c r="L81" s="375">
        <v>0</v>
      </c>
      <c r="M81" s="375">
        <v>0</v>
      </c>
      <c r="N81" s="375">
        <v>0</v>
      </c>
      <c r="O81" s="524"/>
    </row>
    <row r="82" spans="1:15" s="211" customFormat="1" x14ac:dyDescent="0.3">
      <c r="A82" s="210" t="s">
        <v>288</v>
      </c>
      <c r="B82" s="210" t="s">
        <v>289</v>
      </c>
      <c r="C82" s="221">
        <v>0</v>
      </c>
      <c r="D82" s="221">
        <v>0</v>
      </c>
      <c r="E82" s="221">
        <v>0</v>
      </c>
      <c r="F82" s="221">
        <v>0</v>
      </c>
      <c r="G82" s="221">
        <v>0</v>
      </c>
      <c r="H82" s="375">
        <v>0</v>
      </c>
      <c r="I82" s="375">
        <v>0</v>
      </c>
      <c r="J82" s="375">
        <v>0</v>
      </c>
      <c r="K82" s="375">
        <v>0</v>
      </c>
      <c r="L82" s="375">
        <v>0</v>
      </c>
      <c r="M82" s="375">
        <v>0</v>
      </c>
      <c r="N82" s="375">
        <v>0</v>
      </c>
      <c r="O82" s="524"/>
    </row>
    <row r="83" spans="1:15" s="211" customFormat="1" x14ac:dyDescent="0.3">
      <c r="A83" s="210" t="s">
        <v>290</v>
      </c>
      <c r="B83" s="210" t="s">
        <v>291</v>
      </c>
      <c r="C83" s="221">
        <v>0</v>
      </c>
      <c r="D83" s="221">
        <v>0</v>
      </c>
      <c r="E83" s="221">
        <v>0</v>
      </c>
      <c r="F83" s="221">
        <v>0</v>
      </c>
      <c r="G83" s="221">
        <v>0</v>
      </c>
      <c r="H83" s="375">
        <v>0</v>
      </c>
      <c r="I83" s="375">
        <v>0</v>
      </c>
      <c r="J83" s="375">
        <v>0</v>
      </c>
      <c r="K83" s="375">
        <v>0</v>
      </c>
      <c r="L83" s="375">
        <v>0</v>
      </c>
      <c r="M83" s="375">
        <v>0</v>
      </c>
      <c r="N83" s="375">
        <v>0</v>
      </c>
      <c r="O83" s="524"/>
    </row>
    <row r="84" spans="1:15" s="211" customFormat="1" x14ac:dyDescent="0.3">
      <c r="A84" s="210" t="s">
        <v>292</v>
      </c>
      <c r="B84" s="210" t="s">
        <v>293</v>
      </c>
      <c r="C84" s="221">
        <v>0</v>
      </c>
      <c r="D84" s="221">
        <v>0</v>
      </c>
      <c r="E84" s="221">
        <v>0</v>
      </c>
      <c r="F84" s="221">
        <v>0</v>
      </c>
      <c r="G84" s="221">
        <v>0</v>
      </c>
      <c r="H84" s="375">
        <v>0</v>
      </c>
      <c r="I84" s="375">
        <v>0</v>
      </c>
      <c r="J84" s="375">
        <v>0</v>
      </c>
      <c r="K84" s="375">
        <v>0</v>
      </c>
      <c r="L84" s="375">
        <v>0</v>
      </c>
      <c r="M84" s="375">
        <v>0</v>
      </c>
      <c r="N84" s="375">
        <v>0</v>
      </c>
      <c r="O84" s="524"/>
    </row>
    <row r="85" spans="1:15" s="211" customFormat="1" x14ac:dyDescent="0.3">
      <c r="A85" s="210" t="s">
        <v>294</v>
      </c>
      <c r="B85" s="210" t="s">
        <v>295</v>
      </c>
      <c r="C85" s="221">
        <v>0</v>
      </c>
      <c r="D85" s="221">
        <v>0</v>
      </c>
      <c r="E85" s="221">
        <v>0</v>
      </c>
      <c r="F85" s="221">
        <v>0</v>
      </c>
      <c r="G85" s="221">
        <v>0</v>
      </c>
      <c r="H85" s="375">
        <v>0</v>
      </c>
      <c r="I85" s="375">
        <v>0</v>
      </c>
      <c r="J85" s="375">
        <v>0</v>
      </c>
      <c r="K85" s="375">
        <v>0</v>
      </c>
      <c r="L85" s="375">
        <v>0</v>
      </c>
      <c r="M85" s="375">
        <v>0</v>
      </c>
      <c r="N85" s="375">
        <v>0</v>
      </c>
      <c r="O85" s="524"/>
    </row>
    <row r="86" spans="1:15" s="211" customFormat="1" x14ac:dyDescent="0.3">
      <c r="A86" s="210" t="s">
        <v>296</v>
      </c>
      <c r="B86" s="210" t="s">
        <v>297</v>
      </c>
      <c r="C86" s="221">
        <v>0</v>
      </c>
      <c r="D86" s="221">
        <v>0</v>
      </c>
      <c r="E86" s="221">
        <v>0</v>
      </c>
      <c r="F86" s="221">
        <v>0</v>
      </c>
      <c r="G86" s="221">
        <v>0</v>
      </c>
      <c r="H86" s="375">
        <v>0</v>
      </c>
      <c r="I86" s="375">
        <v>0</v>
      </c>
      <c r="J86" s="375">
        <v>0</v>
      </c>
      <c r="K86" s="375">
        <v>0</v>
      </c>
      <c r="L86" s="375">
        <v>0</v>
      </c>
      <c r="M86" s="375">
        <v>0</v>
      </c>
      <c r="N86" s="375">
        <v>0</v>
      </c>
      <c r="O86" s="524"/>
    </row>
    <row r="87" spans="1:15" s="211" customFormat="1" x14ac:dyDescent="0.3">
      <c r="A87" s="210" t="s">
        <v>298</v>
      </c>
      <c r="B87" s="210" t="s">
        <v>299</v>
      </c>
      <c r="C87" s="103">
        <v>0</v>
      </c>
      <c r="D87" s="103">
        <v>0</v>
      </c>
      <c r="E87" s="103">
        <v>0</v>
      </c>
      <c r="F87" s="103">
        <v>0</v>
      </c>
      <c r="G87" s="103">
        <v>0</v>
      </c>
      <c r="H87" s="372">
        <v>0</v>
      </c>
      <c r="I87" s="372">
        <v>0</v>
      </c>
      <c r="J87" s="372">
        <v>0</v>
      </c>
      <c r="K87" s="372">
        <v>0</v>
      </c>
      <c r="L87" s="372">
        <v>0</v>
      </c>
      <c r="M87" s="372">
        <v>0</v>
      </c>
      <c r="N87" s="372">
        <v>0</v>
      </c>
      <c r="O87" s="524"/>
    </row>
    <row r="88" spans="1:15" s="211" customFormat="1" x14ac:dyDescent="0.3">
      <c r="A88" s="210" t="s">
        <v>300</v>
      </c>
      <c r="B88" s="210" t="s">
        <v>301</v>
      </c>
      <c r="C88" s="221">
        <v>0</v>
      </c>
      <c r="D88" s="221">
        <v>0</v>
      </c>
      <c r="E88" s="221">
        <v>0</v>
      </c>
      <c r="F88" s="221">
        <v>0</v>
      </c>
      <c r="G88" s="221">
        <v>0</v>
      </c>
      <c r="H88" s="375">
        <v>0</v>
      </c>
      <c r="I88" s="375">
        <v>0</v>
      </c>
      <c r="J88" s="375">
        <v>0</v>
      </c>
      <c r="K88" s="375">
        <v>0</v>
      </c>
      <c r="L88" s="375">
        <v>0</v>
      </c>
      <c r="M88" s="375">
        <v>0</v>
      </c>
      <c r="N88" s="375">
        <v>0</v>
      </c>
      <c r="O88" s="524"/>
    </row>
    <row r="89" spans="1:15" s="211" customFormat="1" x14ac:dyDescent="0.3">
      <c r="A89" s="210" t="s">
        <v>302</v>
      </c>
      <c r="B89" s="210" t="s">
        <v>303</v>
      </c>
      <c r="C89" s="221">
        <v>0</v>
      </c>
      <c r="D89" s="221">
        <v>0</v>
      </c>
      <c r="E89" s="221">
        <v>0</v>
      </c>
      <c r="F89" s="221">
        <v>0</v>
      </c>
      <c r="G89" s="221">
        <v>0</v>
      </c>
      <c r="H89" s="375">
        <v>0</v>
      </c>
      <c r="I89" s="375">
        <v>0</v>
      </c>
      <c r="J89" s="375">
        <v>0</v>
      </c>
      <c r="K89" s="375">
        <v>0</v>
      </c>
      <c r="L89" s="375">
        <v>0</v>
      </c>
      <c r="M89" s="375">
        <v>0</v>
      </c>
      <c r="N89" s="375">
        <v>0</v>
      </c>
      <c r="O89" s="524"/>
    </row>
    <row r="90" spans="1:15" s="211" customFormat="1" x14ac:dyDescent="0.3">
      <c r="A90" s="210" t="s">
        <v>304</v>
      </c>
      <c r="B90" s="210" t="s">
        <v>305</v>
      </c>
      <c r="C90" s="221">
        <v>0</v>
      </c>
      <c r="D90" s="221">
        <v>0</v>
      </c>
      <c r="E90" s="221">
        <v>0</v>
      </c>
      <c r="F90" s="221">
        <v>0</v>
      </c>
      <c r="G90" s="221">
        <v>0</v>
      </c>
      <c r="H90" s="375">
        <v>0</v>
      </c>
      <c r="I90" s="375">
        <v>0</v>
      </c>
      <c r="J90" s="375">
        <v>0</v>
      </c>
      <c r="K90" s="375">
        <v>0</v>
      </c>
      <c r="L90" s="375">
        <v>0</v>
      </c>
      <c r="M90" s="375">
        <v>0</v>
      </c>
      <c r="N90" s="375">
        <v>0</v>
      </c>
      <c r="O90" s="524"/>
    </row>
    <row r="91" spans="1:15" s="211" customFormat="1" x14ac:dyDescent="0.3">
      <c r="A91" s="210" t="s">
        <v>306</v>
      </c>
      <c r="B91" s="210" t="s">
        <v>307</v>
      </c>
      <c r="C91" s="221">
        <v>0</v>
      </c>
      <c r="D91" s="221">
        <v>0</v>
      </c>
      <c r="E91" s="221">
        <v>0</v>
      </c>
      <c r="F91" s="221">
        <v>0</v>
      </c>
      <c r="G91" s="221">
        <v>0</v>
      </c>
      <c r="H91" s="375">
        <v>0</v>
      </c>
      <c r="I91" s="375">
        <v>0</v>
      </c>
      <c r="J91" s="375">
        <v>0</v>
      </c>
      <c r="K91" s="375">
        <v>0</v>
      </c>
      <c r="L91" s="375">
        <v>0</v>
      </c>
      <c r="M91" s="375">
        <v>0</v>
      </c>
      <c r="N91" s="375">
        <v>0</v>
      </c>
      <c r="O91" s="524"/>
    </row>
    <row r="92" spans="1:15" s="211" customFormat="1" x14ac:dyDescent="0.3">
      <c r="A92" s="210" t="s">
        <v>308</v>
      </c>
      <c r="B92" s="210" t="s">
        <v>309</v>
      </c>
      <c r="C92" s="221">
        <v>0</v>
      </c>
      <c r="D92" s="221">
        <v>0</v>
      </c>
      <c r="E92" s="221">
        <v>0</v>
      </c>
      <c r="F92" s="221">
        <v>0</v>
      </c>
      <c r="G92" s="221">
        <v>0</v>
      </c>
      <c r="H92" s="375">
        <v>0</v>
      </c>
      <c r="I92" s="375">
        <v>0</v>
      </c>
      <c r="J92" s="375">
        <v>0</v>
      </c>
      <c r="K92" s="375">
        <v>0</v>
      </c>
      <c r="L92" s="375">
        <v>0</v>
      </c>
      <c r="M92" s="375">
        <v>0</v>
      </c>
      <c r="N92" s="375">
        <v>0</v>
      </c>
      <c r="O92" s="524"/>
    </row>
    <row r="93" spans="1:15" s="211" customFormat="1" x14ac:dyDescent="0.3">
      <c r="A93" s="210" t="s">
        <v>310</v>
      </c>
      <c r="B93" s="210" t="s">
        <v>311</v>
      </c>
      <c r="C93" s="221">
        <v>0</v>
      </c>
      <c r="D93" s="221">
        <v>0</v>
      </c>
      <c r="E93" s="221">
        <v>0</v>
      </c>
      <c r="F93" s="221">
        <v>0</v>
      </c>
      <c r="G93" s="221">
        <v>0</v>
      </c>
      <c r="H93" s="375">
        <v>0</v>
      </c>
      <c r="I93" s="375">
        <v>0</v>
      </c>
      <c r="J93" s="375">
        <v>0</v>
      </c>
      <c r="K93" s="375">
        <v>0</v>
      </c>
      <c r="L93" s="375">
        <v>0</v>
      </c>
      <c r="M93" s="375">
        <v>0</v>
      </c>
      <c r="N93" s="375">
        <v>0</v>
      </c>
      <c r="O93" s="524"/>
    </row>
    <row r="94" spans="1:15" s="211" customFormat="1" x14ac:dyDescent="0.3">
      <c r="A94" s="210" t="s">
        <v>312</v>
      </c>
      <c r="B94" s="210" t="s">
        <v>313</v>
      </c>
      <c r="C94" s="221">
        <v>0</v>
      </c>
      <c r="D94" s="221">
        <v>0</v>
      </c>
      <c r="E94" s="221">
        <v>0</v>
      </c>
      <c r="F94" s="221">
        <v>0</v>
      </c>
      <c r="G94" s="221">
        <v>0</v>
      </c>
      <c r="H94" s="375">
        <v>0</v>
      </c>
      <c r="I94" s="375">
        <v>0</v>
      </c>
      <c r="J94" s="375">
        <v>0</v>
      </c>
      <c r="K94" s="375">
        <v>0</v>
      </c>
      <c r="L94" s="375">
        <v>0</v>
      </c>
      <c r="M94" s="375">
        <v>0</v>
      </c>
      <c r="N94" s="375">
        <v>0</v>
      </c>
      <c r="O94" s="524"/>
    </row>
    <row r="95" spans="1:15" s="211" customFormat="1" x14ac:dyDescent="0.3">
      <c r="A95" s="210" t="s">
        <v>314</v>
      </c>
      <c r="B95" s="210" t="s">
        <v>315</v>
      </c>
      <c r="C95" s="103">
        <v>0</v>
      </c>
      <c r="D95" s="103">
        <v>0</v>
      </c>
      <c r="E95" s="103">
        <v>0</v>
      </c>
      <c r="F95" s="103">
        <v>0</v>
      </c>
      <c r="G95" s="103">
        <v>0</v>
      </c>
      <c r="H95" s="372">
        <v>0</v>
      </c>
      <c r="I95" s="372">
        <v>0</v>
      </c>
      <c r="J95" s="372">
        <v>0</v>
      </c>
      <c r="K95" s="372">
        <v>0</v>
      </c>
      <c r="L95" s="372">
        <v>0</v>
      </c>
      <c r="M95" s="372">
        <v>0</v>
      </c>
      <c r="N95" s="372">
        <v>0</v>
      </c>
      <c r="O95" s="524"/>
    </row>
    <row r="96" spans="1:15" s="211" customFormat="1" x14ac:dyDescent="0.3">
      <c r="A96" s="210" t="s">
        <v>316</v>
      </c>
      <c r="B96" s="210" t="s">
        <v>317</v>
      </c>
      <c r="C96" s="221">
        <v>0</v>
      </c>
      <c r="D96" s="221">
        <v>0</v>
      </c>
      <c r="E96" s="221">
        <v>0</v>
      </c>
      <c r="F96" s="221">
        <v>0</v>
      </c>
      <c r="G96" s="221">
        <v>0</v>
      </c>
      <c r="H96" s="375">
        <v>0</v>
      </c>
      <c r="I96" s="375">
        <v>0</v>
      </c>
      <c r="J96" s="375">
        <v>0</v>
      </c>
      <c r="K96" s="375">
        <v>0</v>
      </c>
      <c r="L96" s="375">
        <v>0</v>
      </c>
      <c r="M96" s="375">
        <v>0</v>
      </c>
      <c r="N96" s="375">
        <v>0</v>
      </c>
      <c r="O96" s="524"/>
    </row>
    <row r="97" spans="1:34" s="211" customFormat="1" x14ac:dyDescent="0.3">
      <c r="A97" s="210" t="s">
        <v>318</v>
      </c>
      <c r="B97" s="210" t="s">
        <v>319</v>
      </c>
      <c r="C97" s="103">
        <v>0</v>
      </c>
      <c r="D97" s="103">
        <v>0</v>
      </c>
      <c r="E97" s="103">
        <v>0</v>
      </c>
      <c r="F97" s="103">
        <v>0</v>
      </c>
      <c r="G97" s="103">
        <v>0</v>
      </c>
      <c r="H97" s="372">
        <v>0</v>
      </c>
      <c r="I97" s="372">
        <v>0</v>
      </c>
      <c r="J97" s="372">
        <v>0</v>
      </c>
      <c r="K97" s="372">
        <v>0</v>
      </c>
      <c r="L97" s="372">
        <v>0</v>
      </c>
      <c r="M97" s="372">
        <v>0</v>
      </c>
      <c r="N97" s="372">
        <v>0</v>
      </c>
      <c r="O97" s="524"/>
    </row>
    <row r="98" spans="1:34" s="211" customFormat="1" x14ac:dyDescent="0.3">
      <c r="A98" s="210" t="s">
        <v>320</v>
      </c>
      <c r="B98" s="210" t="s">
        <v>321</v>
      </c>
      <c r="C98" s="103">
        <v>0</v>
      </c>
      <c r="D98" s="103">
        <v>0</v>
      </c>
      <c r="E98" s="103">
        <v>0</v>
      </c>
      <c r="F98" s="103">
        <v>0</v>
      </c>
      <c r="G98" s="103">
        <v>0</v>
      </c>
      <c r="H98" s="372">
        <v>0</v>
      </c>
      <c r="I98" s="372">
        <v>0</v>
      </c>
      <c r="J98" s="372">
        <v>0</v>
      </c>
      <c r="K98" s="372">
        <v>0</v>
      </c>
      <c r="L98" s="372">
        <v>0</v>
      </c>
      <c r="M98" s="372">
        <v>0</v>
      </c>
      <c r="N98" s="372">
        <v>0</v>
      </c>
      <c r="O98" s="524"/>
    </row>
    <row r="99" spans="1:34" s="211" customFormat="1" x14ac:dyDescent="0.3">
      <c r="A99" s="210" t="s">
        <v>322</v>
      </c>
      <c r="B99" s="210" t="s">
        <v>323</v>
      </c>
      <c r="C99" s="103">
        <v>0</v>
      </c>
      <c r="D99" s="103">
        <v>0</v>
      </c>
      <c r="E99" s="103">
        <v>0</v>
      </c>
      <c r="F99" s="103">
        <v>0</v>
      </c>
      <c r="G99" s="103">
        <v>0</v>
      </c>
      <c r="H99" s="372">
        <v>0</v>
      </c>
      <c r="I99" s="372">
        <v>0</v>
      </c>
      <c r="J99" s="372">
        <v>0</v>
      </c>
      <c r="K99" s="372">
        <v>0</v>
      </c>
      <c r="L99" s="372">
        <v>0</v>
      </c>
      <c r="M99" s="372">
        <v>0</v>
      </c>
      <c r="N99" s="372">
        <v>0</v>
      </c>
      <c r="O99" s="524"/>
    </row>
    <row r="100" spans="1:34" s="211" customFormat="1" x14ac:dyDescent="0.3">
      <c r="A100" s="210" t="s">
        <v>324</v>
      </c>
      <c r="B100" s="222" t="s">
        <v>350</v>
      </c>
      <c r="C100" s="103">
        <v>0</v>
      </c>
      <c r="D100" s="103">
        <v>0</v>
      </c>
      <c r="E100" s="103">
        <v>0</v>
      </c>
      <c r="F100" s="103">
        <v>0</v>
      </c>
      <c r="G100" s="103">
        <v>0</v>
      </c>
      <c r="H100" s="372">
        <v>0</v>
      </c>
      <c r="I100" s="372">
        <v>0</v>
      </c>
      <c r="J100" s="372">
        <v>0</v>
      </c>
      <c r="K100" s="372">
        <v>0</v>
      </c>
      <c r="L100" s="372">
        <v>0</v>
      </c>
      <c r="M100" s="372">
        <v>0</v>
      </c>
      <c r="N100" s="372">
        <v>0</v>
      </c>
      <c r="O100" s="524"/>
    </row>
    <row r="101" spans="1:34" s="211" customFormat="1" x14ac:dyDescent="0.3">
      <c r="A101" s="296" t="s">
        <v>326</v>
      </c>
      <c r="B101" s="296" t="s">
        <v>327</v>
      </c>
      <c r="C101" s="103">
        <v>0</v>
      </c>
      <c r="D101" s="103">
        <v>0</v>
      </c>
      <c r="E101" s="103">
        <v>0</v>
      </c>
      <c r="F101" s="103">
        <v>0</v>
      </c>
      <c r="G101" s="103">
        <v>0</v>
      </c>
      <c r="H101" s="372">
        <v>0</v>
      </c>
      <c r="I101" s="372">
        <v>0</v>
      </c>
      <c r="J101" s="372">
        <v>0</v>
      </c>
      <c r="K101" s="372">
        <v>0</v>
      </c>
      <c r="L101" s="372">
        <v>0</v>
      </c>
      <c r="M101" s="372">
        <v>0</v>
      </c>
      <c r="N101" s="372">
        <v>0</v>
      </c>
      <c r="O101" s="524"/>
    </row>
    <row r="102" spans="1:34" s="211" customFormat="1" x14ac:dyDescent="0.3">
      <c r="A102" s="296"/>
      <c r="B102" s="300" t="s">
        <v>382</v>
      </c>
      <c r="C102" s="470"/>
      <c r="D102" s="470"/>
      <c r="E102" s="470"/>
      <c r="F102" s="470"/>
      <c r="G102" s="470"/>
      <c r="H102" s="529"/>
      <c r="I102" s="529"/>
      <c r="J102" s="529"/>
      <c r="K102" s="529"/>
      <c r="L102" s="529"/>
      <c r="M102" s="529"/>
      <c r="N102" s="529"/>
      <c r="O102" s="524"/>
    </row>
    <row r="103" spans="1:34" x14ac:dyDescent="0.3">
      <c r="A103" s="208"/>
      <c r="B103" s="209" t="s">
        <v>328</v>
      </c>
      <c r="C103" s="223">
        <f>SUM(C51:C101)</f>
        <v>0</v>
      </c>
      <c r="D103" s="218">
        <f t="shared" ref="D103:N103" si="13">SUM(D51:D101)</f>
        <v>0</v>
      </c>
      <c r="E103" s="218">
        <f t="shared" si="13"/>
        <v>0</v>
      </c>
      <c r="F103" s="218">
        <f t="shared" si="13"/>
        <v>0</v>
      </c>
      <c r="G103" s="218">
        <f t="shared" si="13"/>
        <v>0</v>
      </c>
      <c r="H103" s="218">
        <f t="shared" si="13"/>
        <v>0</v>
      </c>
      <c r="I103" s="218">
        <f t="shared" si="13"/>
        <v>0</v>
      </c>
      <c r="J103" s="218">
        <f t="shared" si="13"/>
        <v>0</v>
      </c>
      <c r="K103" s="218">
        <f t="shared" si="13"/>
        <v>0</v>
      </c>
      <c r="L103" s="218">
        <f t="shared" si="13"/>
        <v>0</v>
      </c>
      <c r="M103" s="218">
        <f t="shared" si="13"/>
        <v>0</v>
      </c>
      <c r="N103" s="218">
        <f t="shared" si="13"/>
        <v>0</v>
      </c>
      <c r="O103" s="238">
        <f>SUM(C103:N103)</f>
        <v>0</v>
      </c>
    </row>
    <row r="104" spans="1:34" x14ac:dyDescent="0.3">
      <c r="A104" s="205"/>
      <c r="B104" s="205"/>
      <c r="C104" s="219"/>
      <c r="D104" s="219"/>
      <c r="E104" s="219"/>
      <c r="F104" s="219"/>
      <c r="G104" s="219"/>
      <c r="H104" s="219"/>
      <c r="I104" s="219"/>
      <c r="J104" s="219"/>
      <c r="K104" s="219"/>
      <c r="L104" s="219"/>
      <c r="M104" s="219"/>
      <c r="N104" s="219"/>
      <c r="O104" s="526"/>
    </row>
    <row r="105" spans="1:34" ht="15" thickBot="1" x14ac:dyDescent="0.35">
      <c r="A105" s="214"/>
      <c r="B105" s="215" t="s">
        <v>329</v>
      </c>
      <c r="C105" s="224">
        <f>C21-C50-C103</f>
        <v>1634.96</v>
      </c>
      <c r="D105" s="224">
        <f t="shared" ref="D105:N105" si="14">D21-D50-D103</f>
        <v>1365.9849999999997</v>
      </c>
      <c r="E105" s="224">
        <f t="shared" si="14"/>
        <v>1717.21</v>
      </c>
      <c r="F105" s="224">
        <f t="shared" si="14"/>
        <v>1283.7349999999997</v>
      </c>
      <c r="G105" s="224">
        <f t="shared" si="14"/>
        <v>1117.3899999999999</v>
      </c>
      <c r="H105" s="224">
        <f t="shared" si="14"/>
        <v>1107.2000000000003</v>
      </c>
      <c r="I105" s="224">
        <f t="shared" si="14"/>
        <v>1634.96</v>
      </c>
      <c r="J105" s="224">
        <f t="shared" si="14"/>
        <v>1107.2000000000003</v>
      </c>
      <c r="K105" s="224">
        <f t="shared" si="14"/>
        <v>1893.7449999999999</v>
      </c>
      <c r="L105" s="224">
        <f t="shared" si="14"/>
        <v>930.66499999999996</v>
      </c>
      <c r="M105" s="224">
        <f t="shared" si="14"/>
        <v>1189.4499999999998</v>
      </c>
      <c r="N105" s="224">
        <f t="shared" si="14"/>
        <v>1376.1750000000002</v>
      </c>
      <c r="O105" s="225">
        <f>SUM(C105:N105)</f>
        <v>16358.674999999999</v>
      </c>
      <c r="P105" s="249">
        <f>O105/O20</f>
        <v>0.29518490248726054</v>
      </c>
    </row>
    <row r="106" spans="1:34" ht="15" thickTop="1" x14ac:dyDescent="0.3">
      <c r="C106" s="226"/>
      <c r="D106" s="226"/>
      <c r="E106" s="226"/>
      <c r="F106" s="226"/>
      <c r="G106" s="226"/>
      <c r="H106" s="226"/>
      <c r="I106" s="226"/>
      <c r="J106" s="226"/>
      <c r="K106" s="226"/>
      <c r="L106" s="226"/>
      <c r="M106" s="226"/>
      <c r="N106" s="226"/>
    </row>
    <row r="107" spans="1:34" s="230" customFormat="1" x14ac:dyDescent="0.3">
      <c r="A107" s="211" t="s">
        <v>351</v>
      </c>
      <c r="B107" s="234" t="s">
        <v>352</v>
      </c>
      <c r="C107" s="227" t="s">
        <v>353</v>
      </c>
      <c r="D107" s="227" t="s">
        <v>354</v>
      </c>
      <c r="E107" s="227" t="s">
        <v>353</v>
      </c>
      <c r="F107" s="227" t="s">
        <v>354</v>
      </c>
      <c r="G107" s="227" t="s">
        <v>355</v>
      </c>
      <c r="H107" s="227" t="s">
        <v>355</v>
      </c>
      <c r="I107" s="227" t="s">
        <v>353</v>
      </c>
      <c r="J107" s="227" t="s">
        <v>355</v>
      </c>
      <c r="K107" s="227" t="s">
        <v>356</v>
      </c>
      <c r="L107" s="227" t="s">
        <v>357</v>
      </c>
      <c r="M107" s="227" t="s">
        <v>355</v>
      </c>
      <c r="N107" s="227" t="s">
        <v>354</v>
      </c>
      <c r="O107" s="228"/>
      <c r="P107" s="229"/>
      <c r="Q107" s="229"/>
      <c r="R107" s="229"/>
      <c r="S107" s="229"/>
      <c r="T107" s="229"/>
      <c r="U107" s="229"/>
      <c r="V107" s="229"/>
      <c r="W107" s="229"/>
      <c r="X107" s="229"/>
      <c r="Y107" s="229"/>
      <c r="Z107" s="229"/>
      <c r="AA107" s="229"/>
      <c r="AB107" s="229"/>
      <c r="AC107" s="229"/>
      <c r="AD107" s="229"/>
      <c r="AE107" s="229"/>
      <c r="AF107" s="229"/>
      <c r="AG107" s="229"/>
      <c r="AH107" s="229"/>
    </row>
    <row r="108" spans="1:34" s="230" customFormat="1" x14ac:dyDescent="0.3">
      <c r="A108" s="211"/>
      <c r="B108" s="234" t="s">
        <v>358</v>
      </c>
      <c r="C108" s="227" t="s">
        <v>359</v>
      </c>
      <c r="D108" s="227" t="s">
        <v>359</v>
      </c>
      <c r="E108" s="227" t="s">
        <v>360</v>
      </c>
      <c r="F108" s="227"/>
      <c r="G108" s="227" t="s">
        <v>359</v>
      </c>
      <c r="H108" s="227" t="s">
        <v>359</v>
      </c>
      <c r="I108" s="227" t="s">
        <v>359</v>
      </c>
      <c r="J108" s="227" t="s">
        <v>359</v>
      </c>
      <c r="K108" s="227" t="s">
        <v>359</v>
      </c>
      <c r="L108" s="227" t="s">
        <v>360</v>
      </c>
      <c r="M108" s="227" t="s">
        <v>360</v>
      </c>
      <c r="N108" s="227" t="s">
        <v>359</v>
      </c>
      <c r="O108" s="228"/>
      <c r="P108" s="229"/>
      <c r="Q108" s="229"/>
      <c r="R108" s="229"/>
      <c r="S108" s="229"/>
      <c r="T108" s="229"/>
      <c r="U108" s="229"/>
      <c r="V108" s="229"/>
      <c r="W108" s="229"/>
      <c r="X108" s="229"/>
      <c r="Y108" s="229"/>
      <c r="Z108" s="229"/>
      <c r="AA108" s="229"/>
      <c r="AB108" s="229"/>
      <c r="AC108" s="229"/>
      <c r="AD108" s="229"/>
      <c r="AE108" s="229"/>
      <c r="AF108" s="229"/>
      <c r="AG108" s="229"/>
      <c r="AH108" s="229"/>
    </row>
    <row r="109" spans="1:34" s="230" customFormat="1" x14ac:dyDescent="0.3">
      <c r="A109" s="211"/>
      <c r="B109" s="234" t="s">
        <v>361</v>
      </c>
      <c r="C109" s="227"/>
      <c r="D109" s="227" t="s">
        <v>359</v>
      </c>
      <c r="E109" s="227"/>
      <c r="F109" s="227" t="s">
        <v>359</v>
      </c>
      <c r="G109" s="227"/>
      <c r="H109" s="227" t="s">
        <v>359</v>
      </c>
      <c r="I109" s="227"/>
      <c r="J109" s="227" t="s">
        <v>359</v>
      </c>
      <c r="K109" s="227"/>
      <c r="L109" s="227" t="s">
        <v>359</v>
      </c>
      <c r="M109" s="227" t="s">
        <v>359</v>
      </c>
      <c r="N109" s="227"/>
      <c r="O109" s="228"/>
      <c r="P109" s="229"/>
      <c r="Q109" s="229"/>
      <c r="R109" s="229"/>
      <c r="S109" s="229"/>
      <c r="T109" s="229"/>
      <c r="U109" s="229"/>
      <c r="V109" s="229"/>
      <c r="W109" s="229"/>
      <c r="X109" s="229"/>
      <c r="Y109" s="229"/>
      <c r="Z109" s="229"/>
      <c r="AA109" s="229"/>
      <c r="AB109" s="229"/>
      <c r="AC109" s="229"/>
      <c r="AD109" s="229"/>
      <c r="AE109" s="229"/>
      <c r="AF109" s="229"/>
      <c r="AG109" s="229"/>
      <c r="AH109" s="229"/>
    </row>
    <row r="110" spans="1:34" s="230" customFormat="1" x14ac:dyDescent="0.3">
      <c r="A110" s="211"/>
      <c r="B110" s="234" t="s">
        <v>362</v>
      </c>
      <c r="C110" s="227"/>
      <c r="D110" s="227">
        <v>1</v>
      </c>
      <c r="E110" s="227"/>
      <c r="F110" s="227">
        <v>1</v>
      </c>
      <c r="G110" s="227"/>
      <c r="H110" s="227">
        <v>1</v>
      </c>
      <c r="I110" s="227"/>
      <c r="J110" s="227">
        <v>1</v>
      </c>
      <c r="K110" s="227"/>
      <c r="L110" s="227">
        <v>1</v>
      </c>
      <c r="M110" s="227">
        <v>1</v>
      </c>
      <c r="N110" s="227"/>
      <c r="O110" s="231"/>
    </row>
    <row r="111" spans="1:34" s="230" customFormat="1" x14ac:dyDescent="0.3">
      <c r="A111" s="211"/>
      <c r="B111" s="211"/>
      <c r="C111" s="232"/>
      <c r="D111" s="232"/>
      <c r="E111" s="232"/>
      <c r="F111" s="232"/>
      <c r="G111" s="232"/>
      <c r="H111" s="232"/>
      <c r="I111" s="232"/>
      <c r="J111" s="232"/>
      <c r="K111" s="232"/>
      <c r="L111" s="232"/>
      <c r="M111" s="232"/>
      <c r="N111" s="232"/>
      <c r="O111" s="233"/>
    </row>
    <row r="112" spans="1:34" x14ac:dyDescent="0.3">
      <c r="A112" s="216"/>
      <c r="B112" s="216"/>
    </row>
    <row r="115" spans="1:6" ht="43.2" x14ac:dyDescent="0.3">
      <c r="C115" s="217" t="s">
        <v>363</v>
      </c>
      <c r="D115" s="217" t="s">
        <v>364</v>
      </c>
      <c r="E115" s="217" t="s">
        <v>365</v>
      </c>
      <c r="F115" s="217" t="s">
        <v>366</v>
      </c>
    </row>
    <row r="116" spans="1:6" x14ac:dyDescent="0.3">
      <c r="A116" s="234" t="s">
        <v>367</v>
      </c>
      <c r="B116" s="234" t="s">
        <v>352</v>
      </c>
      <c r="C116" s="234">
        <v>15</v>
      </c>
      <c r="D116" s="234">
        <v>56</v>
      </c>
      <c r="E116" s="234">
        <v>15.5</v>
      </c>
      <c r="F116" s="234">
        <v>25</v>
      </c>
    </row>
    <row r="117" spans="1:6" x14ac:dyDescent="0.3">
      <c r="A117" s="234" t="s">
        <v>368</v>
      </c>
      <c r="B117" s="234" t="s">
        <v>358</v>
      </c>
      <c r="C117" s="234">
        <v>7</v>
      </c>
      <c r="D117" s="234">
        <v>39</v>
      </c>
      <c r="E117" s="234">
        <v>7</v>
      </c>
      <c r="F117" s="234">
        <v>25</v>
      </c>
    </row>
    <row r="118" spans="1:6" x14ac:dyDescent="0.3">
      <c r="A118" s="234" t="s">
        <v>369</v>
      </c>
      <c r="B118" s="234" t="s">
        <v>361</v>
      </c>
      <c r="C118" s="234">
        <v>4</v>
      </c>
      <c r="D118" s="234">
        <v>53.6</v>
      </c>
      <c r="E118" s="234">
        <v>7</v>
      </c>
      <c r="F118" s="234">
        <v>25</v>
      </c>
    </row>
    <row r="119" spans="1:6" x14ac:dyDescent="0.3">
      <c r="A119" s="234" t="s">
        <v>370</v>
      </c>
      <c r="B119" s="234" t="s">
        <v>362</v>
      </c>
      <c r="C119" s="234">
        <v>5</v>
      </c>
      <c r="D119" s="234">
        <v>25</v>
      </c>
      <c r="E119" s="234"/>
      <c r="F119" s="234"/>
    </row>
    <row r="120" spans="1:6" x14ac:dyDescent="0.3">
      <c r="A120" s="234" t="s">
        <v>371</v>
      </c>
      <c r="B120" s="235"/>
      <c r="C120" s="236"/>
      <c r="D120" s="236"/>
      <c r="E120" s="236"/>
      <c r="F120" s="236"/>
    </row>
  </sheetData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D002-50EC-4C20-B25D-4674D36B8E27}">
  <sheetPr>
    <tabColor rgb="FF00B050"/>
  </sheetPr>
  <dimension ref="A1:R133"/>
  <sheetViews>
    <sheetView topLeftCell="A103" zoomScale="73" zoomScaleNormal="73" workbookViewId="0">
      <selection activeCell="G136" sqref="G136:G138"/>
    </sheetView>
  </sheetViews>
  <sheetFormatPr defaultColWidth="9.109375" defaultRowHeight="14.4" x14ac:dyDescent="0.3"/>
  <cols>
    <col min="1" max="1" width="18" style="204" customWidth="1"/>
    <col min="2" max="2" width="38.88671875" style="204" customWidth="1"/>
    <col min="3" max="14" width="9.109375" style="204"/>
    <col min="15" max="15" width="12.33203125" style="411" customWidth="1"/>
    <col min="16" max="16384" width="9.109375" style="204"/>
  </cols>
  <sheetData>
    <row r="1" spans="1:18" x14ac:dyDescent="0.3">
      <c r="C1" s="201" t="s">
        <v>123</v>
      </c>
      <c r="D1" s="201" t="s">
        <v>124</v>
      </c>
      <c r="E1" s="201" t="s">
        <v>125</v>
      </c>
      <c r="F1" s="201" t="s">
        <v>126</v>
      </c>
      <c r="G1" s="201" t="s">
        <v>127</v>
      </c>
      <c r="H1" s="371" t="s">
        <v>128</v>
      </c>
      <c r="I1" s="371" t="s">
        <v>129</v>
      </c>
      <c r="J1" s="371" t="s">
        <v>130</v>
      </c>
      <c r="K1" s="371" t="s">
        <v>131</v>
      </c>
      <c r="L1" s="371" t="s">
        <v>132</v>
      </c>
      <c r="M1" s="371" t="s">
        <v>133</v>
      </c>
      <c r="N1" s="371" t="s">
        <v>134</v>
      </c>
      <c r="O1" s="397" t="s">
        <v>10</v>
      </c>
      <c r="P1" s="201"/>
      <c r="Q1" s="201"/>
      <c r="R1" s="201"/>
    </row>
    <row r="2" spans="1:18" x14ac:dyDescent="0.3">
      <c r="A2" s="97" t="s">
        <v>135</v>
      </c>
      <c r="B2" s="97" t="s">
        <v>136</v>
      </c>
      <c r="C2" s="202">
        <v>0</v>
      </c>
      <c r="D2" s="202">
        <v>0</v>
      </c>
      <c r="E2" s="202">
        <v>0</v>
      </c>
      <c r="F2" s="202">
        <v>0</v>
      </c>
      <c r="G2" s="202">
        <v>0</v>
      </c>
      <c r="H2" s="372">
        <v>0</v>
      </c>
      <c r="I2" s="372">
        <v>0</v>
      </c>
      <c r="J2" s="372">
        <v>0</v>
      </c>
      <c r="K2" s="372">
        <v>0</v>
      </c>
      <c r="L2" s="372">
        <v>0</v>
      </c>
      <c r="M2" s="372">
        <v>0</v>
      </c>
      <c r="N2" s="372">
        <v>0</v>
      </c>
      <c r="O2" s="398">
        <f t="shared" ref="O2:O24" si="0">SUM(C2:N2)</f>
        <v>0</v>
      </c>
    </row>
    <row r="3" spans="1:18" x14ac:dyDescent="0.3">
      <c r="A3" s="97" t="s">
        <v>137</v>
      </c>
      <c r="B3" s="97" t="s">
        <v>138</v>
      </c>
      <c r="C3" s="202">
        <v>0</v>
      </c>
      <c r="D3" s="202">
        <v>0</v>
      </c>
      <c r="E3" s="202">
        <v>0</v>
      </c>
      <c r="F3" s="202">
        <v>0</v>
      </c>
      <c r="G3" s="202">
        <v>0</v>
      </c>
      <c r="H3" s="372">
        <v>0</v>
      </c>
      <c r="I3" s="372">
        <v>0</v>
      </c>
      <c r="J3" s="372">
        <v>0</v>
      </c>
      <c r="K3" s="372">
        <v>0</v>
      </c>
      <c r="L3" s="372">
        <v>0</v>
      </c>
      <c r="M3" s="372">
        <v>0</v>
      </c>
      <c r="N3" s="372">
        <v>0</v>
      </c>
      <c r="O3" s="399">
        <f t="shared" si="0"/>
        <v>0</v>
      </c>
    </row>
    <row r="4" spans="1:18" x14ac:dyDescent="0.3">
      <c r="A4" s="97" t="s">
        <v>139</v>
      </c>
      <c r="B4" s="97" t="s">
        <v>140</v>
      </c>
      <c r="C4" s="202">
        <v>0</v>
      </c>
      <c r="D4" s="202">
        <v>0</v>
      </c>
      <c r="E4" s="202">
        <v>0</v>
      </c>
      <c r="F4" s="202">
        <v>0</v>
      </c>
      <c r="G4" s="202">
        <v>0</v>
      </c>
      <c r="H4" s="372">
        <v>0</v>
      </c>
      <c r="I4" s="372">
        <v>0</v>
      </c>
      <c r="J4" s="372">
        <v>0</v>
      </c>
      <c r="K4" s="372">
        <v>0</v>
      </c>
      <c r="L4" s="372">
        <v>0</v>
      </c>
      <c r="M4" s="372">
        <v>0</v>
      </c>
      <c r="N4" s="372">
        <v>0</v>
      </c>
      <c r="O4" s="399">
        <f t="shared" si="0"/>
        <v>0</v>
      </c>
    </row>
    <row r="5" spans="1:18" x14ac:dyDescent="0.3">
      <c r="A5" s="97" t="s">
        <v>340</v>
      </c>
      <c r="B5" s="97" t="s">
        <v>141</v>
      </c>
      <c r="C5" s="202">
        <v>0</v>
      </c>
      <c r="D5" s="202">
        <v>0</v>
      </c>
      <c r="E5" s="202">
        <v>0</v>
      </c>
      <c r="F5" s="202">
        <v>0</v>
      </c>
      <c r="G5" s="202">
        <v>0</v>
      </c>
      <c r="H5" s="372">
        <v>0</v>
      </c>
      <c r="I5" s="372">
        <v>0</v>
      </c>
      <c r="J5" s="372">
        <v>0</v>
      </c>
      <c r="K5" s="372">
        <v>0</v>
      </c>
      <c r="L5" s="372">
        <v>0</v>
      </c>
      <c r="M5" s="372">
        <v>0</v>
      </c>
      <c r="N5" s="372">
        <v>0</v>
      </c>
      <c r="O5" s="399">
        <f t="shared" si="0"/>
        <v>0</v>
      </c>
    </row>
    <row r="6" spans="1:18" x14ac:dyDescent="0.3">
      <c r="A6" s="97" t="s">
        <v>142</v>
      </c>
      <c r="B6" s="97" t="s">
        <v>143</v>
      </c>
      <c r="C6" s="202">
        <v>0</v>
      </c>
      <c r="D6" s="202">
        <v>0</v>
      </c>
      <c r="E6" s="202">
        <v>0</v>
      </c>
      <c r="F6" s="202">
        <v>0</v>
      </c>
      <c r="G6" s="202">
        <v>0</v>
      </c>
      <c r="H6" s="372">
        <v>0</v>
      </c>
      <c r="I6" s="372">
        <v>0</v>
      </c>
      <c r="J6" s="372">
        <v>0</v>
      </c>
      <c r="K6" s="372">
        <v>0</v>
      </c>
      <c r="L6" s="372">
        <v>0</v>
      </c>
      <c r="M6" s="372">
        <v>0</v>
      </c>
      <c r="N6" s="372">
        <v>0</v>
      </c>
      <c r="O6" s="399">
        <f t="shared" si="0"/>
        <v>0</v>
      </c>
    </row>
    <row r="7" spans="1:18" x14ac:dyDescent="0.3">
      <c r="A7" s="208"/>
      <c r="B7" s="209" t="s">
        <v>144</v>
      </c>
      <c r="C7" s="361">
        <f>SUM(C2:C6)</f>
        <v>0</v>
      </c>
      <c r="D7" s="361">
        <f t="shared" ref="D7:N7" si="1">SUM(D2:D6)</f>
        <v>0</v>
      </c>
      <c r="E7" s="361">
        <f t="shared" si="1"/>
        <v>0</v>
      </c>
      <c r="F7" s="361">
        <f t="shared" si="1"/>
        <v>0</v>
      </c>
      <c r="G7" s="361">
        <f t="shared" si="1"/>
        <v>0</v>
      </c>
      <c r="H7" s="379">
        <f t="shared" si="1"/>
        <v>0</v>
      </c>
      <c r="I7" s="379">
        <f t="shared" si="1"/>
        <v>0</v>
      </c>
      <c r="J7" s="379">
        <f t="shared" si="1"/>
        <v>0</v>
      </c>
      <c r="K7" s="379">
        <f t="shared" si="1"/>
        <v>0</v>
      </c>
      <c r="L7" s="379">
        <f t="shared" si="1"/>
        <v>0</v>
      </c>
      <c r="M7" s="379">
        <f t="shared" si="1"/>
        <v>0</v>
      </c>
      <c r="N7" s="379">
        <f t="shared" si="1"/>
        <v>0</v>
      </c>
      <c r="O7" s="400">
        <f t="shared" si="0"/>
        <v>0</v>
      </c>
    </row>
    <row r="8" spans="1:18" x14ac:dyDescent="0.3">
      <c r="A8" s="97" t="s">
        <v>145</v>
      </c>
      <c r="B8" s="97" t="s">
        <v>146</v>
      </c>
      <c r="C8" s="202">
        <v>0</v>
      </c>
      <c r="D8" s="202">
        <v>0</v>
      </c>
      <c r="E8" s="202">
        <v>0</v>
      </c>
      <c r="F8" s="202">
        <v>0</v>
      </c>
      <c r="G8" s="202">
        <v>0</v>
      </c>
      <c r="H8" s="372">
        <v>0</v>
      </c>
      <c r="I8" s="372">
        <v>0</v>
      </c>
      <c r="J8" s="372">
        <v>0</v>
      </c>
      <c r="K8" s="372">
        <v>0</v>
      </c>
      <c r="L8" s="372">
        <v>0</v>
      </c>
      <c r="M8" s="372">
        <v>0</v>
      </c>
      <c r="N8" s="372">
        <v>0</v>
      </c>
      <c r="O8" s="399">
        <f t="shared" si="0"/>
        <v>0</v>
      </c>
    </row>
    <row r="9" spans="1:18" x14ac:dyDescent="0.3">
      <c r="A9" s="97" t="s">
        <v>341</v>
      </c>
      <c r="B9" s="97" t="s">
        <v>147</v>
      </c>
      <c r="C9" s="202">
        <v>0</v>
      </c>
      <c r="D9" s="202">
        <v>0</v>
      </c>
      <c r="E9" s="202">
        <v>0</v>
      </c>
      <c r="F9" s="202">
        <v>0</v>
      </c>
      <c r="G9" s="202">
        <v>0</v>
      </c>
      <c r="H9" s="372">
        <v>0</v>
      </c>
      <c r="I9" s="372">
        <v>0</v>
      </c>
      <c r="J9" s="372">
        <v>0</v>
      </c>
      <c r="K9" s="372">
        <v>0</v>
      </c>
      <c r="L9" s="372">
        <v>0</v>
      </c>
      <c r="M9" s="372">
        <v>0</v>
      </c>
      <c r="N9" s="372">
        <v>0</v>
      </c>
      <c r="O9" s="399">
        <f t="shared" si="0"/>
        <v>0</v>
      </c>
    </row>
    <row r="10" spans="1:18" x14ac:dyDescent="0.3">
      <c r="A10" s="97" t="s">
        <v>148</v>
      </c>
      <c r="B10" s="97" t="s">
        <v>149</v>
      </c>
      <c r="C10" s="202">
        <v>0</v>
      </c>
      <c r="D10" s="202">
        <v>0</v>
      </c>
      <c r="E10" s="202">
        <v>0</v>
      </c>
      <c r="F10" s="202">
        <v>0</v>
      </c>
      <c r="G10" s="202">
        <v>0</v>
      </c>
      <c r="H10" s="372">
        <v>0</v>
      </c>
      <c r="I10" s="372">
        <v>0</v>
      </c>
      <c r="J10" s="372">
        <v>0</v>
      </c>
      <c r="K10" s="372">
        <v>0</v>
      </c>
      <c r="L10" s="372">
        <v>0</v>
      </c>
      <c r="M10" s="372">
        <v>0</v>
      </c>
      <c r="N10" s="372">
        <v>0</v>
      </c>
      <c r="O10" s="399">
        <f t="shared" si="0"/>
        <v>0</v>
      </c>
    </row>
    <row r="11" spans="1:18" x14ac:dyDescent="0.3">
      <c r="A11" s="97" t="s">
        <v>150</v>
      </c>
      <c r="B11" s="97" t="s">
        <v>151</v>
      </c>
      <c r="C11" s="202">
        <v>0</v>
      </c>
      <c r="D11" s="202">
        <v>0</v>
      </c>
      <c r="E11" s="202">
        <v>0</v>
      </c>
      <c r="F11" s="202">
        <v>0</v>
      </c>
      <c r="G11" s="202">
        <v>0</v>
      </c>
      <c r="H11" s="372">
        <v>0</v>
      </c>
      <c r="I11" s="372">
        <v>0</v>
      </c>
      <c r="J11" s="372">
        <v>0</v>
      </c>
      <c r="K11" s="372">
        <v>0</v>
      </c>
      <c r="L11" s="372">
        <v>0</v>
      </c>
      <c r="M11" s="372">
        <v>0</v>
      </c>
      <c r="N11" s="372">
        <v>0</v>
      </c>
      <c r="O11" s="399">
        <f t="shared" si="0"/>
        <v>0</v>
      </c>
    </row>
    <row r="12" spans="1:18" x14ac:dyDescent="0.3">
      <c r="A12" s="97" t="s">
        <v>152</v>
      </c>
      <c r="B12" s="97" t="s">
        <v>153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  <c r="H12" s="372">
        <v>0</v>
      </c>
      <c r="I12" s="372">
        <v>0</v>
      </c>
      <c r="J12" s="372">
        <v>0</v>
      </c>
      <c r="K12" s="372">
        <v>0</v>
      </c>
      <c r="L12" s="372">
        <v>0</v>
      </c>
      <c r="M12" s="372">
        <v>0</v>
      </c>
      <c r="N12" s="372">
        <v>0</v>
      </c>
      <c r="O12" s="399">
        <f t="shared" si="0"/>
        <v>0</v>
      </c>
    </row>
    <row r="13" spans="1:18" x14ac:dyDescent="0.3">
      <c r="A13" s="97" t="s">
        <v>154</v>
      </c>
      <c r="B13" s="97" t="s">
        <v>155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  <c r="H13" s="372">
        <v>0</v>
      </c>
      <c r="I13" s="372">
        <v>0</v>
      </c>
      <c r="J13" s="372">
        <v>0</v>
      </c>
      <c r="K13" s="372">
        <v>0</v>
      </c>
      <c r="L13" s="372">
        <v>0</v>
      </c>
      <c r="M13" s="372">
        <v>0</v>
      </c>
      <c r="N13" s="372">
        <v>0</v>
      </c>
      <c r="O13" s="399">
        <f t="shared" si="0"/>
        <v>0</v>
      </c>
    </row>
    <row r="14" spans="1:18" x14ac:dyDescent="0.3">
      <c r="A14" s="97" t="s">
        <v>156</v>
      </c>
      <c r="B14" s="97" t="s">
        <v>157</v>
      </c>
      <c r="C14" s="202">
        <v>0</v>
      </c>
      <c r="D14" s="202">
        <v>0</v>
      </c>
      <c r="E14" s="202">
        <v>0</v>
      </c>
      <c r="F14" s="202">
        <v>0</v>
      </c>
      <c r="G14" s="202">
        <v>0</v>
      </c>
      <c r="H14" s="372">
        <v>0</v>
      </c>
      <c r="I14" s="372">
        <v>0</v>
      </c>
      <c r="J14" s="372">
        <v>0</v>
      </c>
      <c r="K14" s="372">
        <v>0</v>
      </c>
      <c r="L14" s="372">
        <v>0</v>
      </c>
      <c r="M14" s="372">
        <v>0</v>
      </c>
      <c r="N14" s="372">
        <v>0</v>
      </c>
      <c r="O14" s="399">
        <f t="shared" si="0"/>
        <v>0</v>
      </c>
    </row>
    <row r="15" spans="1:18" s="126" customFormat="1" x14ac:dyDescent="0.3">
      <c r="A15" s="124" t="s">
        <v>158</v>
      </c>
      <c r="B15" s="124" t="s">
        <v>159</v>
      </c>
      <c r="C15" s="125">
        <v>0</v>
      </c>
      <c r="D15" s="125">
        <v>0</v>
      </c>
      <c r="E15" s="125">
        <v>0</v>
      </c>
      <c r="F15" s="125">
        <v>0</v>
      </c>
      <c r="G15" s="125">
        <v>0</v>
      </c>
      <c r="H15" s="384">
        <v>0</v>
      </c>
      <c r="I15" s="384">
        <v>0</v>
      </c>
      <c r="J15" s="384">
        <v>0</v>
      </c>
      <c r="K15" s="384">
        <v>0</v>
      </c>
      <c r="L15" s="384">
        <v>0</v>
      </c>
      <c r="M15" s="384">
        <v>0</v>
      </c>
      <c r="N15" s="384">
        <v>0</v>
      </c>
      <c r="O15" s="401">
        <f t="shared" si="0"/>
        <v>0</v>
      </c>
    </row>
    <row r="16" spans="1:18" x14ac:dyDescent="0.3">
      <c r="A16" s="97" t="s">
        <v>160</v>
      </c>
      <c r="B16" s="97" t="s">
        <v>161</v>
      </c>
      <c r="C16" s="202">
        <v>0</v>
      </c>
      <c r="D16" s="202">
        <v>0</v>
      </c>
      <c r="E16" s="202">
        <v>0</v>
      </c>
      <c r="F16" s="202">
        <v>0</v>
      </c>
      <c r="G16" s="202">
        <v>0</v>
      </c>
      <c r="H16" s="372">
        <v>0</v>
      </c>
      <c r="I16" s="372">
        <v>0</v>
      </c>
      <c r="J16" s="372">
        <v>0</v>
      </c>
      <c r="K16" s="372">
        <v>0</v>
      </c>
      <c r="L16" s="372">
        <v>0</v>
      </c>
      <c r="M16" s="372">
        <v>0</v>
      </c>
      <c r="N16" s="372">
        <v>0</v>
      </c>
      <c r="O16" s="399">
        <f t="shared" si="0"/>
        <v>0</v>
      </c>
    </row>
    <row r="17" spans="1:18" x14ac:dyDescent="0.3">
      <c r="A17" s="97" t="s">
        <v>162</v>
      </c>
      <c r="B17" s="97" t="s">
        <v>163</v>
      </c>
      <c r="C17" s="103">
        <v>0</v>
      </c>
      <c r="D17" s="103">
        <v>2625</v>
      </c>
      <c r="E17" s="103">
        <v>9024</v>
      </c>
      <c r="F17" s="103">
        <v>3500</v>
      </c>
      <c r="G17" s="103">
        <v>0</v>
      </c>
      <c r="H17" s="372">
        <v>5383</v>
      </c>
      <c r="I17" s="372">
        <v>4543</v>
      </c>
      <c r="J17" s="372">
        <v>3430</v>
      </c>
      <c r="K17" s="372">
        <v>4543</v>
      </c>
      <c r="L17" s="372">
        <v>4543</v>
      </c>
      <c r="M17" s="372">
        <v>4543</v>
      </c>
      <c r="N17" s="372">
        <v>1750</v>
      </c>
      <c r="O17" s="399">
        <f t="shared" si="0"/>
        <v>43884</v>
      </c>
    </row>
    <row r="18" spans="1:18" x14ac:dyDescent="0.3">
      <c r="A18" s="97" t="s">
        <v>342</v>
      </c>
      <c r="B18" s="97" t="s">
        <v>164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  <c r="H18" s="372">
        <v>0</v>
      </c>
      <c r="I18" s="372">
        <v>0</v>
      </c>
      <c r="J18" s="372">
        <v>0</v>
      </c>
      <c r="K18" s="372">
        <v>0</v>
      </c>
      <c r="L18" s="372">
        <v>0</v>
      </c>
      <c r="M18" s="372">
        <v>0</v>
      </c>
      <c r="N18" s="372">
        <v>0</v>
      </c>
      <c r="O18" s="399">
        <f t="shared" si="0"/>
        <v>0</v>
      </c>
    </row>
    <row r="19" spans="1:18" s="126" customFormat="1" x14ac:dyDescent="0.3">
      <c r="A19" s="124" t="s">
        <v>165</v>
      </c>
      <c r="B19" s="124" t="s">
        <v>166</v>
      </c>
      <c r="C19" s="125">
        <v>0</v>
      </c>
      <c r="D19" s="125">
        <v>0</v>
      </c>
      <c r="E19" s="125">
        <v>0</v>
      </c>
      <c r="F19" s="125">
        <v>0</v>
      </c>
      <c r="G19" s="125">
        <v>0</v>
      </c>
      <c r="H19" s="384">
        <v>0</v>
      </c>
      <c r="I19" s="384">
        <v>0</v>
      </c>
      <c r="J19" s="384">
        <v>0</v>
      </c>
      <c r="K19" s="384">
        <v>0</v>
      </c>
      <c r="L19" s="384"/>
      <c r="M19" s="384"/>
      <c r="N19" s="384"/>
      <c r="O19" s="401">
        <f t="shared" ref="O19" si="2">SUM(C19:N19)</f>
        <v>0</v>
      </c>
    </row>
    <row r="20" spans="1:18" x14ac:dyDescent="0.3">
      <c r="A20" s="97" t="s">
        <v>167</v>
      </c>
      <c r="B20" s="97" t="s">
        <v>168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  <c r="H20" s="372">
        <v>0</v>
      </c>
      <c r="I20" s="372">
        <v>0</v>
      </c>
      <c r="J20" s="372">
        <v>0</v>
      </c>
      <c r="K20" s="372">
        <v>0</v>
      </c>
      <c r="L20" s="372">
        <v>0</v>
      </c>
      <c r="M20" s="372">
        <v>0</v>
      </c>
      <c r="N20" s="372">
        <v>0</v>
      </c>
      <c r="O20" s="360">
        <f t="shared" ref="O20" si="3">SUM(C20:N20)</f>
        <v>0</v>
      </c>
    </row>
    <row r="21" spans="1:18" x14ac:dyDescent="0.3">
      <c r="A21" s="207" t="s">
        <v>169</v>
      </c>
      <c r="B21" s="207" t="s">
        <v>170</v>
      </c>
      <c r="C21" s="202">
        <v>0</v>
      </c>
      <c r="D21" s="202">
        <v>0</v>
      </c>
      <c r="E21" s="202">
        <v>0</v>
      </c>
      <c r="F21" s="202">
        <v>0</v>
      </c>
      <c r="G21" s="202">
        <v>0</v>
      </c>
      <c r="H21" s="372">
        <v>0</v>
      </c>
      <c r="I21" s="372">
        <v>0</v>
      </c>
      <c r="J21" s="372">
        <v>0</v>
      </c>
      <c r="K21" s="372">
        <v>0</v>
      </c>
      <c r="L21" s="372">
        <v>0</v>
      </c>
      <c r="M21" s="372">
        <v>0</v>
      </c>
      <c r="N21" s="372">
        <v>0</v>
      </c>
      <c r="O21" s="399">
        <f t="shared" si="0"/>
        <v>0</v>
      </c>
    </row>
    <row r="22" spans="1:18" s="126" customFormat="1" x14ac:dyDescent="0.3">
      <c r="A22" s="127" t="s">
        <v>171</v>
      </c>
      <c r="B22" s="127" t="s">
        <v>172</v>
      </c>
      <c r="C22" s="125">
        <v>0</v>
      </c>
      <c r="D22" s="125">
        <v>0</v>
      </c>
      <c r="E22" s="125">
        <v>0</v>
      </c>
      <c r="F22" s="125">
        <v>0</v>
      </c>
      <c r="G22" s="125">
        <v>0</v>
      </c>
      <c r="H22" s="384">
        <v>0</v>
      </c>
      <c r="I22" s="384">
        <v>0</v>
      </c>
      <c r="J22" s="384">
        <v>0</v>
      </c>
      <c r="K22" s="384">
        <v>0</v>
      </c>
      <c r="L22" s="384">
        <v>0</v>
      </c>
      <c r="M22" s="384">
        <v>0</v>
      </c>
      <c r="N22" s="384">
        <v>0</v>
      </c>
      <c r="O22" s="401">
        <f t="shared" si="0"/>
        <v>0</v>
      </c>
    </row>
    <row r="23" spans="1:18" x14ac:dyDescent="0.3">
      <c r="A23" s="208"/>
      <c r="B23" s="209" t="s">
        <v>173</v>
      </c>
      <c r="C23" s="218">
        <f>SUM(C8:C22)</f>
        <v>0</v>
      </c>
      <c r="D23" s="218">
        <f t="shared" ref="D23:N23" si="4">SUM(D8:D22)</f>
        <v>2625</v>
      </c>
      <c r="E23" s="218">
        <f t="shared" si="4"/>
        <v>9024</v>
      </c>
      <c r="F23" s="218">
        <f t="shared" si="4"/>
        <v>3500</v>
      </c>
      <c r="G23" s="218">
        <f t="shared" si="4"/>
        <v>0</v>
      </c>
      <c r="H23" s="374">
        <f t="shared" si="4"/>
        <v>5383</v>
      </c>
      <c r="I23" s="374">
        <f t="shared" si="4"/>
        <v>4543</v>
      </c>
      <c r="J23" s="374">
        <f t="shared" si="4"/>
        <v>3430</v>
      </c>
      <c r="K23" s="374">
        <f t="shared" si="4"/>
        <v>4543</v>
      </c>
      <c r="L23" s="374">
        <f t="shared" si="4"/>
        <v>4543</v>
      </c>
      <c r="M23" s="374">
        <f t="shared" si="4"/>
        <v>4543</v>
      </c>
      <c r="N23" s="374">
        <f t="shared" si="4"/>
        <v>1750</v>
      </c>
      <c r="O23" s="400">
        <f t="shared" si="0"/>
        <v>43884</v>
      </c>
    </row>
    <row r="24" spans="1:18" x14ac:dyDescent="0.3">
      <c r="A24" s="205"/>
      <c r="B24" s="206" t="s">
        <v>174</v>
      </c>
      <c r="C24" s="219">
        <f>C23+C7</f>
        <v>0</v>
      </c>
      <c r="D24" s="219">
        <f t="shared" ref="D24:N24" si="5">D23+D7</f>
        <v>2625</v>
      </c>
      <c r="E24" s="219">
        <f t="shared" si="5"/>
        <v>9024</v>
      </c>
      <c r="F24" s="219">
        <f t="shared" si="5"/>
        <v>3500</v>
      </c>
      <c r="G24" s="219">
        <f t="shared" si="5"/>
        <v>0</v>
      </c>
      <c r="H24" s="376">
        <f t="shared" si="5"/>
        <v>5383</v>
      </c>
      <c r="I24" s="376">
        <f t="shared" si="5"/>
        <v>4543</v>
      </c>
      <c r="J24" s="376">
        <f t="shared" si="5"/>
        <v>3430</v>
      </c>
      <c r="K24" s="376">
        <f t="shared" si="5"/>
        <v>4543</v>
      </c>
      <c r="L24" s="376">
        <f t="shared" si="5"/>
        <v>4543</v>
      </c>
      <c r="M24" s="376">
        <f t="shared" si="5"/>
        <v>4543</v>
      </c>
      <c r="N24" s="376">
        <f t="shared" si="5"/>
        <v>1750</v>
      </c>
      <c r="O24" s="400">
        <f t="shared" si="0"/>
        <v>43884</v>
      </c>
    </row>
    <row r="25" spans="1:18" x14ac:dyDescent="0.3">
      <c r="A25" s="97" t="s">
        <v>343</v>
      </c>
      <c r="B25" s="97" t="s">
        <v>175</v>
      </c>
      <c r="C25" s="202"/>
      <c r="D25" s="202"/>
      <c r="E25" s="202"/>
      <c r="F25" s="202"/>
      <c r="G25" s="202"/>
      <c r="H25" s="372">
        <f t="shared" ref="H25:J25" si="6">($E$121*$F$121*H111)+($E$122*$F$122*H112)+($F$123*$E$123*H113)</f>
        <v>1725</v>
      </c>
      <c r="I25" s="372">
        <v>1337.5</v>
      </c>
      <c r="J25" s="372">
        <f t="shared" si="6"/>
        <v>775</v>
      </c>
      <c r="K25" s="372">
        <v>1338</v>
      </c>
      <c r="L25" s="372">
        <v>1338</v>
      </c>
      <c r="M25" s="372">
        <v>1338</v>
      </c>
      <c r="N25" s="372"/>
      <c r="O25" s="398">
        <f>SUM(C25:N25)</f>
        <v>7851.5</v>
      </c>
    </row>
    <row r="26" spans="1:18" x14ac:dyDescent="0.3">
      <c r="A26" s="97" t="s">
        <v>176</v>
      </c>
      <c r="B26" s="97" t="s">
        <v>344</v>
      </c>
      <c r="C26" s="268"/>
      <c r="D26" s="221"/>
      <c r="E26" s="221"/>
      <c r="F26" s="221"/>
      <c r="G26" s="221"/>
      <c r="H26" s="375">
        <v>138</v>
      </c>
      <c r="I26" s="375">
        <v>107</v>
      </c>
      <c r="J26" s="375">
        <v>62</v>
      </c>
      <c r="K26" s="375">
        <v>107</v>
      </c>
      <c r="L26" s="375">
        <v>107</v>
      </c>
      <c r="M26" s="375">
        <v>107</v>
      </c>
      <c r="N26" s="375">
        <f t="shared" ref="N26" si="7">N25*0.09</f>
        <v>0</v>
      </c>
      <c r="O26" s="399">
        <f t="shared" ref="O26:O28" si="8">SUM(C26:N26)</f>
        <v>628</v>
      </c>
    </row>
    <row r="27" spans="1:18" x14ac:dyDescent="0.3">
      <c r="A27" s="97" t="s">
        <v>178</v>
      </c>
      <c r="B27" s="97" t="s">
        <v>179</v>
      </c>
      <c r="C27" s="221">
        <v>0</v>
      </c>
      <c r="D27" s="221">
        <v>0</v>
      </c>
      <c r="E27" s="221">
        <v>0</v>
      </c>
      <c r="F27" s="221">
        <v>0</v>
      </c>
      <c r="G27" s="221">
        <v>0</v>
      </c>
      <c r="H27" s="375">
        <v>0</v>
      </c>
      <c r="I27" s="375">
        <v>0</v>
      </c>
      <c r="J27" s="375">
        <v>0</v>
      </c>
      <c r="K27" s="375">
        <v>0</v>
      </c>
      <c r="L27" s="375">
        <v>0</v>
      </c>
      <c r="M27" s="375">
        <v>0</v>
      </c>
      <c r="N27" s="375">
        <v>0</v>
      </c>
      <c r="O27" s="399">
        <f t="shared" si="8"/>
        <v>0</v>
      </c>
    </row>
    <row r="28" spans="1:18" x14ac:dyDescent="0.3">
      <c r="A28" s="207" t="s">
        <v>180</v>
      </c>
      <c r="B28" s="207" t="s">
        <v>181</v>
      </c>
      <c r="C28" s="221">
        <v>0</v>
      </c>
      <c r="D28" s="221">
        <v>0</v>
      </c>
      <c r="E28" s="221">
        <v>0</v>
      </c>
      <c r="F28" s="221">
        <v>0</v>
      </c>
      <c r="G28" s="221">
        <v>0</v>
      </c>
      <c r="H28" s="375">
        <v>0</v>
      </c>
      <c r="I28" s="375">
        <v>0</v>
      </c>
      <c r="J28" s="375">
        <v>0</v>
      </c>
      <c r="K28" s="375">
        <v>0</v>
      </c>
      <c r="L28" s="375">
        <v>0</v>
      </c>
      <c r="M28" s="375">
        <v>0</v>
      </c>
      <c r="N28" s="375">
        <v>0</v>
      </c>
      <c r="O28" s="402">
        <f t="shared" si="8"/>
        <v>0</v>
      </c>
    </row>
    <row r="29" spans="1:18" x14ac:dyDescent="0.3">
      <c r="A29" s="208"/>
      <c r="B29" s="209" t="s">
        <v>182</v>
      </c>
      <c r="C29" s="218">
        <f>SUM(C25:C28)</f>
        <v>0</v>
      </c>
      <c r="D29" s="218">
        <f t="shared" ref="D29:N29" si="9">SUM(D25:D28)</f>
        <v>0</v>
      </c>
      <c r="E29" s="218">
        <f t="shared" si="9"/>
        <v>0</v>
      </c>
      <c r="F29" s="218">
        <f t="shared" si="9"/>
        <v>0</v>
      </c>
      <c r="G29" s="218">
        <f t="shared" si="9"/>
        <v>0</v>
      </c>
      <c r="H29" s="374">
        <f t="shared" si="9"/>
        <v>1863</v>
      </c>
      <c r="I29" s="374">
        <f t="shared" si="9"/>
        <v>1444.5</v>
      </c>
      <c r="J29" s="374">
        <f t="shared" si="9"/>
        <v>837</v>
      </c>
      <c r="K29" s="374">
        <f t="shared" si="9"/>
        <v>1445</v>
      </c>
      <c r="L29" s="374">
        <f t="shared" si="9"/>
        <v>1445</v>
      </c>
      <c r="M29" s="374">
        <f t="shared" si="9"/>
        <v>1445</v>
      </c>
      <c r="N29" s="374">
        <f t="shared" si="9"/>
        <v>0</v>
      </c>
      <c r="O29" s="400">
        <f>SUM(C29:N29)</f>
        <v>8479.5</v>
      </c>
    </row>
    <row r="30" spans="1:18" x14ac:dyDescent="0.3">
      <c r="A30" s="97" t="s">
        <v>345</v>
      </c>
      <c r="B30" s="97" t="s">
        <v>183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  <c r="H30" s="372">
        <v>0</v>
      </c>
      <c r="I30" s="372">
        <v>0</v>
      </c>
      <c r="J30" s="372">
        <v>0</v>
      </c>
      <c r="K30" s="372">
        <v>0</v>
      </c>
      <c r="L30" s="372">
        <v>0</v>
      </c>
      <c r="M30" s="372">
        <v>0</v>
      </c>
      <c r="N30" s="372">
        <v>0</v>
      </c>
      <c r="O30" s="398">
        <f>SUM(C30:N30)</f>
        <v>0</v>
      </c>
    </row>
    <row r="31" spans="1:18" x14ac:dyDescent="0.3">
      <c r="A31" s="210" t="s">
        <v>184</v>
      </c>
      <c r="B31" s="210" t="s">
        <v>185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  <c r="H31" s="372">
        <v>0</v>
      </c>
      <c r="I31" s="372">
        <v>0</v>
      </c>
      <c r="J31" s="372">
        <v>0</v>
      </c>
      <c r="K31" s="372">
        <v>0</v>
      </c>
      <c r="L31" s="372">
        <v>0</v>
      </c>
      <c r="M31" s="372">
        <v>0</v>
      </c>
      <c r="N31" s="372">
        <v>0</v>
      </c>
      <c r="O31" s="399">
        <f t="shared" ref="O31:O50" si="10">SUM(C31:N31)</f>
        <v>0</v>
      </c>
      <c r="P31" s="211"/>
      <c r="Q31" s="211"/>
      <c r="R31" s="211"/>
    </row>
    <row r="32" spans="1:18" x14ac:dyDescent="0.3">
      <c r="A32" s="97" t="s">
        <v>186</v>
      </c>
      <c r="B32" s="97" t="s">
        <v>187</v>
      </c>
      <c r="C32" s="202">
        <v>0</v>
      </c>
      <c r="D32" s="202">
        <v>0</v>
      </c>
      <c r="E32" s="202">
        <v>0</v>
      </c>
      <c r="F32" s="202">
        <v>0</v>
      </c>
      <c r="G32" s="202">
        <v>0</v>
      </c>
      <c r="H32" s="372">
        <v>0</v>
      </c>
      <c r="I32" s="372">
        <v>0</v>
      </c>
      <c r="J32" s="372">
        <v>0</v>
      </c>
      <c r="K32" s="372">
        <v>0</v>
      </c>
      <c r="L32" s="372">
        <v>0</v>
      </c>
      <c r="M32" s="372">
        <v>0</v>
      </c>
      <c r="N32" s="372">
        <v>0</v>
      </c>
      <c r="O32" s="399">
        <f t="shared" si="10"/>
        <v>0</v>
      </c>
    </row>
    <row r="33" spans="1:18" x14ac:dyDescent="0.3">
      <c r="A33" s="97" t="s">
        <v>188</v>
      </c>
      <c r="B33" s="97" t="s">
        <v>189</v>
      </c>
      <c r="C33" s="202">
        <v>0</v>
      </c>
      <c r="D33" s="202">
        <v>0</v>
      </c>
      <c r="E33" s="202">
        <v>0</v>
      </c>
      <c r="F33" s="202">
        <v>0</v>
      </c>
      <c r="G33" s="202">
        <v>0</v>
      </c>
      <c r="H33" s="372">
        <v>0</v>
      </c>
      <c r="I33" s="372">
        <v>0</v>
      </c>
      <c r="J33" s="372">
        <v>0</v>
      </c>
      <c r="K33" s="372">
        <v>0</v>
      </c>
      <c r="L33" s="372">
        <v>0</v>
      </c>
      <c r="M33" s="372">
        <v>0</v>
      </c>
      <c r="N33" s="372">
        <v>0</v>
      </c>
      <c r="O33" s="399">
        <f t="shared" si="10"/>
        <v>0</v>
      </c>
    </row>
    <row r="34" spans="1:18" x14ac:dyDescent="0.3">
      <c r="A34" s="97" t="s">
        <v>190</v>
      </c>
      <c r="B34" s="97" t="s">
        <v>191</v>
      </c>
      <c r="C34" s="202">
        <v>0</v>
      </c>
      <c r="D34" s="202">
        <v>0</v>
      </c>
      <c r="E34" s="202">
        <v>0</v>
      </c>
      <c r="F34" s="202">
        <v>0</v>
      </c>
      <c r="G34" s="202">
        <v>0</v>
      </c>
      <c r="H34" s="372">
        <v>0</v>
      </c>
      <c r="I34" s="372">
        <v>0</v>
      </c>
      <c r="J34" s="372">
        <v>0</v>
      </c>
      <c r="K34" s="372">
        <v>0</v>
      </c>
      <c r="L34" s="372">
        <v>0</v>
      </c>
      <c r="M34" s="372">
        <v>0</v>
      </c>
      <c r="N34" s="372">
        <v>0</v>
      </c>
      <c r="O34" s="399">
        <f t="shared" si="10"/>
        <v>0</v>
      </c>
    </row>
    <row r="35" spans="1:18" x14ac:dyDescent="0.3">
      <c r="A35" s="97" t="s">
        <v>192</v>
      </c>
      <c r="B35" s="97" t="s">
        <v>193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  <c r="H35" s="372">
        <v>0</v>
      </c>
      <c r="I35" s="372">
        <v>0</v>
      </c>
      <c r="J35" s="372">
        <v>0</v>
      </c>
      <c r="K35" s="372">
        <v>0</v>
      </c>
      <c r="L35" s="372">
        <v>0</v>
      </c>
      <c r="M35" s="372">
        <v>0</v>
      </c>
      <c r="N35" s="372">
        <v>0</v>
      </c>
      <c r="O35" s="399">
        <f t="shared" si="10"/>
        <v>0</v>
      </c>
    </row>
    <row r="36" spans="1:18" x14ac:dyDescent="0.3">
      <c r="A36" s="97" t="s">
        <v>194</v>
      </c>
      <c r="B36" s="97" t="s">
        <v>195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  <c r="H36" s="372">
        <v>0</v>
      </c>
      <c r="I36" s="372">
        <v>0</v>
      </c>
      <c r="J36" s="372">
        <v>0</v>
      </c>
      <c r="K36" s="372">
        <v>0</v>
      </c>
      <c r="L36" s="372">
        <v>0</v>
      </c>
      <c r="M36" s="372">
        <v>0</v>
      </c>
      <c r="N36" s="372">
        <v>0</v>
      </c>
      <c r="O36" s="399">
        <f t="shared" si="10"/>
        <v>0</v>
      </c>
    </row>
    <row r="37" spans="1:18" x14ac:dyDescent="0.3">
      <c r="A37" s="269" t="s">
        <v>196</v>
      </c>
      <c r="B37" s="269" t="s">
        <v>346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  <c r="H37" s="372">
        <v>0</v>
      </c>
      <c r="I37" s="372">
        <v>0</v>
      </c>
      <c r="J37" s="372">
        <v>0</v>
      </c>
      <c r="K37" s="372">
        <v>0</v>
      </c>
      <c r="L37" s="372">
        <v>0</v>
      </c>
      <c r="M37" s="372">
        <v>0</v>
      </c>
      <c r="N37" s="372">
        <v>0</v>
      </c>
      <c r="O37" s="399">
        <f t="shared" si="10"/>
        <v>0</v>
      </c>
      <c r="P37" s="173"/>
      <c r="Q37" s="173"/>
      <c r="R37" s="173"/>
    </row>
    <row r="38" spans="1:18" x14ac:dyDescent="0.3">
      <c r="A38" s="269" t="s">
        <v>197</v>
      </c>
      <c r="B38" s="269" t="s">
        <v>198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  <c r="H38" s="372">
        <v>0</v>
      </c>
      <c r="I38" s="372">
        <v>0</v>
      </c>
      <c r="J38" s="372">
        <v>0</v>
      </c>
      <c r="K38" s="372">
        <v>0</v>
      </c>
      <c r="L38" s="372">
        <v>0</v>
      </c>
      <c r="M38" s="372">
        <v>0</v>
      </c>
      <c r="N38" s="372">
        <v>0</v>
      </c>
      <c r="O38" s="399">
        <f t="shared" si="10"/>
        <v>0</v>
      </c>
      <c r="P38" s="173"/>
      <c r="Q38" s="173"/>
      <c r="R38" s="173"/>
    </row>
    <row r="39" spans="1:18" x14ac:dyDescent="0.3">
      <c r="A39" s="97" t="s">
        <v>347</v>
      </c>
      <c r="B39" s="97" t="s">
        <v>199</v>
      </c>
      <c r="C39" s="202">
        <v>0</v>
      </c>
      <c r="D39" s="202">
        <v>0</v>
      </c>
      <c r="E39" s="202">
        <v>0</v>
      </c>
      <c r="F39" s="202">
        <v>0</v>
      </c>
      <c r="G39" s="202">
        <v>0</v>
      </c>
      <c r="H39" s="372">
        <v>0</v>
      </c>
      <c r="I39" s="372">
        <v>0</v>
      </c>
      <c r="J39" s="372">
        <v>0</v>
      </c>
      <c r="K39" s="372">
        <v>0</v>
      </c>
      <c r="L39" s="372">
        <v>0</v>
      </c>
      <c r="M39" s="372">
        <v>0</v>
      </c>
      <c r="N39" s="372">
        <v>0</v>
      </c>
      <c r="O39" s="399">
        <f t="shared" si="10"/>
        <v>0</v>
      </c>
    </row>
    <row r="40" spans="1:18" x14ac:dyDescent="0.3">
      <c r="A40" s="210" t="s">
        <v>200</v>
      </c>
      <c r="B40" s="210" t="s">
        <v>201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  <c r="H40" s="372">
        <v>0</v>
      </c>
      <c r="I40" s="372">
        <v>0</v>
      </c>
      <c r="J40" s="372">
        <v>0</v>
      </c>
      <c r="K40" s="372">
        <v>0</v>
      </c>
      <c r="L40" s="372">
        <v>0</v>
      </c>
      <c r="M40" s="372">
        <v>0</v>
      </c>
      <c r="N40" s="372">
        <v>0</v>
      </c>
      <c r="O40" s="399">
        <f t="shared" si="10"/>
        <v>0</v>
      </c>
      <c r="P40" s="211"/>
      <c r="Q40" s="211"/>
      <c r="R40" s="211"/>
    </row>
    <row r="41" spans="1:18" x14ac:dyDescent="0.3">
      <c r="A41" s="210" t="s">
        <v>202</v>
      </c>
      <c r="B41" s="210" t="s">
        <v>203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  <c r="H41" s="372">
        <v>0</v>
      </c>
      <c r="I41" s="372">
        <v>0</v>
      </c>
      <c r="J41" s="372">
        <v>0</v>
      </c>
      <c r="K41" s="372">
        <v>0</v>
      </c>
      <c r="L41" s="372">
        <v>0</v>
      </c>
      <c r="M41" s="372">
        <v>0</v>
      </c>
      <c r="N41" s="372">
        <v>0</v>
      </c>
      <c r="O41" s="399">
        <f t="shared" si="10"/>
        <v>0</v>
      </c>
      <c r="P41" s="211"/>
      <c r="Q41" s="211"/>
      <c r="R41" s="211"/>
    </row>
    <row r="42" spans="1:18" x14ac:dyDescent="0.3">
      <c r="A42" s="97" t="s">
        <v>204</v>
      </c>
      <c r="B42" s="97" t="s">
        <v>348</v>
      </c>
      <c r="C42" s="103">
        <v>819.25</v>
      </c>
      <c r="D42" s="103">
        <v>0</v>
      </c>
      <c r="E42" s="103">
        <v>0</v>
      </c>
      <c r="F42" s="103">
        <v>0</v>
      </c>
      <c r="G42" s="103">
        <v>1285.3</v>
      </c>
      <c r="H42" s="372">
        <v>0</v>
      </c>
      <c r="I42" s="372">
        <v>0</v>
      </c>
      <c r="J42" s="372">
        <v>0</v>
      </c>
      <c r="K42" s="372">
        <v>0</v>
      </c>
      <c r="L42" s="372">
        <v>0</v>
      </c>
      <c r="M42" s="372">
        <v>0</v>
      </c>
      <c r="N42" s="372">
        <v>0</v>
      </c>
      <c r="O42" s="399">
        <f t="shared" si="10"/>
        <v>2104.5500000000002</v>
      </c>
    </row>
    <row r="43" spans="1:18" x14ac:dyDescent="0.3">
      <c r="A43" s="97" t="s">
        <v>206</v>
      </c>
      <c r="B43" s="97" t="s">
        <v>207</v>
      </c>
      <c r="C43" s="103">
        <v>237.5</v>
      </c>
      <c r="D43" s="103">
        <v>175</v>
      </c>
      <c r="E43" s="103">
        <v>160</v>
      </c>
      <c r="F43" s="103">
        <v>477.5</v>
      </c>
      <c r="G43" s="103">
        <v>0</v>
      </c>
      <c r="H43" s="372">
        <v>0</v>
      </c>
      <c r="I43" s="372">
        <v>0</v>
      </c>
      <c r="J43" s="372">
        <v>0</v>
      </c>
      <c r="K43" s="372">
        <v>0</v>
      </c>
      <c r="L43" s="372">
        <v>0</v>
      </c>
      <c r="M43" s="372">
        <v>0</v>
      </c>
      <c r="N43" s="372">
        <v>0</v>
      </c>
      <c r="O43" s="399">
        <f t="shared" si="10"/>
        <v>1050</v>
      </c>
    </row>
    <row r="44" spans="1:18" x14ac:dyDescent="0.3">
      <c r="A44" s="210" t="s">
        <v>208</v>
      </c>
      <c r="B44" s="210" t="s">
        <v>209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  <c r="H44" s="372">
        <v>0</v>
      </c>
      <c r="I44" s="372">
        <v>0</v>
      </c>
      <c r="J44" s="372">
        <v>0</v>
      </c>
      <c r="K44" s="372">
        <v>0</v>
      </c>
      <c r="L44" s="372">
        <v>0</v>
      </c>
      <c r="M44" s="372">
        <v>0</v>
      </c>
      <c r="N44" s="372">
        <v>0</v>
      </c>
      <c r="O44" s="399">
        <f t="shared" si="10"/>
        <v>0</v>
      </c>
      <c r="P44" s="211"/>
      <c r="Q44" s="211"/>
      <c r="R44" s="211"/>
    </row>
    <row r="45" spans="1:18" x14ac:dyDescent="0.3">
      <c r="A45" s="210" t="s">
        <v>210</v>
      </c>
      <c r="B45" s="210" t="s">
        <v>211</v>
      </c>
      <c r="C45" s="202">
        <v>0</v>
      </c>
      <c r="D45" s="202">
        <v>0</v>
      </c>
      <c r="E45" s="202">
        <v>0</v>
      </c>
      <c r="F45" s="202">
        <v>0</v>
      </c>
      <c r="G45" s="202">
        <v>0</v>
      </c>
      <c r="H45" s="372">
        <v>0</v>
      </c>
      <c r="I45" s="372">
        <v>0</v>
      </c>
      <c r="J45" s="372">
        <v>0</v>
      </c>
      <c r="K45" s="372">
        <v>0</v>
      </c>
      <c r="L45" s="372">
        <v>0</v>
      </c>
      <c r="M45" s="372">
        <v>0</v>
      </c>
      <c r="N45" s="372">
        <v>0</v>
      </c>
      <c r="O45" s="399">
        <f t="shared" si="10"/>
        <v>0</v>
      </c>
      <c r="P45" s="211"/>
      <c r="Q45" s="211"/>
      <c r="R45" s="211"/>
    </row>
    <row r="46" spans="1:18" x14ac:dyDescent="0.3">
      <c r="A46" s="210" t="s">
        <v>212</v>
      </c>
      <c r="B46" s="210" t="s">
        <v>213</v>
      </c>
      <c r="C46" s="202">
        <v>0</v>
      </c>
      <c r="D46" s="202">
        <v>0</v>
      </c>
      <c r="E46" s="202">
        <v>0</v>
      </c>
      <c r="F46" s="202">
        <v>0</v>
      </c>
      <c r="G46" s="202">
        <v>0</v>
      </c>
      <c r="H46" s="372">
        <v>0</v>
      </c>
      <c r="I46" s="372">
        <v>0</v>
      </c>
      <c r="J46" s="372">
        <v>0</v>
      </c>
      <c r="K46" s="372">
        <v>0</v>
      </c>
      <c r="L46" s="372">
        <v>0</v>
      </c>
      <c r="M46" s="372">
        <v>0</v>
      </c>
      <c r="N46" s="372">
        <v>0</v>
      </c>
      <c r="O46" s="399">
        <f t="shared" si="10"/>
        <v>0</v>
      </c>
      <c r="P46" s="211"/>
      <c r="Q46" s="211"/>
      <c r="R46" s="211"/>
    </row>
    <row r="47" spans="1:18" x14ac:dyDescent="0.3">
      <c r="A47" s="210" t="s">
        <v>214</v>
      </c>
      <c r="B47" s="210" t="s">
        <v>215</v>
      </c>
      <c r="C47" s="202">
        <v>0</v>
      </c>
      <c r="D47" s="202">
        <v>0</v>
      </c>
      <c r="E47" s="202">
        <v>0</v>
      </c>
      <c r="F47" s="202">
        <v>0</v>
      </c>
      <c r="G47" s="202">
        <v>0</v>
      </c>
      <c r="H47" s="372">
        <v>0</v>
      </c>
      <c r="I47" s="372">
        <v>0</v>
      </c>
      <c r="J47" s="372">
        <v>0</v>
      </c>
      <c r="K47" s="372">
        <v>0</v>
      </c>
      <c r="L47" s="372">
        <v>0</v>
      </c>
      <c r="M47" s="372">
        <v>0</v>
      </c>
      <c r="N47" s="372">
        <v>0</v>
      </c>
      <c r="O47" s="399">
        <f t="shared" si="10"/>
        <v>0</v>
      </c>
      <c r="P47" s="211"/>
      <c r="Q47" s="211"/>
      <c r="R47" s="211"/>
    </row>
    <row r="48" spans="1:18" x14ac:dyDescent="0.3">
      <c r="A48" s="210" t="s">
        <v>216</v>
      </c>
      <c r="B48" s="210" t="s">
        <v>217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  <c r="H48" s="372">
        <v>0</v>
      </c>
      <c r="I48" s="372">
        <v>0</v>
      </c>
      <c r="J48" s="372">
        <v>0</v>
      </c>
      <c r="K48" s="372">
        <v>0</v>
      </c>
      <c r="L48" s="372">
        <v>0</v>
      </c>
      <c r="M48" s="372">
        <v>0</v>
      </c>
      <c r="N48" s="372">
        <v>0</v>
      </c>
      <c r="O48" s="399">
        <f t="shared" si="10"/>
        <v>0</v>
      </c>
      <c r="P48" s="211"/>
      <c r="Q48" s="211"/>
      <c r="R48" s="211"/>
    </row>
    <row r="49" spans="1:18" x14ac:dyDescent="0.3">
      <c r="A49" s="210" t="s">
        <v>218</v>
      </c>
      <c r="B49" s="210" t="s">
        <v>219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  <c r="H49" s="372">
        <v>0</v>
      </c>
      <c r="I49" s="372">
        <v>0</v>
      </c>
      <c r="J49" s="372">
        <v>0</v>
      </c>
      <c r="K49" s="372">
        <v>0</v>
      </c>
      <c r="L49" s="372">
        <v>0</v>
      </c>
      <c r="M49" s="372">
        <v>0</v>
      </c>
      <c r="N49" s="372">
        <v>0</v>
      </c>
      <c r="O49" s="399">
        <f t="shared" si="10"/>
        <v>0</v>
      </c>
      <c r="P49" s="211"/>
      <c r="Q49" s="211"/>
      <c r="R49" s="211"/>
    </row>
    <row r="50" spans="1:18" x14ac:dyDescent="0.3">
      <c r="A50" s="210" t="s">
        <v>220</v>
      </c>
      <c r="B50" s="210" t="s">
        <v>221</v>
      </c>
      <c r="C50" s="202">
        <v>0</v>
      </c>
      <c r="D50" s="202">
        <v>0</v>
      </c>
      <c r="E50" s="202">
        <v>0</v>
      </c>
      <c r="F50" s="202">
        <v>0</v>
      </c>
      <c r="G50" s="202">
        <v>0</v>
      </c>
      <c r="H50" s="372">
        <v>0</v>
      </c>
      <c r="I50" s="372">
        <v>0</v>
      </c>
      <c r="J50" s="372">
        <v>0</v>
      </c>
      <c r="K50" s="372">
        <v>0</v>
      </c>
      <c r="L50" s="372">
        <v>0</v>
      </c>
      <c r="M50" s="372">
        <v>0</v>
      </c>
      <c r="N50" s="372">
        <v>0</v>
      </c>
      <c r="O50" s="399">
        <f t="shared" si="10"/>
        <v>0</v>
      </c>
      <c r="P50" s="211"/>
      <c r="Q50" s="211"/>
      <c r="R50" s="211"/>
    </row>
    <row r="51" spans="1:18" x14ac:dyDescent="0.3">
      <c r="A51" s="207" t="s">
        <v>222</v>
      </c>
      <c r="B51" s="207" t="s">
        <v>223</v>
      </c>
      <c r="C51" s="202">
        <v>0</v>
      </c>
      <c r="D51" s="202">
        <v>0</v>
      </c>
      <c r="E51" s="202">
        <v>0</v>
      </c>
      <c r="F51" s="202">
        <v>0</v>
      </c>
      <c r="G51" s="202">
        <v>0</v>
      </c>
      <c r="H51" s="372">
        <v>0</v>
      </c>
      <c r="I51" s="372">
        <v>0</v>
      </c>
      <c r="J51" s="372">
        <v>0</v>
      </c>
      <c r="K51" s="372">
        <v>0</v>
      </c>
      <c r="L51" s="372">
        <v>0</v>
      </c>
      <c r="M51" s="372">
        <v>0</v>
      </c>
      <c r="N51" s="372">
        <v>0</v>
      </c>
      <c r="O51" s="402">
        <f>SUM(C51:N51)</f>
        <v>0</v>
      </c>
    </row>
    <row r="52" spans="1:18" x14ac:dyDescent="0.3">
      <c r="A52" s="208"/>
      <c r="B52" s="209" t="s">
        <v>224</v>
      </c>
      <c r="C52" s="218">
        <f>SUM(C30:C51)</f>
        <v>1056.75</v>
      </c>
      <c r="D52" s="218">
        <f t="shared" ref="D52:N52" si="11">SUM(D30:D51)</f>
        <v>175</v>
      </c>
      <c r="E52" s="218">
        <f t="shared" si="11"/>
        <v>160</v>
      </c>
      <c r="F52" s="218">
        <f t="shared" si="11"/>
        <v>477.5</v>
      </c>
      <c r="G52" s="218">
        <f t="shared" si="11"/>
        <v>1285.3</v>
      </c>
      <c r="H52" s="374">
        <f t="shared" si="11"/>
        <v>0</v>
      </c>
      <c r="I52" s="374">
        <f t="shared" si="11"/>
        <v>0</v>
      </c>
      <c r="J52" s="374">
        <f t="shared" si="11"/>
        <v>0</v>
      </c>
      <c r="K52" s="374">
        <f t="shared" si="11"/>
        <v>0</v>
      </c>
      <c r="L52" s="374">
        <f t="shared" si="11"/>
        <v>0</v>
      </c>
      <c r="M52" s="374">
        <f t="shared" si="11"/>
        <v>0</v>
      </c>
      <c r="N52" s="374">
        <f t="shared" si="11"/>
        <v>0</v>
      </c>
      <c r="O52" s="400">
        <f>SUM(C52:N52)</f>
        <v>3154.55</v>
      </c>
    </row>
    <row r="53" spans="1:18" x14ac:dyDescent="0.3">
      <c r="A53" s="212"/>
      <c r="B53" s="206" t="s">
        <v>225</v>
      </c>
      <c r="C53" s="219">
        <f>C52+C29</f>
        <v>1056.75</v>
      </c>
      <c r="D53" s="219">
        <f t="shared" ref="D53:N53" si="12">D52+D29</f>
        <v>175</v>
      </c>
      <c r="E53" s="219">
        <f t="shared" si="12"/>
        <v>160</v>
      </c>
      <c r="F53" s="219">
        <f t="shared" si="12"/>
        <v>477.5</v>
      </c>
      <c r="G53" s="219">
        <f t="shared" si="12"/>
        <v>1285.3</v>
      </c>
      <c r="H53" s="376">
        <f t="shared" si="12"/>
        <v>1863</v>
      </c>
      <c r="I53" s="376">
        <f t="shared" si="12"/>
        <v>1444.5</v>
      </c>
      <c r="J53" s="376">
        <f t="shared" si="12"/>
        <v>837</v>
      </c>
      <c r="K53" s="376">
        <f t="shared" si="12"/>
        <v>1445</v>
      </c>
      <c r="L53" s="376">
        <f t="shared" si="12"/>
        <v>1445</v>
      </c>
      <c r="M53" s="376">
        <f t="shared" si="12"/>
        <v>1445</v>
      </c>
      <c r="N53" s="376">
        <f t="shared" si="12"/>
        <v>0</v>
      </c>
      <c r="O53" s="400">
        <f t="shared" ref="O53" si="13">O52+O29</f>
        <v>11634.05</v>
      </c>
    </row>
    <row r="54" spans="1:18" x14ac:dyDescent="0.3">
      <c r="A54" s="210" t="s">
        <v>226</v>
      </c>
      <c r="B54" s="210" t="s">
        <v>227</v>
      </c>
      <c r="C54" s="221">
        <v>0</v>
      </c>
      <c r="D54" s="221">
        <v>0</v>
      </c>
      <c r="E54" s="221">
        <v>0</v>
      </c>
      <c r="F54" s="221">
        <v>0</v>
      </c>
      <c r="G54" s="221">
        <v>0</v>
      </c>
      <c r="H54" s="375">
        <v>0</v>
      </c>
      <c r="I54" s="375">
        <v>0</v>
      </c>
      <c r="J54" s="375">
        <v>0</v>
      </c>
      <c r="K54" s="375">
        <v>0</v>
      </c>
      <c r="L54" s="375">
        <v>0</v>
      </c>
      <c r="M54" s="375">
        <v>0</v>
      </c>
      <c r="N54" s="375">
        <v>0</v>
      </c>
      <c r="O54" s="403">
        <f>SUM(C54:N54)</f>
        <v>0</v>
      </c>
      <c r="P54" s="211"/>
      <c r="Q54" s="211"/>
      <c r="R54" s="211"/>
    </row>
    <row r="55" spans="1:18" x14ac:dyDescent="0.3">
      <c r="A55" s="210" t="s">
        <v>228</v>
      </c>
      <c r="B55" s="210" t="s">
        <v>229</v>
      </c>
      <c r="C55" s="221">
        <v>0</v>
      </c>
      <c r="D55" s="221">
        <v>0</v>
      </c>
      <c r="E55" s="221">
        <v>0</v>
      </c>
      <c r="F55" s="221">
        <v>0</v>
      </c>
      <c r="G55" s="221">
        <v>0</v>
      </c>
      <c r="H55" s="375">
        <v>0</v>
      </c>
      <c r="I55" s="375">
        <v>0</v>
      </c>
      <c r="J55" s="375">
        <v>0</v>
      </c>
      <c r="K55" s="375">
        <v>0</v>
      </c>
      <c r="L55" s="375">
        <v>0</v>
      </c>
      <c r="M55" s="375">
        <v>0</v>
      </c>
      <c r="N55" s="375">
        <v>0</v>
      </c>
      <c r="O55" s="404">
        <f t="shared" ref="O55:O104" si="14">SUM(C55:N55)</f>
        <v>0</v>
      </c>
      <c r="P55" s="211"/>
      <c r="Q55" s="211"/>
      <c r="R55" s="211"/>
    </row>
    <row r="56" spans="1:18" x14ac:dyDescent="0.3">
      <c r="A56" s="210" t="s">
        <v>230</v>
      </c>
      <c r="B56" s="210" t="s">
        <v>231</v>
      </c>
      <c r="C56" s="221">
        <v>0</v>
      </c>
      <c r="D56" s="221">
        <v>0</v>
      </c>
      <c r="E56" s="221">
        <v>0</v>
      </c>
      <c r="F56" s="221">
        <v>0</v>
      </c>
      <c r="G56" s="221">
        <v>0</v>
      </c>
      <c r="H56" s="375">
        <v>0</v>
      </c>
      <c r="I56" s="375">
        <v>0</v>
      </c>
      <c r="J56" s="375">
        <v>0</v>
      </c>
      <c r="K56" s="375">
        <v>0</v>
      </c>
      <c r="L56" s="375">
        <v>0</v>
      </c>
      <c r="M56" s="375">
        <v>0</v>
      </c>
      <c r="N56" s="375">
        <v>0</v>
      </c>
      <c r="O56" s="404">
        <f t="shared" si="14"/>
        <v>0</v>
      </c>
      <c r="P56" s="211"/>
      <c r="Q56" s="211"/>
      <c r="R56" s="211"/>
    </row>
    <row r="57" spans="1:18" x14ac:dyDescent="0.3">
      <c r="A57" s="210" t="s">
        <v>232</v>
      </c>
      <c r="B57" s="210" t="s">
        <v>233</v>
      </c>
      <c r="C57" s="103">
        <v>0</v>
      </c>
      <c r="D57" s="103">
        <v>0</v>
      </c>
      <c r="E57" s="103">
        <v>0</v>
      </c>
      <c r="F57" s="103">
        <v>0</v>
      </c>
      <c r="G57" s="103">
        <v>0</v>
      </c>
      <c r="H57" s="372">
        <v>0</v>
      </c>
      <c r="I57" s="372">
        <v>0</v>
      </c>
      <c r="J57" s="372">
        <v>0</v>
      </c>
      <c r="K57" s="372">
        <v>0</v>
      </c>
      <c r="L57" s="372">
        <v>0</v>
      </c>
      <c r="M57" s="372">
        <v>0</v>
      </c>
      <c r="N57" s="372">
        <v>0</v>
      </c>
      <c r="O57" s="404">
        <f t="shared" si="14"/>
        <v>0</v>
      </c>
      <c r="P57" s="211"/>
      <c r="Q57" s="211"/>
      <c r="R57" s="211"/>
    </row>
    <row r="58" spans="1:18" x14ac:dyDescent="0.3">
      <c r="A58" s="210" t="s">
        <v>234</v>
      </c>
      <c r="B58" s="210" t="s">
        <v>235</v>
      </c>
      <c r="C58" s="221">
        <v>0</v>
      </c>
      <c r="D58" s="221">
        <v>0</v>
      </c>
      <c r="E58" s="221">
        <v>0</v>
      </c>
      <c r="F58" s="221">
        <v>0</v>
      </c>
      <c r="G58" s="221">
        <v>0</v>
      </c>
      <c r="H58" s="375">
        <v>0</v>
      </c>
      <c r="I58" s="375">
        <v>0</v>
      </c>
      <c r="J58" s="375">
        <v>0</v>
      </c>
      <c r="K58" s="375">
        <v>0</v>
      </c>
      <c r="L58" s="375">
        <v>0</v>
      </c>
      <c r="M58" s="375">
        <v>0</v>
      </c>
      <c r="N58" s="375">
        <v>0</v>
      </c>
      <c r="O58" s="404">
        <f t="shared" si="14"/>
        <v>0</v>
      </c>
      <c r="P58" s="211"/>
      <c r="Q58" s="211"/>
      <c r="R58" s="211"/>
    </row>
    <row r="59" spans="1:18" x14ac:dyDescent="0.3">
      <c r="A59" s="210" t="s">
        <v>236</v>
      </c>
      <c r="B59" s="210" t="s">
        <v>237</v>
      </c>
      <c r="C59" s="221">
        <v>0</v>
      </c>
      <c r="D59" s="221">
        <v>0</v>
      </c>
      <c r="E59" s="221">
        <v>0</v>
      </c>
      <c r="F59" s="221">
        <v>0</v>
      </c>
      <c r="G59" s="221">
        <v>0</v>
      </c>
      <c r="H59" s="375">
        <v>0</v>
      </c>
      <c r="I59" s="375">
        <v>0</v>
      </c>
      <c r="J59" s="375">
        <v>0</v>
      </c>
      <c r="K59" s="375">
        <v>0</v>
      </c>
      <c r="L59" s="375">
        <v>0</v>
      </c>
      <c r="M59" s="375">
        <v>0</v>
      </c>
      <c r="N59" s="375">
        <v>0</v>
      </c>
      <c r="O59" s="404">
        <f t="shared" si="14"/>
        <v>0</v>
      </c>
      <c r="P59" s="211"/>
      <c r="Q59" s="211"/>
      <c r="R59" s="211"/>
    </row>
    <row r="60" spans="1:18" x14ac:dyDescent="0.3">
      <c r="A60" s="210" t="s">
        <v>238</v>
      </c>
      <c r="B60" s="210" t="s">
        <v>239</v>
      </c>
      <c r="C60" s="103"/>
      <c r="D60" s="103"/>
      <c r="E60" s="103"/>
      <c r="F60" s="103"/>
      <c r="G60" s="103"/>
      <c r="H60" s="372"/>
      <c r="I60" s="372"/>
      <c r="J60" s="372"/>
      <c r="K60" s="372"/>
      <c r="L60" s="372"/>
      <c r="M60" s="372"/>
      <c r="N60" s="372"/>
      <c r="O60" s="404">
        <f t="shared" si="14"/>
        <v>0</v>
      </c>
      <c r="P60" s="211"/>
      <c r="Q60" s="211"/>
      <c r="R60" s="211"/>
    </row>
    <row r="61" spans="1:18" x14ac:dyDescent="0.3">
      <c r="A61" s="210" t="s">
        <v>240</v>
      </c>
      <c r="B61" s="210" t="s">
        <v>241</v>
      </c>
      <c r="C61" s="221">
        <v>0</v>
      </c>
      <c r="D61" s="221">
        <v>0</v>
      </c>
      <c r="E61" s="221">
        <v>0</v>
      </c>
      <c r="F61" s="221">
        <v>0</v>
      </c>
      <c r="G61" s="221">
        <v>0</v>
      </c>
      <c r="H61" s="375">
        <v>0</v>
      </c>
      <c r="I61" s="375">
        <v>0</v>
      </c>
      <c r="J61" s="375">
        <v>0</v>
      </c>
      <c r="K61" s="375">
        <v>0</v>
      </c>
      <c r="L61" s="375">
        <v>0</v>
      </c>
      <c r="M61" s="375">
        <v>0</v>
      </c>
      <c r="N61" s="375">
        <v>0</v>
      </c>
      <c r="O61" s="404">
        <f t="shared" si="14"/>
        <v>0</v>
      </c>
      <c r="P61" s="211"/>
      <c r="Q61" s="211"/>
      <c r="R61" s="211"/>
    </row>
    <row r="62" spans="1:18" x14ac:dyDescent="0.3">
      <c r="A62" s="210" t="s">
        <v>242</v>
      </c>
      <c r="B62" s="210" t="s">
        <v>243</v>
      </c>
      <c r="C62" s="221">
        <v>0</v>
      </c>
      <c r="D62" s="221">
        <v>0</v>
      </c>
      <c r="E62" s="221">
        <v>0</v>
      </c>
      <c r="F62" s="221">
        <v>0</v>
      </c>
      <c r="G62" s="221">
        <v>0</v>
      </c>
      <c r="H62" s="375">
        <v>0</v>
      </c>
      <c r="I62" s="375">
        <v>0</v>
      </c>
      <c r="J62" s="375">
        <v>0</v>
      </c>
      <c r="K62" s="375">
        <v>0</v>
      </c>
      <c r="L62" s="375">
        <v>0</v>
      </c>
      <c r="M62" s="375">
        <v>0</v>
      </c>
      <c r="N62" s="375">
        <v>0</v>
      </c>
      <c r="O62" s="404">
        <f t="shared" si="14"/>
        <v>0</v>
      </c>
      <c r="P62" s="211"/>
      <c r="Q62" s="211"/>
      <c r="R62" s="211"/>
    </row>
    <row r="63" spans="1:18" x14ac:dyDescent="0.3">
      <c r="A63" s="210" t="s">
        <v>244</v>
      </c>
      <c r="B63" s="210" t="s">
        <v>245</v>
      </c>
      <c r="C63" s="221">
        <v>0</v>
      </c>
      <c r="D63" s="221">
        <v>0</v>
      </c>
      <c r="E63" s="221">
        <v>0</v>
      </c>
      <c r="F63" s="221">
        <v>0</v>
      </c>
      <c r="G63" s="221">
        <v>0</v>
      </c>
      <c r="H63" s="375">
        <v>0</v>
      </c>
      <c r="I63" s="375">
        <v>0</v>
      </c>
      <c r="J63" s="375">
        <v>0</v>
      </c>
      <c r="K63" s="375">
        <v>0</v>
      </c>
      <c r="L63" s="375">
        <v>0</v>
      </c>
      <c r="M63" s="375">
        <v>0</v>
      </c>
      <c r="N63" s="375">
        <v>0</v>
      </c>
      <c r="O63" s="404">
        <f t="shared" si="14"/>
        <v>0</v>
      </c>
      <c r="P63" s="211"/>
      <c r="Q63" s="211"/>
      <c r="R63" s="211"/>
    </row>
    <row r="64" spans="1:18" x14ac:dyDescent="0.3">
      <c r="A64" s="210" t="s">
        <v>246</v>
      </c>
      <c r="B64" s="210" t="s">
        <v>247</v>
      </c>
      <c r="C64" s="221">
        <v>0</v>
      </c>
      <c r="D64" s="221">
        <v>0</v>
      </c>
      <c r="E64" s="221">
        <v>0</v>
      </c>
      <c r="F64" s="221">
        <v>0</v>
      </c>
      <c r="G64" s="221">
        <v>0</v>
      </c>
      <c r="H64" s="375">
        <v>0</v>
      </c>
      <c r="I64" s="375">
        <v>0</v>
      </c>
      <c r="J64" s="375">
        <v>0</v>
      </c>
      <c r="K64" s="375">
        <v>0</v>
      </c>
      <c r="L64" s="375">
        <v>0</v>
      </c>
      <c r="M64" s="375">
        <v>0</v>
      </c>
      <c r="N64" s="375">
        <v>0</v>
      </c>
      <c r="O64" s="404">
        <f t="shared" si="14"/>
        <v>0</v>
      </c>
      <c r="P64" s="211"/>
      <c r="Q64" s="211"/>
      <c r="R64" s="211"/>
    </row>
    <row r="65" spans="1:18" x14ac:dyDescent="0.3">
      <c r="A65" s="210" t="s">
        <v>248</v>
      </c>
      <c r="B65" s="210" t="s">
        <v>249</v>
      </c>
      <c r="C65" s="221">
        <v>0</v>
      </c>
      <c r="D65" s="221">
        <v>0</v>
      </c>
      <c r="E65" s="221">
        <v>0</v>
      </c>
      <c r="F65" s="221">
        <v>0</v>
      </c>
      <c r="G65" s="221">
        <v>0</v>
      </c>
      <c r="H65" s="375">
        <v>0</v>
      </c>
      <c r="I65" s="375">
        <v>0</v>
      </c>
      <c r="J65" s="375">
        <v>0</v>
      </c>
      <c r="K65" s="375">
        <v>0</v>
      </c>
      <c r="L65" s="375">
        <v>0</v>
      </c>
      <c r="M65" s="375">
        <v>0</v>
      </c>
      <c r="N65" s="375">
        <v>0</v>
      </c>
      <c r="O65" s="404">
        <f t="shared" si="14"/>
        <v>0</v>
      </c>
      <c r="P65" s="211"/>
      <c r="Q65" s="211"/>
      <c r="R65" s="211"/>
    </row>
    <row r="66" spans="1:18" x14ac:dyDescent="0.3">
      <c r="A66" s="210" t="s">
        <v>250</v>
      </c>
      <c r="B66" s="210" t="s">
        <v>251</v>
      </c>
      <c r="C66" s="221">
        <v>0</v>
      </c>
      <c r="D66" s="221">
        <v>0</v>
      </c>
      <c r="E66" s="221">
        <v>0</v>
      </c>
      <c r="F66" s="221">
        <v>0</v>
      </c>
      <c r="G66" s="221">
        <v>0</v>
      </c>
      <c r="H66" s="375">
        <v>0</v>
      </c>
      <c r="I66" s="375">
        <v>0</v>
      </c>
      <c r="J66" s="375">
        <v>0</v>
      </c>
      <c r="K66" s="375">
        <v>0</v>
      </c>
      <c r="L66" s="375">
        <v>0</v>
      </c>
      <c r="M66" s="375">
        <v>0</v>
      </c>
      <c r="N66" s="375">
        <v>0</v>
      </c>
      <c r="O66" s="404">
        <f t="shared" si="14"/>
        <v>0</v>
      </c>
      <c r="P66" s="211"/>
      <c r="Q66" s="211"/>
      <c r="R66" s="211"/>
    </row>
    <row r="67" spans="1:18" x14ac:dyDescent="0.3">
      <c r="A67" s="210" t="s">
        <v>252</v>
      </c>
      <c r="B67" s="210" t="s">
        <v>253</v>
      </c>
      <c r="C67" s="103">
        <v>0</v>
      </c>
      <c r="D67" s="103">
        <v>0</v>
      </c>
      <c r="E67" s="103">
        <v>0</v>
      </c>
      <c r="F67" s="103">
        <v>0</v>
      </c>
      <c r="G67" s="103">
        <v>0</v>
      </c>
      <c r="H67" s="372">
        <v>0</v>
      </c>
      <c r="I67" s="372">
        <v>0</v>
      </c>
      <c r="J67" s="372">
        <v>0</v>
      </c>
      <c r="K67" s="372">
        <v>0</v>
      </c>
      <c r="L67" s="372">
        <v>0</v>
      </c>
      <c r="M67" s="372">
        <v>0</v>
      </c>
      <c r="N67" s="372">
        <v>0</v>
      </c>
      <c r="O67" s="404">
        <f t="shared" si="14"/>
        <v>0</v>
      </c>
      <c r="P67" s="211"/>
      <c r="Q67" s="211"/>
      <c r="R67" s="211"/>
    </row>
    <row r="68" spans="1:18" x14ac:dyDescent="0.3">
      <c r="A68" s="210" t="s">
        <v>254</v>
      </c>
      <c r="B68" s="210" t="s">
        <v>255</v>
      </c>
      <c r="C68" s="221">
        <v>0</v>
      </c>
      <c r="D68" s="221">
        <v>0</v>
      </c>
      <c r="E68" s="221">
        <v>0</v>
      </c>
      <c r="F68" s="221">
        <v>0</v>
      </c>
      <c r="G68" s="221">
        <v>0</v>
      </c>
      <c r="H68" s="375">
        <v>0</v>
      </c>
      <c r="I68" s="375">
        <v>0</v>
      </c>
      <c r="J68" s="375">
        <v>0</v>
      </c>
      <c r="K68" s="375">
        <v>0</v>
      </c>
      <c r="L68" s="375">
        <v>0</v>
      </c>
      <c r="M68" s="375">
        <v>0</v>
      </c>
      <c r="N68" s="375">
        <v>0</v>
      </c>
      <c r="O68" s="404">
        <f t="shared" si="14"/>
        <v>0</v>
      </c>
      <c r="P68" s="211"/>
      <c r="Q68" s="211"/>
      <c r="R68" s="211"/>
    </row>
    <row r="69" spans="1:18" x14ac:dyDescent="0.3">
      <c r="A69" s="210" t="s">
        <v>256</v>
      </c>
      <c r="B69" s="210" t="s">
        <v>257</v>
      </c>
      <c r="C69" s="221">
        <v>0</v>
      </c>
      <c r="D69" s="221">
        <v>0</v>
      </c>
      <c r="E69" s="221">
        <v>0</v>
      </c>
      <c r="F69" s="221">
        <v>0</v>
      </c>
      <c r="G69" s="221">
        <v>0</v>
      </c>
      <c r="H69" s="375">
        <v>0</v>
      </c>
      <c r="I69" s="375">
        <v>0</v>
      </c>
      <c r="J69" s="375">
        <v>0</v>
      </c>
      <c r="K69" s="375">
        <v>0</v>
      </c>
      <c r="L69" s="375">
        <v>0</v>
      </c>
      <c r="M69" s="375">
        <v>0</v>
      </c>
      <c r="N69" s="375">
        <v>0</v>
      </c>
      <c r="O69" s="404">
        <f t="shared" si="14"/>
        <v>0</v>
      </c>
      <c r="P69" s="211"/>
      <c r="Q69" s="211"/>
      <c r="R69" s="211"/>
    </row>
    <row r="70" spans="1:18" x14ac:dyDescent="0.3">
      <c r="A70" s="210" t="s">
        <v>258</v>
      </c>
      <c r="B70" s="210" t="s">
        <v>259</v>
      </c>
      <c r="C70" s="103">
        <v>0</v>
      </c>
      <c r="D70" s="103">
        <v>0</v>
      </c>
      <c r="E70" s="103">
        <v>0</v>
      </c>
      <c r="F70" s="103">
        <v>0</v>
      </c>
      <c r="G70" s="103">
        <v>0</v>
      </c>
      <c r="H70" s="372">
        <v>0</v>
      </c>
      <c r="I70" s="372">
        <v>0</v>
      </c>
      <c r="J70" s="372">
        <v>0</v>
      </c>
      <c r="K70" s="372">
        <v>0</v>
      </c>
      <c r="L70" s="372">
        <v>0</v>
      </c>
      <c r="M70" s="372">
        <v>0</v>
      </c>
      <c r="N70" s="372">
        <v>0</v>
      </c>
      <c r="O70" s="404">
        <f t="shared" si="14"/>
        <v>0</v>
      </c>
      <c r="P70" s="211"/>
      <c r="Q70" s="211"/>
      <c r="R70" s="211"/>
    </row>
    <row r="71" spans="1:18" x14ac:dyDescent="0.3">
      <c r="A71" s="210" t="s">
        <v>260</v>
      </c>
      <c r="B71" s="210" t="s">
        <v>261</v>
      </c>
      <c r="C71" s="103">
        <v>0</v>
      </c>
      <c r="D71" s="103">
        <v>0</v>
      </c>
      <c r="E71" s="103">
        <v>0</v>
      </c>
      <c r="F71" s="103">
        <v>0</v>
      </c>
      <c r="G71" s="103">
        <v>0</v>
      </c>
      <c r="H71" s="372">
        <v>0</v>
      </c>
      <c r="I71" s="372">
        <v>0</v>
      </c>
      <c r="J71" s="372">
        <v>0</v>
      </c>
      <c r="K71" s="372">
        <v>0</v>
      </c>
      <c r="L71" s="372">
        <v>0</v>
      </c>
      <c r="M71" s="372">
        <v>0</v>
      </c>
      <c r="N71" s="372">
        <v>0</v>
      </c>
      <c r="O71" s="404">
        <f t="shared" si="14"/>
        <v>0</v>
      </c>
      <c r="P71" s="211"/>
      <c r="Q71" s="211"/>
      <c r="R71" s="211"/>
    </row>
    <row r="72" spans="1:18" x14ac:dyDescent="0.3">
      <c r="A72" s="210" t="s">
        <v>262</v>
      </c>
      <c r="B72" s="210" t="s">
        <v>263</v>
      </c>
      <c r="C72" s="103">
        <v>0</v>
      </c>
      <c r="D72" s="103">
        <v>0</v>
      </c>
      <c r="E72" s="103">
        <v>0</v>
      </c>
      <c r="F72" s="103">
        <v>0</v>
      </c>
      <c r="G72" s="103">
        <v>0</v>
      </c>
      <c r="H72" s="372">
        <v>0</v>
      </c>
      <c r="I72" s="372">
        <v>0</v>
      </c>
      <c r="J72" s="372">
        <v>0</v>
      </c>
      <c r="K72" s="372">
        <v>0</v>
      </c>
      <c r="L72" s="372">
        <v>0</v>
      </c>
      <c r="M72" s="372">
        <v>0</v>
      </c>
      <c r="N72" s="372">
        <v>0</v>
      </c>
      <c r="O72" s="404">
        <f t="shared" si="14"/>
        <v>0</v>
      </c>
      <c r="P72" s="211"/>
      <c r="Q72" s="211"/>
      <c r="R72" s="211"/>
    </row>
    <row r="73" spans="1:18" x14ac:dyDescent="0.3">
      <c r="A73" s="97" t="s">
        <v>264</v>
      </c>
      <c r="B73" s="97" t="s">
        <v>265</v>
      </c>
      <c r="C73" s="202">
        <v>0</v>
      </c>
      <c r="D73" s="202">
        <v>0</v>
      </c>
      <c r="E73" s="202">
        <v>0</v>
      </c>
      <c r="F73" s="202">
        <v>0</v>
      </c>
      <c r="G73" s="202">
        <v>0</v>
      </c>
      <c r="H73" s="372">
        <v>0</v>
      </c>
      <c r="I73" s="372">
        <v>0</v>
      </c>
      <c r="J73" s="372">
        <v>0</v>
      </c>
      <c r="K73" s="372">
        <v>0</v>
      </c>
      <c r="L73" s="372">
        <v>0</v>
      </c>
      <c r="M73" s="372">
        <v>0</v>
      </c>
      <c r="N73" s="372">
        <v>0</v>
      </c>
      <c r="O73" s="404">
        <f t="shared" si="14"/>
        <v>0</v>
      </c>
    </row>
    <row r="74" spans="1:18" x14ac:dyDescent="0.3">
      <c r="A74" s="210" t="s">
        <v>266</v>
      </c>
      <c r="B74" s="210" t="s">
        <v>267</v>
      </c>
      <c r="C74" s="221">
        <v>0</v>
      </c>
      <c r="D74" s="221">
        <v>0</v>
      </c>
      <c r="E74" s="221">
        <v>0</v>
      </c>
      <c r="F74" s="221">
        <v>0</v>
      </c>
      <c r="G74" s="221">
        <v>0</v>
      </c>
      <c r="H74" s="375">
        <v>0</v>
      </c>
      <c r="I74" s="375">
        <v>0</v>
      </c>
      <c r="J74" s="375">
        <v>0</v>
      </c>
      <c r="K74" s="375">
        <v>0</v>
      </c>
      <c r="L74" s="375">
        <v>0</v>
      </c>
      <c r="M74" s="375">
        <v>0</v>
      </c>
      <c r="N74" s="375">
        <v>0</v>
      </c>
      <c r="O74" s="404">
        <f t="shared" si="14"/>
        <v>0</v>
      </c>
      <c r="P74" s="211"/>
      <c r="Q74" s="211"/>
      <c r="R74" s="211"/>
    </row>
    <row r="75" spans="1:18" x14ac:dyDescent="0.3">
      <c r="A75" s="210" t="s">
        <v>268</v>
      </c>
      <c r="B75" s="210" t="s">
        <v>269</v>
      </c>
      <c r="C75" s="221">
        <v>0</v>
      </c>
      <c r="D75" s="221">
        <v>0</v>
      </c>
      <c r="E75" s="221">
        <v>0</v>
      </c>
      <c r="F75" s="221">
        <v>0</v>
      </c>
      <c r="G75" s="221">
        <v>0</v>
      </c>
      <c r="H75" s="375">
        <v>0</v>
      </c>
      <c r="I75" s="375">
        <v>0</v>
      </c>
      <c r="J75" s="375">
        <v>0</v>
      </c>
      <c r="K75" s="375">
        <v>0</v>
      </c>
      <c r="L75" s="375">
        <v>0</v>
      </c>
      <c r="M75" s="375">
        <v>0</v>
      </c>
      <c r="N75" s="375">
        <v>0</v>
      </c>
      <c r="O75" s="404">
        <f t="shared" si="14"/>
        <v>0</v>
      </c>
      <c r="P75" s="211"/>
      <c r="Q75" s="211"/>
      <c r="R75" s="211"/>
    </row>
    <row r="76" spans="1:18" x14ac:dyDescent="0.3">
      <c r="A76" s="210" t="s">
        <v>270</v>
      </c>
      <c r="B76" s="210" t="s">
        <v>271</v>
      </c>
      <c r="C76" s="221">
        <v>0</v>
      </c>
      <c r="D76" s="221">
        <v>0</v>
      </c>
      <c r="E76" s="221">
        <v>0</v>
      </c>
      <c r="F76" s="221">
        <v>0</v>
      </c>
      <c r="G76" s="221">
        <v>0</v>
      </c>
      <c r="H76" s="375">
        <v>0</v>
      </c>
      <c r="I76" s="375">
        <v>0</v>
      </c>
      <c r="J76" s="375">
        <v>0</v>
      </c>
      <c r="K76" s="375">
        <v>0</v>
      </c>
      <c r="L76" s="375">
        <v>0</v>
      </c>
      <c r="M76" s="375">
        <v>0</v>
      </c>
      <c r="N76" s="375">
        <v>0</v>
      </c>
      <c r="O76" s="404">
        <f t="shared" si="14"/>
        <v>0</v>
      </c>
      <c r="P76" s="211"/>
      <c r="Q76" s="211"/>
      <c r="R76" s="211"/>
    </row>
    <row r="77" spans="1:18" x14ac:dyDescent="0.3">
      <c r="A77" s="210" t="s">
        <v>272</v>
      </c>
      <c r="B77" s="210" t="s">
        <v>273</v>
      </c>
      <c r="C77" s="221">
        <v>0</v>
      </c>
      <c r="D77" s="221">
        <v>0</v>
      </c>
      <c r="E77" s="221">
        <v>0</v>
      </c>
      <c r="F77" s="221">
        <v>0</v>
      </c>
      <c r="G77" s="221">
        <v>0</v>
      </c>
      <c r="H77" s="375">
        <v>0</v>
      </c>
      <c r="I77" s="375">
        <v>0</v>
      </c>
      <c r="J77" s="375">
        <v>0</v>
      </c>
      <c r="K77" s="375">
        <v>0</v>
      </c>
      <c r="L77" s="375">
        <v>0</v>
      </c>
      <c r="M77" s="375">
        <v>0</v>
      </c>
      <c r="N77" s="375">
        <v>0</v>
      </c>
      <c r="O77" s="404">
        <f t="shared" si="14"/>
        <v>0</v>
      </c>
      <c r="P77" s="211"/>
      <c r="Q77" s="211"/>
      <c r="R77" s="211"/>
    </row>
    <row r="78" spans="1:18" x14ac:dyDescent="0.3">
      <c r="A78" s="210" t="s">
        <v>274</v>
      </c>
      <c r="B78" s="210" t="s">
        <v>275</v>
      </c>
      <c r="C78" s="221">
        <v>0</v>
      </c>
      <c r="D78" s="221">
        <v>0</v>
      </c>
      <c r="E78" s="221">
        <v>0</v>
      </c>
      <c r="F78" s="221">
        <v>0</v>
      </c>
      <c r="G78" s="221">
        <v>0</v>
      </c>
      <c r="H78" s="375">
        <v>0</v>
      </c>
      <c r="I78" s="375">
        <v>0</v>
      </c>
      <c r="J78" s="375">
        <v>0</v>
      </c>
      <c r="K78" s="375">
        <v>0</v>
      </c>
      <c r="L78" s="375">
        <v>0</v>
      </c>
      <c r="M78" s="375">
        <v>0</v>
      </c>
      <c r="N78" s="375">
        <v>0</v>
      </c>
      <c r="O78" s="404">
        <f t="shared" si="14"/>
        <v>0</v>
      </c>
      <c r="P78" s="211"/>
      <c r="Q78" s="211"/>
      <c r="R78" s="211"/>
    </row>
    <row r="79" spans="1:18" x14ac:dyDescent="0.3">
      <c r="A79" s="210" t="s">
        <v>276</v>
      </c>
      <c r="B79" s="210" t="s">
        <v>277</v>
      </c>
      <c r="C79" s="221">
        <v>0</v>
      </c>
      <c r="D79" s="221">
        <v>0</v>
      </c>
      <c r="E79" s="221">
        <v>0</v>
      </c>
      <c r="F79" s="221">
        <v>0</v>
      </c>
      <c r="G79" s="221">
        <v>0</v>
      </c>
      <c r="H79" s="375">
        <v>0</v>
      </c>
      <c r="I79" s="375">
        <v>0</v>
      </c>
      <c r="J79" s="375">
        <v>0</v>
      </c>
      <c r="K79" s="375">
        <v>0</v>
      </c>
      <c r="L79" s="375">
        <v>0</v>
      </c>
      <c r="M79" s="375">
        <v>0</v>
      </c>
      <c r="N79" s="375">
        <v>0</v>
      </c>
      <c r="O79" s="404">
        <f t="shared" si="14"/>
        <v>0</v>
      </c>
      <c r="P79" s="211"/>
      <c r="Q79" s="211"/>
      <c r="R79" s="211"/>
    </row>
    <row r="80" spans="1:18" x14ac:dyDescent="0.3">
      <c r="A80" s="210" t="s">
        <v>278</v>
      </c>
      <c r="B80" s="210" t="s">
        <v>279</v>
      </c>
      <c r="C80" s="221">
        <v>0</v>
      </c>
      <c r="D80" s="221">
        <v>0</v>
      </c>
      <c r="E80" s="221">
        <v>0</v>
      </c>
      <c r="F80" s="221">
        <v>0</v>
      </c>
      <c r="G80" s="221">
        <v>0</v>
      </c>
      <c r="H80" s="375">
        <v>0</v>
      </c>
      <c r="I80" s="375">
        <v>0</v>
      </c>
      <c r="J80" s="375">
        <v>0</v>
      </c>
      <c r="K80" s="375">
        <v>0</v>
      </c>
      <c r="L80" s="375">
        <v>0</v>
      </c>
      <c r="M80" s="375">
        <v>0</v>
      </c>
      <c r="N80" s="375">
        <v>0</v>
      </c>
      <c r="O80" s="404">
        <f t="shared" si="14"/>
        <v>0</v>
      </c>
      <c r="P80" s="211"/>
      <c r="Q80" s="211"/>
      <c r="R80" s="211"/>
    </row>
    <row r="81" spans="1:18" x14ac:dyDescent="0.3">
      <c r="A81" s="210" t="s">
        <v>280</v>
      </c>
      <c r="B81" s="210" t="s">
        <v>281</v>
      </c>
      <c r="C81" s="221">
        <v>0</v>
      </c>
      <c r="D81" s="221">
        <v>0</v>
      </c>
      <c r="E81" s="221">
        <v>0</v>
      </c>
      <c r="F81" s="221">
        <v>0</v>
      </c>
      <c r="G81" s="221">
        <v>0</v>
      </c>
      <c r="H81" s="375">
        <v>0</v>
      </c>
      <c r="I81" s="375">
        <v>0</v>
      </c>
      <c r="J81" s="375">
        <v>0</v>
      </c>
      <c r="K81" s="375">
        <v>0</v>
      </c>
      <c r="L81" s="375">
        <v>0</v>
      </c>
      <c r="M81" s="375">
        <v>0</v>
      </c>
      <c r="N81" s="375">
        <v>0</v>
      </c>
      <c r="O81" s="404">
        <f t="shared" si="14"/>
        <v>0</v>
      </c>
      <c r="P81" s="211"/>
      <c r="Q81" s="211"/>
      <c r="R81" s="211"/>
    </row>
    <row r="82" spans="1:18" x14ac:dyDescent="0.3">
      <c r="A82" s="210" t="s">
        <v>282</v>
      </c>
      <c r="B82" s="210" t="s">
        <v>283</v>
      </c>
      <c r="C82" s="221">
        <v>0</v>
      </c>
      <c r="D82" s="221">
        <v>0</v>
      </c>
      <c r="E82" s="221">
        <v>0</v>
      </c>
      <c r="F82" s="221">
        <v>0</v>
      </c>
      <c r="G82" s="221">
        <v>0</v>
      </c>
      <c r="H82" s="375">
        <v>0</v>
      </c>
      <c r="I82" s="375">
        <v>0</v>
      </c>
      <c r="J82" s="375">
        <v>0</v>
      </c>
      <c r="K82" s="375">
        <v>0</v>
      </c>
      <c r="L82" s="375">
        <v>0</v>
      </c>
      <c r="M82" s="375">
        <v>0</v>
      </c>
      <c r="N82" s="375">
        <v>0</v>
      </c>
      <c r="O82" s="404">
        <f t="shared" si="14"/>
        <v>0</v>
      </c>
      <c r="P82" s="211"/>
      <c r="Q82" s="211"/>
      <c r="R82" s="211"/>
    </row>
    <row r="83" spans="1:18" x14ac:dyDescent="0.3">
      <c r="A83" s="210" t="s">
        <v>284</v>
      </c>
      <c r="B83" s="210" t="s">
        <v>349</v>
      </c>
      <c r="C83" s="221"/>
      <c r="D83" s="221"/>
      <c r="E83" s="221"/>
      <c r="F83" s="221"/>
      <c r="G83" s="221"/>
      <c r="H83" s="375"/>
      <c r="I83" s="375"/>
      <c r="J83" s="375"/>
      <c r="K83" s="375"/>
      <c r="L83" s="375"/>
      <c r="M83" s="375"/>
      <c r="N83" s="375"/>
      <c r="O83" s="404">
        <f t="shared" si="14"/>
        <v>0</v>
      </c>
      <c r="P83" s="211"/>
      <c r="Q83" s="211"/>
      <c r="R83" s="211"/>
    </row>
    <row r="84" spans="1:18" x14ac:dyDescent="0.3">
      <c r="A84" s="210" t="s">
        <v>286</v>
      </c>
      <c r="B84" s="210" t="s">
        <v>287</v>
      </c>
      <c r="C84" s="221">
        <v>0</v>
      </c>
      <c r="D84" s="221">
        <v>0</v>
      </c>
      <c r="E84" s="221">
        <v>0</v>
      </c>
      <c r="F84" s="221">
        <v>0</v>
      </c>
      <c r="G84" s="221">
        <v>0</v>
      </c>
      <c r="H84" s="375">
        <v>0</v>
      </c>
      <c r="I84" s="375">
        <v>0</v>
      </c>
      <c r="J84" s="375">
        <v>0</v>
      </c>
      <c r="K84" s="375">
        <v>0</v>
      </c>
      <c r="L84" s="375">
        <v>0</v>
      </c>
      <c r="M84" s="375">
        <v>0</v>
      </c>
      <c r="N84" s="375">
        <v>0</v>
      </c>
      <c r="O84" s="404">
        <f t="shared" si="14"/>
        <v>0</v>
      </c>
      <c r="P84" s="211"/>
      <c r="Q84" s="211"/>
      <c r="R84" s="211"/>
    </row>
    <row r="85" spans="1:18" x14ac:dyDescent="0.3">
      <c r="A85" s="210" t="s">
        <v>288</v>
      </c>
      <c r="B85" s="210" t="s">
        <v>289</v>
      </c>
      <c r="C85" s="221">
        <v>0</v>
      </c>
      <c r="D85" s="221">
        <v>0</v>
      </c>
      <c r="E85" s="221">
        <v>0</v>
      </c>
      <c r="F85" s="221">
        <v>0</v>
      </c>
      <c r="G85" s="221">
        <v>0</v>
      </c>
      <c r="H85" s="375">
        <v>0</v>
      </c>
      <c r="I85" s="375">
        <v>0</v>
      </c>
      <c r="J85" s="375">
        <v>0</v>
      </c>
      <c r="K85" s="375">
        <v>0</v>
      </c>
      <c r="L85" s="375">
        <v>0</v>
      </c>
      <c r="M85" s="375">
        <v>0</v>
      </c>
      <c r="N85" s="375">
        <v>0</v>
      </c>
      <c r="O85" s="404">
        <f t="shared" si="14"/>
        <v>0</v>
      </c>
      <c r="P85" s="211"/>
      <c r="Q85" s="211"/>
      <c r="R85" s="211"/>
    </row>
    <row r="86" spans="1:18" x14ac:dyDescent="0.3">
      <c r="A86" s="210" t="s">
        <v>290</v>
      </c>
      <c r="B86" s="210" t="s">
        <v>291</v>
      </c>
      <c r="C86" s="221">
        <v>0</v>
      </c>
      <c r="D86" s="221">
        <v>0</v>
      </c>
      <c r="E86" s="221">
        <v>0</v>
      </c>
      <c r="F86" s="221">
        <v>0</v>
      </c>
      <c r="G86" s="221">
        <v>0</v>
      </c>
      <c r="H86" s="375">
        <v>0</v>
      </c>
      <c r="I86" s="375">
        <v>0</v>
      </c>
      <c r="J86" s="375">
        <v>0</v>
      </c>
      <c r="K86" s="375">
        <v>0</v>
      </c>
      <c r="L86" s="375">
        <v>0</v>
      </c>
      <c r="M86" s="375">
        <v>0</v>
      </c>
      <c r="N86" s="375">
        <v>0</v>
      </c>
      <c r="O86" s="404">
        <f t="shared" si="14"/>
        <v>0</v>
      </c>
      <c r="P86" s="211"/>
      <c r="Q86" s="211"/>
      <c r="R86" s="211"/>
    </row>
    <row r="87" spans="1:18" x14ac:dyDescent="0.3">
      <c r="A87" s="210" t="s">
        <v>292</v>
      </c>
      <c r="B87" s="210" t="s">
        <v>293</v>
      </c>
      <c r="C87" s="221">
        <v>0</v>
      </c>
      <c r="D87" s="221">
        <v>0</v>
      </c>
      <c r="E87" s="221">
        <v>0</v>
      </c>
      <c r="F87" s="221">
        <v>0</v>
      </c>
      <c r="G87" s="221">
        <v>0</v>
      </c>
      <c r="H87" s="375">
        <v>0</v>
      </c>
      <c r="I87" s="375">
        <v>0</v>
      </c>
      <c r="J87" s="375">
        <v>0</v>
      </c>
      <c r="K87" s="375">
        <v>0</v>
      </c>
      <c r="L87" s="375">
        <v>0</v>
      </c>
      <c r="M87" s="375">
        <v>0</v>
      </c>
      <c r="N87" s="375">
        <v>0</v>
      </c>
      <c r="O87" s="404">
        <f t="shared" si="14"/>
        <v>0</v>
      </c>
      <c r="P87" s="211"/>
      <c r="Q87" s="211"/>
      <c r="R87" s="211"/>
    </row>
    <row r="88" spans="1:18" x14ac:dyDescent="0.3">
      <c r="A88" s="210" t="s">
        <v>294</v>
      </c>
      <c r="B88" s="210" t="s">
        <v>295</v>
      </c>
      <c r="C88" s="221">
        <v>0</v>
      </c>
      <c r="D88" s="221">
        <v>0</v>
      </c>
      <c r="E88" s="221">
        <v>0</v>
      </c>
      <c r="F88" s="221">
        <v>0</v>
      </c>
      <c r="G88" s="221">
        <v>0</v>
      </c>
      <c r="H88" s="375">
        <v>0</v>
      </c>
      <c r="I88" s="375">
        <v>0</v>
      </c>
      <c r="J88" s="375">
        <v>0</v>
      </c>
      <c r="K88" s="375">
        <v>0</v>
      </c>
      <c r="L88" s="375">
        <v>0</v>
      </c>
      <c r="M88" s="375">
        <v>0</v>
      </c>
      <c r="N88" s="375">
        <v>0</v>
      </c>
      <c r="O88" s="404">
        <f t="shared" si="14"/>
        <v>0</v>
      </c>
      <c r="P88" s="211"/>
      <c r="Q88" s="211"/>
      <c r="R88" s="211"/>
    </row>
    <row r="89" spans="1:18" x14ac:dyDescent="0.3">
      <c r="A89" s="210" t="s">
        <v>296</v>
      </c>
      <c r="B89" s="210" t="s">
        <v>297</v>
      </c>
      <c r="C89" s="221">
        <v>0</v>
      </c>
      <c r="D89" s="221">
        <v>0</v>
      </c>
      <c r="E89" s="221">
        <v>0</v>
      </c>
      <c r="F89" s="221">
        <v>0</v>
      </c>
      <c r="G89" s="221">
        <v>0</v>
      </c>
      <c r="H89" s="375">
        <v>0</v>
      </c>
      <c r="I89" s="375">
        <v>0</v>
      </c>
      <c r="J89" s="375">
        <v>0</v>
      </c>
      <c r="K89" s="375">
        <v>0</v>
      </c>
      <c r="L89" s="375">
        <v>0</v>
      </c>
      <c r="M89" s="375">
        <v>0</v>
      </c>
      <c r="N89" s="375">
        <v>0</v>
      </c>
      <c r="O89" s="404">
        <f t="shared" si="14"/>
        <v>0</v>
      </c>
      <c r="P89" s="211"/>
      <c r="Q89" s="211"/>
      <c r="R89" s="211"/>
    </row>
    <row r="90" spans="1:18" x14ac:dyDescent="0.3">
      <c r="A90" s="210" t="s">
        <v>298</v>
      </c>
      <c r="B90" s="210" t="s">
        <v>299</v>
      </c>
      <c r="C90" s="103">
        <v>0</v>
      </c>
      <c r="D90" s="103">
        <v>0</v>
      </c>
      <c r="E90" s="103">
        <v>0</v>
      </c>
      <c r="F90" s="103">
        <v>0</v>
      </c>
      <c r="G90" s="103">
        <v>0</v>
      </c>
      <c r="H90" s="372">
        <v>0</v>
      </c>
      <c r="I90" s="372">
        <v>0</v>
      </c>
      <c r="J90" s="372">
        <v>0</v>
      </c>
      <c r="K90" s="372">
        <v>0</v>
      </c>
      <c r="L90" s="372">
        <v>0</v>
      </c>
      <c r="M90" s="372">
        <v>0</v>
      </c>
      <c r="N90" s="372">
        <v>0</v>
      </c>
      <c r="O90" s="404">
        <f t="shared" si="14"/>
        <v>0</v>
      </c>
      <c r="P90" s="211"/>
      <c r="Q90" s="211"/>
      <c r="R90" s="211"/>
    </row>
    <row r="91" spans="1:18" x14ac:dyDescent="0.3">
      <c r="A91" s="210" t="s">
        <v>300</v>
      </c>
      <c r="B91" s="210" t="s">
        <v>301</v>
      </c>
      <c r="C91" s="221">
        <v>0</v>
      </c>
      <c r="D91" s="221">
        <v>0</v>
      </c>
      <c r="E91" s="221">
        <v>0</v>
      </c>
      <c r="F91" s="221">
        <v>0</v>
      </c>
      <c r="G91" s="221">
        <v>0</v>
      </c>
      <c r="H91" s="375">
        <v>0</v>
      </c>
      <c r="I91" s="375">
        <v>0</v>
      </c>
      <c r="J91" s="375">
        <v>0</v>
      </c>
      <c r="K91" s="375">
        <v>0</v>
      </c>
      <c r="L91" s="375">
        <v>0</v>
      </c>
      <c r="M91" s="375">
        <v>0</v>
      </c>
      <c r="N91" s="375">
        <v>0</v>
      </c>
      <c r="O91" s="404">
        <f t="shared" si="14"/>
        <v>0</v>
      </c>
      <c r="P91" s="211"/>
      <c r="Q91" s="211"/>
      <c r="R91" s="211"/>
    </row>
    <row r="92" spans="1:18" x14ac:dyDescent="0.3">
      <c r="A92" s="210" t="s">
        <v>302</v>
      </c>
      <c r="B92" s="210" t="s">
        <v>303</v>
      </c>
      <c r="C92" s="221">
        <v>0</v>
      </c>
      <c r="D92" s="221">
        <v>0</v>
      </c>
      <c r="E92" s="221">
        <v>0</v>
      </c>
      <c r="F92" s="221">
        <v>0</v>
      </c>
      <c r="G92" s="221">
        <v>0</v>
      </c>
      <c r="H92" s="375">
        <v>0</v>
      </c>
      <c r="I92" s="375">
        <v>0</v>
      </c>
      <c r="J92" s="375">
        <v>0</v>
      </c>
      <c r="K92" s="375">
        <v>0</v>
      </c>
      <c r="L92" s="375">
        <v>0</v>
      </c>
      <c r="M92" s="375">
        <v>0</v>
      </c>
      <c r="N92" s="375">
        <v>0</v>
      </c>
      <c r="O92" s="404">
        <f t="shared" si="14"/>
        <v>0</v>
      </c>
      <c r="P92" s="211"/>
      <c r="Q92" s="211"/>
      <c r="R92" s="211"/>
    </row>
    <row r="93" spans="1:18" x14ac:dyDescent="0.3">
      <c r="A93" s="210" t="s">
        <v>304</v>
      </c>
      <c r="B93" s="210" t="s">
        <v>305</v>
      </c>
      <c r="C93" s="221">
        <v>0</v>
      </c>
      <c r="D93" s="221">
        <v>0</v>
      </c>
      <c r="E93" s="221">
        <v>0</v>
      </c>
      <c r="F93" s="221">
        <v>0</v>
      </c>
      <c r="G93" s="221">
        <v>0</v>
      </c>
      <c r="H93" s="375">
        <v>0</v>
      </c>
      <c r="I93" s="375">
        <v>0</v>
      </c>
      <c r="J93" s="375">
        <v>0</v>
      </c>
      <c r="K93" s="375">
        <v>0</v>
      </c>
      <c r="L93" s="375">
        <v>0</v>
      </c>
      <c r="M93" s="375">
        <v>0</v>
      </c>
      <c r="N93" s="375">
        <v>0</v>
      </c>
      <c r="O93" s="404">
        <f t="shared" si="14"/>
        <v>0</v>
      </c>
      <c r="P93" s="211"/>
      <c r="Q93" s="211"/>
      <c r="R93" s="211"/>
    </row>
    <row r="94" spans="1:18" x14ac:dyDescent="0.3">
      <c r="A94" s="210" t="s">
        <v>306</v>
      </c>
      <c r="B94" s="210" t="s">
        <v>307</v>
      </c>
      <c r="C94" s="221">
        <v>0</v>
      </c>
      <c r="D94" s="221">
        <v>0</v>
      </c>
      <c r="E94" s="221">
        <v>0</v>
      </c>
      <c r="F94" s="221">
        <v>0</v>
      </c>
      <c r="G94" s="221">
        <v>0</v>
      </c>
      <c r="H94" s="375">
        <v>0</v>
      </c>
      <c r="I94" s="375">
        <v>0</v>
      </c>
      <c r="J94" s="375">
        <v>0</v>
      </c>
      <c r="K94" s="375">
        <v>0</v>
      </c>
      <c r="L94" s="375">
        <v>0</v>
      </c>
      <c r="M94" s="375">
        <v>0</v>
      </c>
      <c r="N94" s="375">
        <v>0</v>
      </c>
      <c r="O94" s="404">
        <f t="shared" si="14"/>
        <v>0</v>
      </c>
      <c r="P94" s="211"/>
      <c r="Q94" s="211"/>
      <c r="R94" s="211"/>
    </row>
    <row r="95" spans="1:18" x14ac:dyDescent="0.3">
      <c r="A95" s="210" t="s">
        <v>308</v>
      </c>
      <c r="B95" s="210" t="s">
        <v>309</v>
      </c>
      <c r="C95" s="221">
        <v>0</v>
      </c>
      <c r="D95" s="221">
        <v>0</v>
      </c>
      <c r="E95" s="221">
        <v>0</v>
      </c>
      <c r="F95" s="221">
        <v>0</v>
      </c>
      <c r="G95" s="221">
        <v>0</v>
      </c>
      <c r="H95" s="375">
        <v>0</v>
      </c>
      <c r="I95" s="375">
        <v>0</v>
      </c>
      <c r="J95" s="375">
        <v>0</v>
      </c>
      <c r="K95" s="375">
        <v>0</v>
      </c>
      <c r="L95" s="375">
        <v>0</v>
      </c>
      <c r="M95" s="375">
        <v>0</v>
      </c>
      <c r="N95" s="375">
        <v>0</v>
      </c>
      <c r="O95" s="404">
        <f t="shared" si="14"/>
        <v>0</v>
      </c>
      <c r="P95" s="211"/>
      <c r="Q95" s="211"/>
      <c r="R95" s="211"/>
    </row>
    <row r="96" spans="1:18" x14ac:dyDescent="0.3">
      <c r="A96" s="210" t="s">
        <v>310</v>
      </c>
      <c r="B96" s="210" t="s">
        <v>311</v>
      </c>
      <c r="C96" s="221">
        <v>0</v>
      </c>
      <c r="D96" s="221">
        <v>0</v>
      </c>
      <c r="E96" s="221">
        <v>0</v>
      </c>
      <c r="F96" s="221">
        <v>0</v>
      </c>
      <c r="G96" s="221">
        <v>0</v>
      </c>
      <c r="H96" s="375">
        <v>0</v>
      </c>
      <c r="I96" s="375">
        <v>0</v>
      </c>
      <c r="J96" s="375">
        <v>0</v>
      </c>
      <c r="K96" s="375">
        <v>0</v>
      </c>
      <c r="L96" s="375">
        <v>0</v>
      </c>
      <c r="M96" s="375">
        <v>0</v>
      </c>
      <c r="N96" s="375">
        <v>0</v>
      </c>
      <c r="O96" s="404">
        <f t="shared" si="14"/>
        <v>0</v>
      </c>
      <c r="P96" s="211"/>
      <c r="Q96" s="211"/>
      <c r="R96" s="211"/>
    </row>
    <row r="97" spans="1:18" x14ac:dyDescent="0.3">
      <c r="A97" s="210" t="s">
        <v>312</v>
      </c>
      <c r="B97" s="210" t="s">
        <v>313</v>
      </c>
      <c r="C97" s="221">
        <v>0</v>
      </c>
      <c r="D97" s="221">
        <v>0</v>
      </c>
      <c r="E97" s="221">
        <v>0</v>
      </c>
      <c r="F97" s="221">
        <v>0</v>
      </c>
      <c r="G97" s="221">
        <v>0</v>
      </c>
      <c r="H97" s="375">
        <v>0</v>
      </c>
      <c r="I97" s="375">
        <v>0</v>
      </c>
      <c r="J97" s="375">
        <v>0</v>
      </c>
      <c r="K97" s="375">
        <v>0</v>
      </c>
      <c r="L97" s="375">
        <v>0</v>
      </c>
      <c r="M97" s="375">
        <v>0</v>
      </c>
      <c r="N97" s="375">
        <v>0</v>
      </c>
      <c r="O97" s="404">
        <f t="shared" si="14"/>
        <v>0</v>
      </c>
      <c r="P97" s="211"/>
      <c r="Q97" s="211"/>
      <c r="R97" s="211"/>
    </row>
    <row r="98" spans="1:18" x14ac:dyDescent="0.3">
      <c r="A98" s="210" t="s">
        <v>314</v>
      </c>
      <c r="B98" s="210" t="s">
        <v>315</v>
      </c>
      <c r="C98" s="103">
        <v>0</v>
      </c>
      <c r="D98" s="103">
        <v>0</v>
      </c>
      <c r="E98" s="103">
        <v>0</v>
      </c>
      <c r="F98" s="103">
        <v>0</v>
      </c>
      <c r="G98" s="103">
        <v>0</v>
      </c>
      <c r="H98" s="372">
        <v>0</v>
      </c>
      <c r="I98" s="372">
        <v>0</v>
      </c>
      <c r="J98" s="372">
        <v>0</v>
      </c>
      <c r="K98" s="372">
        <v>0</v>
      </c>
      <c r="L98" s="372">
        <v>0</v>
      </c>
      <c r="M98" s="372">
        <v>0</v>
      </c>
      <c r="N98" s="372">
        <v>0</v>
      </c>
      <c r="O98" s="404">
        <f t="shared" si="14"/>
        <v>0</v>
      </c>
      <c r="P98" s="211"/>
      <c r="Q98" s="211"/>
      <c r="R98" s="211"/>
    </row>
    <row r="99" spans="1:18" x14ac:dyDescent="0.3">
      <c r="A99" s="210" t="s">
        <v>316</v>
      </c>
      <c r="B99" s="210" t="s">
        <v>317</v>
      </c>
      <c r="C99" s="221">
        <v>0</v>
      </c>
      <c r="D99" s="221">
        <v>0</v>
      </c>
      <c r="E99" s="221">
        <v>0</v>
      </c>
      <c r="F99" s="221">
        <v>0</v>
      </c>
      <c r="G99" s="221">
        <v>0</v>
      </c>
      <c r="H99" s="375">
        <v>0</v>
      </c>
      <c r="I99" s="375">
        <v>0</v>
      </c>
      <c r="J99" s="375">
        <v>0</v>
      </c>
      <c r="K99" s="375">
        <v>0</v>
      </c>
      <c r="L99" s="375">
        <v>0</v>
      </c>
      <c r="M99" s="375">
        <v>0</v>
      </c>
      <c r="N99" s="375">
        <v>0</v>
      </c>
      <c r="O99" s="404">
        <f t="shared" si="14"/>
        <v>0</v>
      </c>
      <c r="P99" s="211"/>
      <c r="Q99" s="211"/>
      <c r="R99" s="211"/>
    </row>
    <row r="100" spans="1:18" x14ac:dyDescent="0.3">
      <c r="A100" s="210" t="s">
        <v>318</v>
      </c>
      <c r="B100" s="210" t="s">
        <v>319</v>
      </c>
      <c r="C100" s="103">
        <v>0</v>
      </c>
      <c r="D100" s="103">
        <v>0</v>
      </c>
      <c r="E100" s="103">
        <v>0</v>
      </c>
      <c r="F100" s="103">
        <v>0</v>
      </c>
      <c r="G100" s="103">
        <v>0</v>
      </c>
      <c r="H100" s="372">
        <v>0</v>
      </c>
      <c r="I100" s="372">
        <v>0</v>
      </c>
      <c r="J100" s="372">
        <v>0</v>
      </c>
      <c r="K100" s="372">
        <v>0</v>
      </c>
      <c r="L100" s="372">
        <v>0</v>
      </c>
      <c r="M100" s="372">
        <v>0</v>
      </c>
      <c r="N100" s="372">
        <v>0</v>
      </c>
      <c r="O100" s="404">
        <f t="shared" si="14"/>
        <v>0</v>
      </c>
      <c r="P100" s="211"/>
      <c r="Q100" s="211"/>
      <c r="R100" s="211"/>
    </row>
    <row r="101" spans="1:18" x14ac:dyDescent="0.3">
      <c r="A101" s="210" t="s">
        <v>320</v>
      </c>
      <c r="B101" s="210" t="s">
        <v>321</v>
      </c>
      <c r="C101" s="103">
        <v>0</v>
      </c>
      <c r="D101" s="103">
        <v>0</v>
      </c>
      <c r="E101" s="103">
        <v>0</v>
      </c>
      <c r="F101" s="103">
        <v>0</v>
      </c>
      <c r="G101" s="103">
        <v>0</v>
      </c>
      <c r="H101" s="372">
        <v>0</v>
      </c>
      <c r="I101" s="372">
        <v>0</v>
      </c>
      <c r="J101" s="372">
        <v>0</v>
      </c>
      <c r="K101" s="372">
        <v>0</v>
      </c>
      <c r="L101" s="372">
        <v>0</v>
      </c>
      <c r="M101" s="372">
        <v>0</v>
      </c>
      <c r="N101" s="372">
        <v>0</v>
      </c>
      <c r="O101" s="404">
        <f t="shared" si="14"/>
        <v>0</v>
      </c>
      <c r="P101" s="211"/>
      <c r="Q101" s="211"/>
      <c r="R101" s="211"/>
    </row>
    <row r="102" spans="1:18" x14ac:dyDescent="0.3">
      <c r="A102" s="210" t="s">
        <v>322</v>
      </c>
      <c r="B102" s="210" t="s">
        <v>323</v>
      </c>
      <c r="C102" s="103">
        <v>0</v>
      </c>
      <c r="D102" s="103">
        <v>0</v>
      </c>
      <c r="E102" s="103">
        <v>0</v>
      </c>
      <c r="F102" s="103">
        <v>0</v>
      </c>
      <c r="G102" s="103">
        <v>0</v>
      </c>
      <c r="H102" s="372">
        <v>0</v>
      </c>
      <c r="I102" s="372">
        <v>0</v>
      </c>
      <c r="J102" s="372">
        <v>0</v>
      </c>
      <c r="K102" s="372">
        <v>0</v>
      </c>
      <c r="L102" s="372">
        <v>0</v>
      </c>
      <c r="M102" s="372">
        <v>0</v>
      </c>
      <c r="N102" s="372">
        <v>0</v>
      </c>
      <c r="O102" s="404">
        <f t="shared" si="14"/>
        <v>0</v>
      </c>
      <c r="P102" s="211"/>
      <c r="Q102" s="211"/>
      <c r="R102" s="211"/>
    </row>
    <row r="103" spans="1:18" x14ac:dyDescent="0.3">
      <c r="A103" s="210" t="s">
        <v>324</v>
      </c>
      <c r="B103" s="222" t="s">
        <v>350</v>
      </c>
      <c r="C103" s="103">
        <v>100</v>
      </c>
      <c r="D103" s="103">
        <v>100</v>
      </c>
      <c r="E103" s="103">
        <v>100</v>
      </c>
      <c r="F103" s="103">
        <v>100</v>
      </c>
      <c r="G103" s="103">
        <v>100</v>
      </c>
      <c r="H103" s="372">
        <v>100</v>
      </c>
      <c r="I103" s="372">
        <v>100</v>
      </c>
      <c r="J103" s="372">
        <v>100</v>
      </c>
      <c r="K103" s="372">
        <v>100</v>
      </c>
      <c r="L103" s="372">
        <v>100</v>
      </c>
      <c r="M103" s="372">
        <v>100</v>
      </c>
      <c r="N103" s="372">
        <v>100</v>
      </c>
      <c r="O103" s="404">
        <f t="shared" si="14"/>
        <v>1200</v>
      </c>
      <c r="P103" s="211"/>
      <c r="Q103" s="211"/>
      <c r="R103" s="211"/>
    </row>
    <row r="104" spans="1:18" x14ac:dyDescent="0.3">
      <c r="A104" s="213" t="s">
        <v>326</v>
      </c>
      <c r="B104" s="213" t="s">
        <v>327</v>
      </c>
      <c r="C104" s="103">
        <v>0</v>
      </c>
      <c r="D104" s="103">
        <v>0</v>
      </c>
      <c r="E104" s="103">
        <v>0</v>
      </c>
      <c r="F104" s="103">
        <v>0</v>
      </c>
      <c r="G104" s="103">
        <v>0</v>
      </c>
      <c r="H104" s="372">
        <v>0</v>
      </c>
      <c r="I104" s="372">
        <v>0</v>
      </c>
      <c r="J104" s="372">
        <v>0</v>
      </c>
      <c r="K104" s="372">
        <v>0</v>
      </c>
      <c r="L104" s="372">
        <v>0</v>
      </c>
      <c r="M104" s="372">
        <v>0</v>
      </c>
      <c r="N104" s="372">
        <v>0</v>
      </c>
      <c r="O104" s="405">
        <f t="shared" si="14"/>
        <v>0</v>
      </c>
      <c r="P104" s="211"/>
      <c r="Q104" s="211"/>
      <c r="R104" s="211"/>
    </row>
    <row r="105" spans="1:18" x14ac:dyDescent="0.3">
      <c r="A105" s="213"/>
      <c r="B105" s="300" t="s">
        <v>382</v>
      </c>
      <c r="C105" s="103"/>
      <c r="D105" s="103"/>
      <c r="E105" s="103"/>
      <c r="F105" s="103"/>
      <c r="G105" s="103"/>
      <c r="H105" s="372"/>
      <c r="I105" s="372"/>
      <c r="J105" s="372"/>
      <c r="K105" s="372"/>
      <c r="L105" s="372"/>
      <c r="M105" s="372"/>
      <c r="N105" s="372"/>
      <c r="O105" s="405"/>
      <c r="P105" s="211"/>
      <c r="Q105" s="211"/>
      <c r="R105" s="211"/>
    </row>
    <row r="106" spans="1:18" x14ac:dyDescent="0.3">
      <c r="A106" s="205"/>
      <c r="B106" s="206" t="s">
        <v>328</v>
      </c>
      <c r="C106" s="223">
        <f>SUM(C54:C104)</f>
        <v>100</v>
      </c>
      <c r="D106" s="218">
        <f t="shared" ref="D106:N106" si="15">SUM(D54:D104)</f>
        <v>100</v>
      </c>
      <c r="E106" s="218">
        <f t="shared" si="15"/>
        <v>100</v>
      </c>
      <c r="F106" s="218">
        <f t="shared" si="15"/>
        <v>100</v>
      </c>
      <c r="G106" s="218">
        <f t="shared" si="15"/>
        <v>100</v>
      </c>
      <c r="H106" s="374">
        <f t="shared" si="15"/>
        <v>100</v>
      </c>
      <c r="I106" s="374">
        <f t="shared" si="15"/>
        <v>100</v>
      </c>
      <c r="J106" s="374">
        <f t="shared" si="15"/>
        <v>100</v>
      </c>
      <c r="K106" s="374">
        <f t="shared" si="15"/>
        <v>100</v>
      </c>
      <c r="L106" s="374">
        <f t="shared" si="15"/>
        <v>100</v>
      </c>
      <c r="M106" s="374">
        <f t="shared" si="15"/>
        <v>100</v>
      </c>
      <c r="N106" s="377">
        <f t="shared" si="15"/>
        <v>100</v>
      </c>
      <c r="O106" s="400">
        <f>SUM(C106:N106)</f>
        <v>1200</v>
      </c>
    </row>
    <row r="107" spans="1:18" x14ac:dyDescent="0.3">
      <c r="A107" s="205"/>
      <c r="B107" s="205"/>
      <c r="C107" s="219"/>
      <c r="D107" s="219"/>
      <c r="E107" s="219"/>
      <c r="F107" s="219"/>
      <c r="G107" s="219"/>
      <c r="H107" s="376"/>
      <c r="I107" s="376"/>
      <c r="J107" s="376"/>
      <c r="K107" s="376"/>
      <c r="L107" s="376"/>
      <c r="M107" s="376"/>
      <c r="N107" s="376"/>
      <c r="O107" s="406"/>
    </row>
    <row r="108" spans="1:18" ht="15" thickBot="1" x14ac:dyDescent="0.35">
      <c r="A108" s="214"/>
      <c r="B108" s="215" t="s">
        <v>329</v>
      </c>
      <c r="C108" s="224">
        <f>C24-C53-C106</f>
        <v>-1156.75</v>
      </c>
      <c r="D108" s="224">
        <f t="shared" ref="D108:N108" si="16">D24-D53-D106</f>
        <v>2350</v>
      </c>
      <c r="E108" s="224">
        <f t="shared" si="16"/>
        <v>8764</v>
      </c>
      <c r="F108" s="224">
        <f t="shared" si="16"/>
        <v>2922.5</v>
      </c>
      <c r="G108" s="224">
        <f t="shared" si="16"/>
        <v>-1385.3</v>
      </c>
      <c r="H108" s="378">
        <f t="shared" si="16"/>
        <v>3420</v>
      </c>
      <c r="I108" s="378">
        <f t="shared" si="16"/>
        <v>2998.5</v>
      </c>
      <c r="J108" s="378">
        <f t="shared" si="16"/>
        <v>2493</v>
      </c>
      <c r="K108" s="378">
        <f t="shared" si="16"/>
        <v>2998</v>
      </c>
      <c r="L108" s="378">
        <f t="shared" si="16"/>
        <v>2998</v>
      </c>
      <c r="M108" s="378">
        <f t="shared" si="16"/>
        <v>2998</v>
      </c>
      <c r="N108" s="378">
        <f t="shared" si="16"/>
        <v>1650</v>
      </c>
      <c r="O108" s="407">
        <v>33632</v>
      </c>
    </row>
    <row r="109" spans="1:18" ht="15" thickTop="1" x14ac:dyDescent="0.3">
      <c r="C109" s="226"/>
      <c r="D109" s="226"/>
      <c r="E109" s="226"/>
      <c r="F109" s="226"/>
      <c r="G109" s="226"/>
      <c r="H109" s="226"/>
      <c r="I109" s="226"/>
      <c r="J109" s="226"/>
      <c r="K109" s="226"/>
      <c r="L109" s="226"/>
      <c r="M109" s="226"/>
      <c r="N109" s="226"/>
      <c r="O109" s="408"/>
    </row>
    <row r="110" spans="1:18" x14ac:dyDescent="0.3">
      <c r="C110" s="220"/>
      <c r="D110" s="220"/>
      <c r="E110" s="220"/>
      <c r="F110" s="220"/>
      <c r="G110" s="220"/>
      <c r="H110" s="220"/>
      <c r="I110" s="220"/>
      <c r="J110" s="220"/>
      <c r="K110" s="220"/>
      <c r="L110" s="220"/>
      <c r="M110" s="220"/>
      <c r="N110" s="220"/>
      <c r="O110" s="408"/>
    </row>
    <row r="111" spans="1:18" x14ac:dyDescent="0.3">
      <c r="A111" s="230" t="s">
        <v>372</v>
      </c>
      <c r="B111" s="230" t="s">
        <v>352</v>
      </c>
      <c r="C111" s="270">
        <v>2</v>
      </c>
      <c r="D111" s="270">
        <v>3</v>
      </c>
      <c r="E111" s="270">
        <v>4</v>
      </c>
      <c r="F111" s="270">
        <v>1</v>
      </c>
      <c r="G111" s="270"/>
      <c r="H111" s="270" t="s">
        <v>355</v>
      </c>
      <c r="I111" s="270">
        <v>3</v>
      </c>
      <c r="J111" s="270">
        <v>2</v>
      </c>
      <c r="K111" s="270">
        <v>3</v>
      </c>
      <c r="L111" s="270" t="s">
        <v>357</v>
      </c>
      <c r="M111" s="270">
        <v>3</v>
      </c>
      <c r="N111" s="270"/>
      <c r="O111" s="409"/>
      <c r="P111" s="229"/>
      <c r="Q111" s="229"/>
      <c r="R111" s="229"/>
    </row>
    <row r="112" spans="1:18" x14ac:dyDescent="0.3">
      <c r="A112" s="230" t="s">
        <v>373</v>
      </c>
      <c r="B112" s="230" t="s">
        <v>358</v>
      </c>
      <c r="C112" s="270"/>
      <c r="D112" s="270"/>
      <c r="E112" s="270">
        <v>1</v>
      </c>
      <c r="F112" s="270">
        <v>1</v>
      </c>
      <c r="G112" s="270"/>
      <c r="H112" s="270" t="s">
        <v>359</v>
      </c>
      <c r="I112" s="270" t="s">
        <v>359</v>
      </c>
      <c r="J112" s="270"/>
      <c r="K112" s="270" t="s">
        <v>359</v>
      </c>
      <c r="L112" s="270">
        <v>1</v>
      </c>
      <c r="M112" s="270">
        <v>1</v>
      </c>
      <c r="N112" s="270"/>
      <c r="O112" s="409"/>
      <c r="P112" s="229"/>
      <c r="Q112" s="229"/>
      <c r="R112" s="229"/>
    </row>
    <row r="113" spans="1:18" x14ac:dyDescent="0.3">
      <c r="A113" s="230" t="s">
        <v>374</v>
      </c>
      <c r="B113" s="230" t="s">
        <v>361</v>
      </c>
      <c r="C113" s="270"/>
      <c r="D113" s="270"/>
      <c r="E113" s="270"/>
      <c r="F113" s="270"/>
      <c r="G113" s="270"/>
      <c r="H113" s="270"/>
      <c r="I113" s="270"/>
      <c r="J113" s="270"/>
      <c r="K113" s="270"/>
      <c r="L113" s="270"/>
      <c r="M113" s="270"/>
      <c r="N113" s="270"/>
      <c r="O113" s="409"/>
      <c r="P113" s="229"/>
      <c r="Q113" s="229"/>
      <c r="R113" s="229"/>
    </row>
    <row r="114" spans="1:18" x14ac:dyDescent="0.3">
      <c r="A114" s="230" t="s">
        <v>375</v>
      </c>
      <c r="B114" s="230" t="s">
        <v>362</v>
      </c>
      <c r="C114" s="270"/>
      <c r="D114" s="271"/>
      <c r="E114" s="271"/>
      <c r="F114" s="271"/>
      <c r="G114" s="271"/>
      <c r="H114" s="271"/>
      <c r="I114" s="271"/>
      <c r="J114" s="271"/>
      <c r="K114" s="271"/>
      <c r="L114" s="271"/>
      <c r="M114" s="271"/>
      <c r="N114" s="271"/>
      <c r="O114" s="410"/>
      <c r="P114" s="230"/>
      <c r="Q114" s="230"/>
      <c r="R114" s="230"/>
    </row>
    <row r="115" spans="1:18" x14ac:dyDescent="0.3">
      <c r="A115" s="230" t="s">
        <v>376</v>
      </c>
      <c r="B115" s="230" t="s">
        <v>377</v>
      </c>
      <c r="C115" s="270">
        <v>2</v>
      </c>
      <c r="D115" s="271">
        <v>2</v>
      </c>
      <c r="E115" s="271">
        <v>2</v>
      </c>
      <c r="F115" s="271">
        <v>2</v>
      </c>
      <c r="G115" s="271">
        <v>2</v>
      </c>
      <c r="H115" s="271">
        <v>2</v>
      </c>
      <c r="I115" s="271">
        <v>2</v>
      </c>
      <c r="J115" s="271">
        <v>2</v>
      </c>
      <c r="K115" s="271">
        <v>2</v>
      </c>
      <c r="L115" s="271">
        <v>2</v>
      </c>
      <c r="M115" s="271">
        <v>2</v>
      </c>
      <c r="N115" s="271">
        <v>2</v>
      </c>
      <c r="O115" s="410"/>
      <c r="P115" s="230"/>
      <c r="Q115" s="230"/>
      <c r="R115" s="230"/>
    </row>
    <row r="116" spans="1:18" x14ac:dyDescent="0.3">
      <c r="A116" s="230" t="s">
        <v>378</v>
      </c>
      <c r="B116" s="230" t="s">
        <v>377</v>
      </c>
      <c r="C116" s="270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1"/>
      <c r="O116" s="410"/>
      <c r="P116" s="230"/>
      <c r="Q116" s="230"/>
      <c r="R116" s="230"/>
    </row>
    <row r="117" spans="1:18" x14ac:dyDescent="0.3">
      <c r="A117" s="230"/>
      <c r="B117" s="230"/>
      <c r="C117" s="272"/>
      <c r="D117" s="272"/>
      <c r="E117" s="272"/>
      <c r="F117" s="272"/>
      <c r="G117" s="272"/>
      <c r="H117" s="272"/>
      <c r="I117" s="272"/>
      <c r="J117" s="272"/>
      <c r="K117" s="272"/>
      <c r="L117" s="272"/>
      <c r="M117" s="272"/>
      <c r="N117" s="272"/>
      <c r="O117" s="410"/>
      <c r="P117" s="230"/>
      <c r="Q117" s="230"/>
      <c r="R117" s="230"/>
    </row>
    <row r="118" spans="1:18" x14ac:dyDescent="0.3">
      <c r="C118" s="220"/>
      <c r="D118" s="220"/>
      <c r="E118" s="220"/>
      <c r="F118" s="220"/>
      <c r="G118" s="220"/>
      <c r="H118" s="220"/>
      <c r="I118" s="220"/>
      <c r="J118" s="220"/>
      <c r="K118" s="220"/>
      <c r="L118" s="220"/>
      <c r="M118" s="220"/>
      <c r="N118" s="220"/>
      <c r="O118" s="408"/>
    </row>
    <row r="119" spans="1:18" x14ac:dyDescent="0.3"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408"/>
    </row>
    <row r="120" spans="1:18" ht="43.2" x14ac:dyDescent="0.3">
      <c r="A120" s="273"/>
      <c r="B120" s="273"/>
      <c r="C120" s="274" t="s">
        <v>363</v>
      </c>
      <c r="D120" s="274" t="s">
        <v>364</v>
      </c>
      <c r="E120" s="274" t="s">
        <v>365</v>
      </c>
      <c r="F120" s="274" t="s">
        <v>366</v>
      </c>
      <c r="G120" s="275" t="s">
        <v>379</v>
      </c>
      <c r="H120" s="220"/>
      <c r="I120" s="220"/>
      <c r="J120" s="220"/>
      <c r="K120" s="220"/>
      <c r="L120" s="220"/>
      <c r="M120" s="220"/>
      <c r="N120" s="220"/>
      <c r="O120" s="408"/>
    </row>
    <row r="121" spans="1:18" x14ac:dyDescent="0.3">
      <c r="A121" s="230" t="s">
        <v>367</v>
      </c>
      <c r="B121" s="230" t="s">
        <v>352</v>
      </c>
      <c r="C121" s="276">
        <v>15</v>
      </c>
      <c r="D121" s="276">
        <v>56</v>
      </c>
      <c r="E121" s="276">
        <v>15.5</v>
      </c>
      <c r="F121" s="276">
        <v>25</v>
      </c>
      <c r="G121" s="277"/>
      <c r="H121" s="220"/>
      <c r="I121" s="220"/>
      <c r="J121" s="220"/>
      <c r="K121" s="220"/>
      <c r="L121" s="220"/>
      <c r="M121" s="220"/>
      <c r="N121" s="220"/>
      <c r="O121" s="408"/>
    </row>
    <row r="122" spans="1:18" x14ac:dyDescent="0.3">
      <c r="A122" s="230" t="s">
        <v>368</v>
      </c>
      <c r="B122" s="230" t="s">
        <v>358</v>
      </c>
      <c r="C122" s="276">
        <v>7</v>
      </c>
      <c r="D122" s="276">
        <v>39</v>
      </c>
      <c r="E122" s="276">
        <v>7</v>
      </c>
      <c r="F122" s="276">
        <v>25</v>
      </c>
      <c r="G122" s="277"/>
      <c r="H122" s="220"/>
      <c r="I122" s="220"/>
      <c r="J122" s="220"/>
      <c r="K122" s="220"/>
      <c r="L122" s="220"/>
      <c r="M122" s="220"/>
      <c r="N122" s="220"/>
      <c r="O122" s="408"/>
    </row>
    <row r="123" spans="1:18" x14ac:dyDescent="0.3">
      <c r="A123" s="230" t="s">
        <v>369</v>
      </c>
      <c r="B123" s="230" t="s">
        <v>361</v>
      </c>
      <c r="C123" s="276"/>
      <c r="D123" s="276">
        <v>53.6</v>
      </c>
      <c r="E123" s="276">
        <v>7</v>
      </c>
      <c r="F123" s="276">
        <v>25</v>
      </c>
      <c r="G123" s="277"/>
      <c r="H123" s="220"/>
      <c r="I123" s="220"/>
      <c r="J123" s="220"/>
      <c r="K123" s="220"/>
      <c r="L123" s="220"/>
      <c r="M123" s="220"/>
      <c r="N123" s="220"/>
      <c r="O123" s="408"/>
    </row>
    <row r="124" spans="1:18" x14ac:dyDescent="0.3">
      <c r="A124" s="230" t="s">
        <v>370</v>
      </c>
      <c r="B124" s="230" t="s">
        <v>362</v>
      </c>
      <c r="C124" s="276"/>
      <c r="D124" s="276">
        <v>25</v>
      </c>
      <c r="E124" s="276"/>
      <c r="F124" s="276"/>
      <c r="G124" s="277"/>
      <c r="H124" s="220"/>
      <c r="I124" s="220"/>
      <c r="J124" s="220"/>
      <c r="K124" s="220"/>
      <c r="L124" s="220"/>
      <c r="M124" s="220"/>
      <c r="N124" s="220"/>
      <c r="O124" s="408"/>
    </row>
    <row r="125" spans="1:18" x14ac:dyDescent="0.3">
      <c r="A125" s="230" t="s">
        <v>371</v>
      </c>
      <c r="B125" s="230" t="s">
        <v>377</v>
      </c>
      <c r="C125" s="276"/>
      <c r="D125" s="230"/>
      <c r="E125" s="276"/>
      <c r="F125" s="276"/>
      <c r="G125" s="276">
        <v>1750</v>
      </c>
      <c r="H125" s="220"/>
      <c r="I125" s="220"/>
      <c r="J125" s="220"/>
      <c r="K125" s="220"/>
      <c r="L125" s="220"/>
      <c r="M125" s="220"/>
      <c r="N125" s="220"/>
      <c r="O125" s="408"/>
    </row>
    <row r="126" spans="1:18" x14ac:dyDescent="0.3">
      <c r="A126" s="230"/>
      <c r="B126" s="230"/>
      <c r="C126" s="276"/>
      <c r="D126" s="276"/>
      <c r="E126" s="276"/>
      <c r="F126" s="276"/>
      <c r="G126" s="277"/>
      <c r="H126" s="220"/>
      <c r="I126" s="220"/>
      <c r="J126" s="220"/>
      <c r="K126" s="220"/>
      <c r="L126" s="220"/>
      <c r="M126" s="220"/>
      <c r="N126" s="220"/>
      <c r="O126" s="408"/>
    </row>
    <row r="127" spans="1:18" x14ac:dyDescent="0.3">
      <c r="A127" s="230"/>
      <c r="B127" s="230"/>
      <c r="C127" s="276"/>
      <c r="D127" s="276"/>
      <c r="E127" s="276"/>
      <c r="F127" s="276"/>
      <c r="G127" s="277"/>
      <c r="H127" s="220"/>
      <c r="I127" s="220"/>
      <c r="J127" s="220"/>
      <c r="K127" s="220"/>
      <c r="L127" s="220"/>
      <c r="M127" s="220"/>
      <c r="N127" s="220"/>
      <c r="O127" s="408"/>
    </row>
    <row r="128" spans="1:18" x14ac:dyDescent="0.3">
      <c r="C128" s="220"/>
      <c r="D128" s="220"/>
      <c r="E128" s="220"/>
      <c r="F128" s="220"/>
      <c r="G128" s="220"/>
      <c r="H128" s="220"/>
      <c r="I128" s="220"/>
      <c r="J128" s="220"/>
      <c r="K128" s="220"/>
      <c r="L128" s="220"/>
      <c r="M128" s="220"/>
      <c r="N128" s="220"/>
      <c r="O128" s="408"/>
    </row>
    <row r="129" spans="3:15" x14ac:dyDescent="0.3">
      <c r="C129" s="220"/>
      <c r="D129" s="220"/>
      <c r="E129" s="220"/>
      <c r="F129" s="220"/>
      <c r="G129" s="220"/>
      <c r="H129" s="220"/>
      <c r="I129" s="220"/>
      <c r="J129" s="220"/>
      <c r="K129" s="220"/>
      <c r="L129" s="220"/>
      <c r="M129" s="220"/>
      <c r="N129" s="220"/>
      <c r="O129" s="408"/>
    </row>
    <row r="130" spans="3:15" x14ac:dyDescent="0.3">
      <c r="C130" s="220"/>
      <c r="D130" s="220"/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408"/>
    </row>
    <row r="131" spans="3:15" x14ac:dyDescent="0.3">
      <c r="C131" s="220"/>
      <c r="D131" s="220"/>
      <c r="E131" s="220"/>
      <c r="F131" s="220"/>
      <c r="G131" s="220"/>
      <c r="H131" s="220"/>
      <c r="I131" s="220"/>
      <c r="J131" s="220"/>
      <c r="K131" s="220"/>
      <c r="L131" s="220"/>
      <c r="M131" s="220"/>
      <c r="N131" s="220"/>
      <c r="O131" s="408"/>
    </row>
    <row r="132" spans="3:15" x14ac:dyDescent="0.3">
      <c r="C132" s="220"/>
      <c r="D132" s="220"/>
      <c r="E132" s="220"/>
      <c r="F132" s="220"/>
      <c r="G132" s="220"/>
      <c r="H132" s="220"/>
      <c r="I132" s="220"/>
      <c r="J132" s="220"/>
      <c r="K132" s="220"/>
      <c r="L132" s="220"/>
      <c r="M132" s="220"/>
      <c r="N132" s="220"/>
      <c r="O132" s="408"/>
    </row>
    <row r="133" spans="3:15" x14ac:dyDescent="0.3"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  <c r="N133" s="220"/>
      <c r="O133" s="40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F0D2-B697-42DC-B322-BD7F3F86FB3D}">
  <sheetPr>
    <tabColor rgb="FF00B050"/>
  </sheetPr>
  <dimension ref="A1:AF118"/>
  <sheetViews>
    <sheetView topLeftCell="A12" zoomScale="72" zoomScaleNormal="72" workbookViewId="0">
      <selection activeCell="A15" sqref="A15:B22"/>
    </sheetView>
  </sheetViews>
  <sheetFormatPr defaultRowHeight="14.4" x14ac:dyDescent="0.3"/>
  <cols>
    <col min="1" max="1" width="12.109375" style="99" customWidth="1"/>
    <col min="2" max="2" width="35.88671875" style="99" customWidth="1"/>
    <col min="3" max="6" width="8.77734375" style="101" customWidth="1"/>
    <col min="7" max="7" width="11.44140625" style="101" customWidth="1"/>
    <col min="8" max="8" width="8.77734375" style="101" customWidth="1"/>
    <col min="9" max="10" width="8.77734375" style="123" customWidth="1"/>
    <col min="11" max="14" width="8.77734375" style="101" customWidth="1"/>
    <col min="15" max="15" width="12.6640625" style="112" customWidth="1"/>
    <col min="16" max="16" width="12.88671875" style="99" customWidth="1"/>
    <col min="17" max="254" width="8.88671875" style="99"/>
    <col min="255" max="255" width="16.6640625" style="99" customWidth="1"/>
    <col min="256" max="256" width="39.88671875" style="99" customWidth="1"/>
    <col min="257" max="269" width="15.6640625" style="99" customWidth="1"/>
    <col min="270" max="510" width="8.88671875" style="99"/>
    <col min="511" max="511" width="16.6640625" style="99" customWidth="1"/>
    <col min="512" max="512" width="39.88671875" style="99" customWidth="1"/>
    <col min="513" max="525" width="15.6640625" style="99" customWidth="1"/>
    <col min="526" max="766" width="8.88671875" style="99"/>
    <col min="767" max="767" width="16.6640625" style="99" customWidth="1"/>
    <col min="768" max="768" width="39.88671875" style="99" customWidth="1"/>
    <col min="769" max="781" width="15.6640625" style="99" customWidth="1"/>
    <col min="782" max="1022" width="8.88671875" style="99"/>
    <col min="1023" max="1023" width="16.6640625" style="99" customWidth="1"/>
    <col min="1024" max="1024" width="39.88671875" style="99" customWidth="1"/>
    <col min="1025" max="1037" width="15.6640625" style="99" customWidth="1"/>
    <col min="1038" max="1278" width="8.88671875" style="99"/>
    <col min="1279" max="1279" width="16.6640625" style="99" customWidth="1"/>
    <col min="1280" max="1280" width="39.88671875" style="99" customWidth="1"/>
    <col min="1281" max="1293" width="15.6640625" style="99" customWidth="1"/>
    <col min="1294" max="1534" width="8.88671875" style="99"/>
    <col min="1535" max="1535" width="16.6640625" style="99" customWidth="1"/>
    <col min="1536" max="1536" width="39.88671875" style="99" customWidth="1"/>
    <col min="1537" max="1549" width="15.6640625" style="99" customWidth="1"/>
    <col min="1550" max="1790" width="8.88671875" style="99"/>
    <col min="1791" max="1791" width="16.6640625" style="99" customWidth="1"/>
    <col min="1792" max="1792" width="39.88671875" style="99" customWidth="1"/>
    <col min="1793" max="1805" width="15.6640625" style="99" customWidth="1"/>
    <col min="1806" max="2046" width="8.88671875" style="99"/>
    <col min="2047" max="2047" width="16.6640625" style="99" customWidth="1"/>
    <col min="2048" max="2048" width="39.88671875" style="99" customWidth="1"/>
    <col min="2049" max="2061" width="15.6640625" style="99" customWidth="1"/>
    <col min="2062" max="2302" width="8.88671875" style="99"/>
    <col min="2303" max="2303" width="16.6640625" style="99" customWidth="1"/>
    <col min="2304" max="2304" width="39.88671875" style="99" customWidth="1"/>
    <col min="2305" max="2317" width="15.6640625" style="99" customWidth="1"/>
    <col min="2318" max="2558" width="8.88671875" style="99"/>
    <col min="2559" max="2559" width="16.6640625" style="99" customWidth="1"/>
    <col min="2560" max="2560" width="39.88671875" style="99" customWidth="1"/>
    <col min="2561" max="2573" width="15.6640625" style="99" customWidth="1"/>
    <col min="2574" max="2814" width="8.88671875" style="99"/>
    <col min="2815" max="2815" width="16.6640625" style="99" customWidth="1"/>
    <col min="2816" max="2816" width="39.88671875" style="99" customWidth="1"/>
    <col min="2817" max="2829" width="15.6640625" style="99" customWidth="1"/>
    <col min="2830" max="3070" width="8.88671875" style="99"/>
    <col min="3071" max="3071" width="16.6640625" style="99" customWidth="1"/>
    <col min="3072" max="3072" width="39.88671875" style="99" customWidth="1"/>
    <col min="3073" max="3085" width="15.6640625" style="99" customWidth="1"/>
    <col min="3086" max="3326" width="8.88671875" style="99"/>
    <col min="3327" max="3327" width="16.6640625" style="99" customWidth="1"/>
    <col min="3328" max="3328" width="39.88671875" style="99" customWidth="1"/>
    <col min="3329" max="3341" width="15.6640625" style="99" customWidth="1"/>
    <col min="3342" max="3582" width="8.88671875" style="99"/>
    <col min="3583" max="3583" width="16.6640625" style="99" customWidth="1"/>
    <col min="3584" max="3584" width="39.88671875" style="99" customWidth="1"/>
    <col min="3585" max="3597" width="15.6640625" style="99" customWidth="1"/>
    <col min="3598" max="3838" width="8.88671875" style="99"/>
    <col min="3839" max="3839" width="16.6640625" style="99" customWidth="1"/>
    <col min="3840" max="3840" width="39.88671875" style="99" customWidth="1"/>
    <col min="3841" max="3853" width="15.6640625" style="99" customWidth="1"/>
    <col min="3854" max="4094" width="8.88671875" style="99"/>
    <col min="4095" max="4095" width="16.6640625" style="99" customWidth="1"/>
    <col min="4096" max="4096" width="39.88671875" style="99" customWidth="1"/>
    <col min="4097" max="4109" width="15.6640625" style="99" customWidth="1"/>
    <col min="4110" max="4350" width="8.88671875" style="99"/>
    <col min="4351" max="4351" width="16.6640625" style="99" customWidth="1"/>
    <col min="4352" max="4352" width="39.88671875" style="99" customWidth="1"/>
    <col min="4353" max="4365" width="15.6640625" style="99" customWidth="1"/>
    <col min="4366" max="4606" width="8.88671875" style="99"/>
    <col min="4607" max="4607" width="16.6640625" style="99" customWidth="1"/>
    <col min="4608" max="4608" width="39.88671875" style="99" customWidth="1"/>
    <col min="4609" max="4621" width="15.6640625" style="99" customWidth="1"/>
    <col min="4622" max="4862" width="8.88671875" style="99"/>
    <col min="4863" max="4863" width="16.6640625" style="99" customWidth="1"/>
    <col min="4864" max="4864" width="39.88671875" style="99" customWidth="1"/>
    <col min="4865" max="4877" width="15.6640625" style="99" customWidth="1"/>
    <col min="4878" max="5118" width="8.88671875" style="99"/>
    <col min="5119" max="5119" width="16.6640625" style="99" customWidth="1"/>
    <col min="5120" max="5120" width="39.88671875" style="99" customWidth="1"/>
    <col min="5121" max="5133" width="15.6640625" style="99" customWidth="1"/>
    <col min="5134" max="5374" width="8.88671875" style="99"/>
    <col min="5375" max="5375" width="16.6640625" style="99" customWidth="1"/>
    <col min="5376" max="5376" width="39.88671875" style="99" customWidth="1"/>
    <col min="5377" max="5389" width="15.6640625" style="99" customWidth="1"/>
    <col min="5390" max="5630" width="8.88671875" style="99"/>
    <col min="5631" max="5631" width="16.6640625" style="99" customWidth="1"/>
    <col min="5632" max="5632" width="39.88671875" style="99" customWidth="1"/>
    <col min="5633" max="5645" width="15.6640625" style="99" customWidth="1"/>
    <col min="5646" max="5886" width="8.88671875" style="99"/>
    <col min="5887" max="5887" width="16.6640625" style="99" customWidth="1"/>
    <col min="5888" max="5888" width="39.88671875" style="99" customWidth="1"/>
    <col min="5889" max="5901" width="15.6640625" style="99" customWidth="1"/>
    <col min="5902" max="6142" width="8.88671875" style="99"/>
    <col min="6143" max="6143" width="16.6640625" style="99" customWidth="1"/>
    <col min="6144" max="6144" width="39.88671875" style="99" customWidth="1"/>
    <col min="6145" max="6157" width="15.6640625" style="99" customWidth="1"/>
    <col min="6158" max="6398" width="8.88671875" style="99"/>
    <col min="6399" max="6399" width="16.6640625" style="99" customWidth="1"/>
    <col min="6400" max="6400" width="39.88671875" style="99" customWidth="1"/>
    <col min="6401" max="6413" width="15.6640625" style="99" customWidth="1"/>
    <col min="6414" max="6654" width="8.88671875" style="99"/>
    <col min="6655" max="6655" width="16.6640625" style="99" customWidth="1"/>
    <col min="6656" max="6656" width="39.88671875" style="99" customWidth="1"/>
    <col min="6657" max="6669" width="15.6640625" style="99" customWidth="1"/>
    <col min="6670" max="6910" width="8.88671875" style="99"/>
    <col min="6911" max="6911" width="16.6640625" style="99" customWidth="1"/>
    <col min="6912" max="6912" width="39.88671875" style="99" customWidth="1"/>
    <col min="6913" max="6925" width="15.6640625" style="99" customWidth="1"/>
    <col min="6926" max="7166" width="8.88671875" style="99"/>
    <col min="7167" max="7167" width="16.6640625" style="99" customWidth="1"/>
    <col min="7168" max="7168" width="39.88671875" style="99" customWidth="1"/>
    <col min="7169" max="7181" width="15.6640625" style="99" customWidth="1"/>
    <col min="7182" max="7422" width="8.88671875" style="99"/>
    <col min="7423" max="7423" width="16.6640625" style="99" customWidth="1"/>
    <col min="7424" max="7424" width="39.88671875" style="99" customWidth="1"/>
    <col min="7425" max="7437" width="15.6640625" style="99" customWidth="1"/>
    <col min="7438" max="7678" width="8.88671875" style="99"/>
    <col min="7679" max="7679" width="16.6640625" style="99" customWidth="1"/>
    <col min="7680" max="7680" width="39.88671875" style="99" customWidth="1"/>
    <col min="7681" max="7693" width="15.6640625" style="99" customWidth="1"/>
    <col min="7694" max="7934" width="8.88671875" style="99"/>
    <col min="7935" max="7935" width="16.6640625" style="99" customWidth="1"/>
    <col min="7936" max="7936" width="39.88671875" style="99" customWidth="1"/>
    <col min="7937" max="7949" width="15.6640625" style="99" customWidth="1"/>
    <col min="7950" max="8190" width="8.88671875" style="99"/>
    <col min="8191" max="8191" width="16.6640625" style="99" customWidth="1"/>
    <col min="8192" max="8192" width="39.88671875" style="99" customWidth="1"/>
    <col min="8193" max="8205" width="15.6640625" style="99" customWidth="1"/>
    <col min="8206" max="8446" width="8.88671875" style="99"/>
    <col min="8447" max="8447" width="16.6640625" style="99" customWidth="1"/>
    <col min="8448" max="8448" width="39.88671875" style="99" customWidth="1"/>
    <col min="8449" max="8461" width="15.6640625" style="99" customWidth="1"/>
    <col min="8462" max="8702" width="8.88671875" style="99"/>
    <col min="8703" max="8703" width="16.6640625" style="99" customWidth="1"/>
    <col min="8704" max="8704" width="39.88671875" style="99" customWidth="1"/>
    <col min="8705" max="8717" width="15.6640625" style="99" customWidth="1"/>
    <col min="8718" max="8958" width="8.88671875" style="99"/>
    <col min="8959" max="8959" width="16.6640625" style="99" customWidth="1"/>
    <col min="8960" max="8960" width="39.88671875" style="99" customWidth="1"/>
    <col min="8961" max="8973" width="15.6640625" style="99" customWidth="1"/>
    <col min="8974" max="9214" width="8.88671875" style="99"/>
    <col min="9215" max="9215" width="16.6640625" style="99" customWidth="1"/>
    <col min="9216" max="9216" width="39.88671875" style="99" customWidth="1"/>
    <col min="9217" max="9229" width="15.6640625" style="99" customWidth="1"/>
    <col min="9230" max="9470" width="8.88671875" style="99"/>
    <col min="9471" max="9471" width="16.6640625" style="99" customWidth="1"/>
    <col min="9472" max="9472" width="39.88671875" style="99" customWidth="1"/>
    <col min="9473" max="9485" width="15.6640625" style="99" customWidth="1"/>
    <col min="9486" max="9726" width="8.88671875" style="99"/>
    <col min="9727" max="9727" width="16.6640625" style="99" customWidth="1"/>
    <col min="9728" max="9728" width="39.88671875" style="99" customWidth="1"/>
    <col min="9729" max="9741" width="15.6640625" style="99" customWidth="1"/>
    <col min="9742" max="9982" width="8.88671875" style="99"/>
    <col min="9983" max="9983" width="16.6640625" style="99" customWidth="1"/>
    <col min="9984" max="9984" width="39.88671875" style="99" customWidth="1"/>
    <col min="9985" max="9997" width="15.6640625" style="99" customWidth="1"/>
    <col min="9998" max="10238" width="8.88671875" style="99"/>
    <col min="10239" max="10239" width="16.6640625" style="99" customWidth="1"/>
    <col min="10240" max="10240" width="39.88671875" style="99" customWidth="1"/>
    <col min="10241" max="10253" width="15.6640625" style="99" customWidth="1"/>
    <col min="10254" max="10494" width="8.88671875" style="99"/>
    <col min="10495" max="10495" width="16.6640625" style="99" customWidth="1"/>
    <col min="10496" max="10496" width="39.88671875" style="99" customWidth="1"/>
    <col min="10497" max="10509" width="15.6640625" style="99" customWidth="1"/>
    <col min="10510" max="10750" width="8.88671875" style="99"/>
    <col min="10751" max="10751" width="16.6640625" style="99" customWidth="1"/>
    <col min="10752" max="10752" width="39.88671875" style="99" customWidth="1"/>
    <col min="10753" max="10765" width="15.6640625" style="99" customWidth="1"/>
    <col min="10766" max="11006" width="8.88671875" style="99"/>
    <col min="11007" max="11007" width="16.6640625" style="99" customWidth="1"/>
    <col min="11008" max="11008" width="39.88671875" style="99" customWidth="1"/>
    <col min="11009" max="11021" width="15.6640625" style="99" customWidth="1"/>
    <col min="11022" max="11262" width="8.88671875" style="99"/>
    <col min="11263" max="11263" width="16.6640625" style="99" customWidth="1"/>
    <col min="11264" max="11264" width="39.88671875" style="99" customWidth="1"/>
    <col min="11265" max="11277" width="15.6640625" style="99" customWidth="1"/>
    <col min="11278" max="11518" width="8.88671875" style="99"/>
    <col min="11519" max="11519" width="16.6640625" style="99" customWidth="1"/>
    <col min="11520" max="11520" width="39.88671875" style="99" customWidth="1"/>
    <col min="11521" max="11533" width="15.6640625" style="99" customWidth="1"/>
    <col min="11534" max="11774" width="8.88671875" style="99"/>
    <col min="11775" max="11775" width="16.6640625" style="99" customWidth="1"/>
    <col min="11776" max="11776" width="39.88671875" style="99" customWidth="1"/>
    <col min="11777" max="11789" width="15.6640625" style="99" customWidth="1"/>
    <col min="11790" max="12030" width="8.88671875" style="99"/>
    <col min="12031" max="12031" width="16.6640625" style="99" customWidth="1"/>
    <col min="12032" max="12032" width="39.88671875" style="99" customWidth="1"/>
    <col min="12033" max="12045" width="15.6640625" style="99" customWidth="1"/>
    <col min="12046" max="12286" width="8.88671875" style="99"/>
    <col min="12287" max="12287" width="16.6640625" style="99" customWidth="1"/>
    <col min="12288" max="12288" width="39.88671875" style="99" customWidth="1"/>
    <col min="12289" max="12301" width="15.6640625" style="99" customWidth="1"/>
    <col min="12302" max="12542" width="8.88671875" style="99"/>
    <col min="12543" max="12543" width="16.6640625" style="99" customWidth="1"/>
    <col min="12544" max="12544" width="39.88671875" style="99" customWidth="1"/>
    <col min="12545" max="12557" width="15.6640625" style="99" customWidth="1"/>
    <col min="12558" max="12798" width="8.88671875" style="99"/>
    <col min="12799" max="12799" width="16.6640625" style="99" customWidth="1"/>
    <col min="12800" max="12800" width="39.88671875" style="99" customWidth="1"/>
    <col min="12801" max="12813" width="15.6640625" style="99" customWidth="1"/>
    <col min="12814" max="13054" width="8.88671875" style="99"/>
    <col min="13055" max="13055" width="16.6640625" style="99" customWidth="1"/>
    <col min="13056" max="13056" width="39.88671875" style="99" customWidth="1"/>
    <col min="13057" max="13069" width="15.6640625" style="99" customWidth="1"/>
    <col min="13070" max="13310" width="8.88671875" style="99"/>
    <col min="13311" max="13311" width="16.6640625" style="99" customWidth="1"/>
    <col min="13312" max="13312" width="39.88671875" style="99" customWidth="1"/>
    <col min="13313" max="13325" width="15.6640625" style="99" customWidth="1"/>
    <col min="13326" max="13566" width="8.88671875" style="99"/>
    <col min="13567" max="13567" width="16.6640625" style="99" customWidth="1"/>
    <col min="13568" max="13568" width="39.88671875" style="99" customWidth="1"/>
    <col min="13569" max="13581" width="15.6640625" style="99" customWidth="1"/>
    <col min="13582" max="13822" width="8.88671875" style="99"/>
    <col min="13823" max="13823" width="16.6640625" style="99" customWidth="1"/>
    <col min="13824" max="13824" width="39.88671875" style="99" customWidth="1"/>
    <col min="13825" max="13837" width="15.6640625" style="99" customWidth="1"/>
    <col min="13838" max="14078" width="8.88671875" style="99"/>
    <col min="14079" max="14079" width="16.6640625" style="99" customWidth="1"/>
    <col min="14080" max="14080" width="39.88671875" style="99" customWidth="1"/>
    <col min="14081" max="14093" width="15.6640625" style="99" customWidth="1"/>
    <col min="14094" max="14334" width="8.88671875" style="99"/>
    <col min="14335" max="14335" width="16.6640625" style="99" customWidth="1"/>
    <col min="14336" max="14336" width="39.88671875" style="99" customWidth="1"/>
    <col min="14337" max="14349" width="15.6640625" style="99" customWidth="1"/>
    <col min="14350" max="14590" width="8.88671875" style="99"/>
    <col min="14591" max="14591" width="16.6640625" style="99" customWidth="1"/>
    <col min="14592" max="14592" width="39.88671875" style="99" customWidth="1"/>
    <col min="14593" max="14605" width="15.6640625" style="99" customWidth="1"/>
    <col min="14606" max="14846" width="8.88671875" style="99"/>
    <col min="14847" max="14847" width="16.6640625" style="99" customWidth="1"/>
    <col min="14848" max="14848" width="39.88671875" style="99" customWidth="1"/>
    <col min="14849" max="14861" width="15.6640625" style="99" customWidth="1"/>
    <col min="14862" max="15102" width="8.88671875" style="99"/>
    <col min="15103" max="15103" width="16.6640625" style="99" customWidth="1"/>
    <col min="15104" max="15104" width="39.88671875" style="99" customWidth="1"/>
    <col min="15105" max="15117" width="15.6640625" style="99" customWidth="1"/>
    <col min="15118" max="15358" width="8.88671875" style="99"/>
    <col min="15359" max="15359" width="16.6640625" style="99" customWidth="1"/>
    <col min="15360" max="15360" width="39.88671875" style="99" customWidth="1"/>
    <col min="15361" max="15373" width="15.6640625" style="99" customWidth="1"/>
    <col min="15374" max="15614" width="8.88671875" style="99"/>
    <col min="15615" max="15615" width="16.6640625" style="99" customWidth="1"/>
    <col min="15616" max="15616" width="39.88671875" style="99" customWidth="1"/>
    <col min="15617" max="15629" width="15.6640625" style="99" customWidth="1"/>
    <col min="15630" max="15870" width="8.88671875" style="99"/>
    <col min="15871" max="15871" width="16.6640625" style="99" customWidth="1"/>
    <col min="15872" max="15872" width="39.88671875" style="99" customWidth="1"/>
    <col min="15873" max="15885" width="15.6640625" style="99" customWidth="1"/>
    <col min="15886" max="16126" width="8.88671875" style="99"/>
    <col min="16127" max="16127" width="16.6640625" style="99" customWidth="1"/>
    <col min="16128" max="16128" width="39.88671875" style="99" customWidth="1"/>
    <col min="16129" max="16141" width="15.6640625" style="99" customWidth="1"/>
    <col min="16142" max="16384" width="8.88671875" style="99"/>
  </cols>
  <sheetData>
    <row r="1" spans="1:32" x14ac:dyDescent="0.3">
      <c r="A1" s="108"/>
      <c r="B1" s="239"/>
      <c r="C1" s="240" t="s">
        <v>123</v>
      </c>
      <c r="D1" s="240" t="s">
        <v>124</v>
      </c>
      <c r="E1" s="240" t="s">
        <v>125</v>
      </c>
      <c r="F1" s="240" t="s">
        <v>126</v>
      </c>
      <c r="G1" s="240" t="s">
        <v>127</v>
      </c>
      <c r="H1" s="380" t="s">
        <v>128</v>
      </c>
      <c r="I1" s="381" t="s">
        <v>129</v>
      </c>
      <c r="J1" s="381" t="s">
        <v>130</v>
      </c>
      <c r="K1" s="380" t="s">
        <v>131</v>
      </c>
      <c r="L1" s="380" t="s">
        <v>132</v>
      </c>
      <c r="M1" s="380" t="s">
        <v>133</v>
      </c>
      <c r="N1" s="380" t="s">
        <v>134</v>
      </c>
      <c r="O1" s="141" t="s">
        <v>10</v>
      </c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</row>
    <row r="2" spans="1:32" x14ac:dyDescent="0.3">
      <c r="A2" s="102" t="s">
        <v>135</v>
      </c>
      <c r="B2" s="102" t="s">
        <v>136</v>
      </c>
      <c r="C2" s="103">
        <v>0</v>
      </c>
      <c r="D2" s="103">
        <v>0</v>
      </c>
      <c r="E2" s="103">
        <v>0</v>
      </c>
      <c r="F2" s="103">
        <v>0</v>
      </c>
      <c r="G2" s="103">
        <v>0</v>
      </c>
      <c r="H2" s="372">
        <v>0</v>
      </c>
      <c r="I2" s="372">
        <v>0</v>
      </c>
      <c r="J2" s="372">
        <v>0</v>
      </c>
      <c r="K2" s="372">
        <v>0</v>
      </c>
      <c r="L2" s="372">
        <v>0</v>
      </c>
      <c r="M2" s="372">
        <v>0</v>
      </c>
      <c r="N2" s="372">
        <v>0</v>
      </c>
      <c r="O2" s="367">
        <f>SUM(C2:N2)</f>
        <v>0</v>
      </c>
    </row>
    <row r="3" spans="1:32" x14ac:dyDescent="0.3">
      <c r="A3" s="102" t="s">
        <v>137</v>
      </c>
      <c r="B3" s="102" t="s">
        <v>138</v>
      </c>
      <c r="C3" s="103">
        <v>0</v>
      </c>
      <c r="D3" s="103">
        <v>0</v>
      </c>
      <c r="E3" s="103">
        <v>0</v>
      </c>
      <c r="F3" s="103">
        <v>0</v>
      </c>
      <c r="G3" s="103">
        <v>0</v>
      </c>
      <c r="H3" s="372">
        <v>0</v>
      </c>
      <c r="I3" s="372">
        <v>0</v>
      </c>
      <c r="J3" s="372">
        <v>0</v>
      </c>
      <c r="K3" s="372">
        <v>0</v>
      </c>
      <c r="L3" s="372">
        <v>0</v>
      </c>
      <c r="M3" s="372">
        <v>0</v>
      </c>
      <c r="N3" s="372">
        <v>0</v>
      </c>
      <c r="O3" s="367">
        <f t="shared" ref="O3:O22" si="0">SUM(C3:N3)</f>
        <v>0</v>
      </c>
    </row>
    <row r="4" spans="1:32" x14ac:dyDescent="0.3">
      <c r="A4" s="102" t="s">
        <v>139</v>
      </c>
      <c r="B4" s="102" t="s">
        <v>140</v>
      </c>
      <c r="C4" s="103">
        <v>0</v>
      </c>
      <c r="D4" s="103">
        <v>0</v>
      </c>
      <c r="E4" s="103">
        <v>0</v>
      </c>
      <c r="F4" s="103">
        <v>0</v>
      </c>
      <c r="G4" s="103">
        <v>0</v>
      </c>
      <c r="H4" s="372">
        <v>0</v>
      </c>
      <c r="I4" s="372">
        <v>0</v>
      </c>
      <c r="J4" s="372">
        <v>0</v>
      </c>
      <c r="K4" s="372">
        <v>0</v>
      </c>
      <c r="L4" s="372">
        <v>0</v>
      </c>
      <c r="M4" s="372">
        <v>0</v>
      </c>
      <c r="N4" s="372">
        <v>0</v>
      </c>
      <c r="O4" s="367">
        <f t="shared" si="0"/>
        <v>0</v>
      </c>
    </row>
    <row r="5" spans="1:32" x14ac:dyDescent="0.3">
      <c r="A5" s="102">
        <v>408006</v>
      </c>
      <c r="B5" s="102" t="s">
        <v>141</v>
      </c>
      <c r="C5" s="103">
        <v>0</v>
      </c>
      <c r="D5" s="103">
        <v>0</v>
      </c>
      <c r="E5" s="103">
        <v>0</v>
      </c>
      <c r="F5" s="103">
        <v>0</v>
      </c>
      <c r="G5" s="103">
        <v>0</v>
      </c>
      <c r="H5" s="372">
        <v>0</v>
      </c>
      <c r="I5" s="372">
        <v>0</v>
      </c>
      <c r="J5" s="372">
        <v>0</v>
      </c>
      <c r="K5" s="372">
        <v>0</v>
      </c>
      <c r="L5" s="372">
        <v>0</v>
      </c>
      <c r="M5" s="372">
        <v>0</v>
      </c>
      <c r="N5" s="372">
        <v>0</v>
      </c>
      <c r="O5" s="367">
        <f t="shared" si="0"/>
        <v>0</v>
      </c>
    </row>
    <row r="6" spans="1:32" x14ac:dyDescent="0.3">
      <c r="A6" s="102" t="s">
        <v>142</v>
      </c>
      <c r="B6" s="102" t="s">
        <v>143</v>
      </c>
      <c r="C6" s="103">
        <v>0</v>
      </c>
      <c r="D6" s="103">
        <v>0</v>
      </c>
      <c r="E6" s="103">
        <v>0</v>
      </c>
      <c r="F6" s="103">
        <v>0</v>
      </c>
      <c r="G6" s="103">
        <v>0</v>
      </c>
      <c r="H6" s="372">
        <v>0</v>
      </c>
      <c r="I6" s="372">
        <v>0</v>
      </c>
      <c r="J6" s="372">
        <v>0</v>
      </c>
      <c r="K6" s="372">
        <v>0</v>
      </c>
      <c r="L6" s="372">
        <v>0</v>
      </c>
      <c r="M6" s="372">
        <v>0</v>
      </c>
      <c r="N6" s="372">
        <v>0</v>
      </c>
      <c r="O6" s="367">
        <f t="shared" si="0"/>
        <v>0</v>
      </c>
    </row>
    <row r="7" spans="1:32" x14ac:dyDescent="0.3">
      <c r="A7" s="363"/>
      <c r="B7" s="364" t="s">
        <v>144</v>
      </c>
      <c r="C7" s="365">
        <f>SUM(C2:C6)</f>
        <v>0</v>
      </c>
      <c r="D7" s="365">
        <f t="shared" ref="D7:N7" si="1">SUM(D2:D6)</f>
        <v>0</v>
      </c>
      <c r="E7" s="365">
        <f t="shared" si="1"/>
        <v>0</v>
      </c>
      <c r="F7" s="365">
        <f t="shared" si="1"/>
        <v>0</v>
      </c>
      <c r="G7" s="365">
        <f t="shared" si="1"/>
        <v>0</v>
      </c>
      <c r="H7" s="379">
        <f t="shared" si="1"/>
        <v>0</v>
      </c>
      <c r="I7" s="379">
        <f t="shared" ref="I7:J7" si="2">SUM(I2:I6)</f>
        <v>0</v>
      </c>
      <c r="J7" s="379">
        <f t="shared" si="2"/>
        <v>0</v>
      </c>
      <c r="K7" s="379">
        <f t="shared" si="1"/>
        <v>0</v>
      </c>
      <c r="L7" s="379">
        <f t="shared" si="1"/>
        <v>0</v>
      </c>
      <c r="M7" s="379">
        <f t="shared" si="1"/>
        <v>0</v>
      </c>
      <c r="N7" s="379">
        <f t="shared" si="1"/>
        <v>0</v>
      </c>
      <c r="O7" s="366">
        <f>SUM(O2:O6)</f>
        <v>0</v>
      </c>
    </row>
    <row r="8" spans="1:32" x14ac:dyDescent="0.3">
      <c r="A8" s="102" t="s">
        <v>145</v>
      </c>
      <c r="B8" s="102" t="s">
        <v>146</v>
      </c>
      <c r="C8" s="248">
        <v>-14000</v>
      </c>
      <c r="D8" s="248">
        <v>6000</v>
      </c>
      <c r="E8" s="248">
        <v>18000</v>
      </c>
      <c r="F8" s="248">
        <v>1000</v>
      </c>
      <c r="G8" s="248">
        <v>27000</v>
      </c>
      <c r="H8" s="372">
        <v>0</v>
      </c>
      <c r="I8" s="372">
        <v>0</v>
      </c>
      <c r="J8" s="372">
        <v>0</v>
      </c>
      <c r="K8" s="372">
        <v>0</v>
      </c>
      <c r="L8" s="372">
        <v>0</v>
      </c>
      <c r="M8" s="372">
        <v>0</v>
      </c>
      <c r="N8" s="372">
        <v>0</v>
      </c>
      <c r="O8" s="367">
        <f t="shared" si="0"/>
        <v>38000</v>
      </c>
    </row>
    <row r="9" spans="1:32" x14ac:dyDescent="0.3">
      <c r="A9" s="102">
        <v>450000</v>
      </c>
      <c r="B9" s="102" t="s">
        <v>147</v>
      </c>
      <c r="C9" s="103">
        <v>0</v>
      </c>
      <c r="D9" s="103">
        <v>0</v>
      </c>
      <c r="E9" s="103">
        <v>0</v>
      </c>
      <c r="F9" s="103">
        <v>0</v>
      </c>
      <c r="G9" s="103">
        <v>0</v>
      </c>
      <c r="H9" s="372">
        <v>0</v>
      </c>
      <c r="I9" s="372">
        <v>0</v>
      </c>
      <c r="J9" s="372">
        <v>0</v>
      </c>
      <c r="K9" s="372">
        <v>0</v>
      </c>
      <c r="L9" s="372">
        <v>0</v>
      </c>
      <c r="M9" s="372">
        <v>0</v>
      </c>
      <c r="N9" s="372">
        <v>0</v>
      </c>
      <c r="O9" s="367">
        <f t="shared" si="0"/>
        <v>0</v>
      </c>
    </row>
    <row r="10" spans="1:32" x14ac:dyDescent="0.3">
      <c r="A10" s="102" t="s">
        <v>148</v>
      </c>
      <c r="B10" s="102" t="s">
        <v>149</v>
      </c>
      <c r="C10" s="103">
        <v>0</v>
      </c>
      <c r="D10" s="103">
        <v>0</v>
      </c>
      <c r="E10" s="103">
        <v>0</v>
      </c>
      <c r="F10" s="103">
        <v>0</v>
      </c>
      <c r="G10" s="103">
        <v>0</v>
      </c>
      <c r="H10" s="372">
        <v>0</v>
      </c>
      <c r="I10" s="372">
        <v>0</v>
      </c>
      <c r="J10" s="372">
        <v>0</v>
      </c>
      <c r="K10" s="372">
        <v>0</v>
      </c>
      <c r="L10" s="372">
        <v>0</v>
      </c>
      <c r="M10" s="372">
        <v>0</v>
      </c>
      <c r="N10" s="372">
        <v>0</v>
      </c>
      <c r="O10" s="367">
        <f t="shared" si="0"/>
        <v>0</v>
      </c>
    </row>
    <row r="11" spans="1:32" x14ac:dyDescent="0.3">
      <c r="A11" s="102" t="s">
        <v>150</v>
      </c>
      <c r="B11" s="102" t="s">
        <v>151</v>
      </c>
      <c r="C11" s="103">
        <v>0</v>
      </c>
      <c r="D11" s="103">
        <v>0</v>
      </c>
      <c r="E11" s="103">
        <v>0</v>
      </c>
      <c r="F11" s="103">
        <v>0</v>
      </c>
      <c r="G11" s="103">
        <v>0</v>
      </c>
      <c r="H11" s="372">
        <v>0</v>
      </c>
      <c r="I11" s="372">
        <v>0</v>
      </c>
      <c r="J11" s="372">
        <v>0</v>
      </c>
      <c r="K11" s="372">
        <v>0</v>
      </c>
      <c r="L11" s="372">
        <v>0</v>
      </c>
      <c r="M11" s="372">
        <v>0</v>
      </c>
      <c r="N11" s="372">
        <v>0</v>
      </c>
      <c r="O11" s="367">
        <f t="shared" si="0"/>
        <v>0</v>
      </c>
    </row>
    <row r="12" spans="1:32" x14ac:dyDescent="0.3">
      <c r="A12" s="102" t="s">
        <v>152</v>
      </c>
      <c r="B12" s="102" t="s">
        <v>153</v>
      </c>
      <c r="C12" s="103">
        <v>0</v>
      </c>
      <c r="D12" s="103">
        <v>0</v>
      </c>
      <c r="E12" s="103">
        <v>0</v>
      </c>
      <c r="F12" s="103">
        <v>0</v>
      </c>
      <c r="G12" s="103">
        <v>0</v>
      </c>
      <c r="H12" s="372">
        <v>0</v>
      </c>
      <c r="I12" s="372">
        <v>0</v>
      </c>
      <c r="J12" s="372">
        <v>0</v>
      </c>
      <c r="K12" s="372">
        <v>0</v>
      </c>
      <c r="L12" s="372">
        <v>0</v>
      </c>
      <c r="M12" s="372">
        <v>0</v>
      </c>
      <c r="N12" s="372">
        <v>0</v>
      </c>
      <c r="O12" s="367">
        <f t="shared" si="0"/>
        <v>0</v>
      </c>
    </row>
    <row r="13" spans="1:32" x14ac:dyDescent="0.3">
      <c r="A13" s="102" t="s">
        <v>154</v>
      </c>
      <c r="B13" s="102" t="s">
        <v>155</v>
      </c>
      <c r="C13" s="103">
        <v>0</v>
      </c>
      <c r="D13" s="103">
        <v>0</v>
      </c>
      <c r="E13" s="103">
        <v>0</v>
      </c>
      <c r="F13" s="103">
        <v>0</v>
      </c>
      <c r="G13" s="103">
        <v>0</v>
      </c>
      <c r="H13" s="372">
        <v>0</v>
      </c>
      <c r="I13" s="372">
        <v>0</v>
      </c>
      <c r="J13" s="372">
        <v>0</v>
      </c>
      <c r="K13" s="372">
        <v>0</v>
      </c>
      <c r="L13" s="372">
        <v>0</v>
      </c>
      <c r="M13" s="372">
        <v>0</v>
      </c>
      <c r="N13" s="372">
        <v>0</v>
      </c>
      <c r="O13" s="367">
        <f t="shared" si="0"/>
        <v>0</v>
      </c>
    </row>
    <row r="14" spans="1:32" x14ac:dyDescent="0.3">
      <c r="A14" s="102" t="s">
        <v>156</v>
      </c>
      <c r="B14" s="102" t="s">
        <v>157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372">
        <v>0</v>
      </c>
      <c r="I14" s="372">
        <v>0</v>
      </c>
      <c r="J14" s="372">
        <v>0</v>
      </c>
      <c r="K14" s="372">
        <v>0</v>
      </c>
      <c r="L14" s="372">
        <v>0</v>
      </c>
      <c r="M14" s="372">
        <v>0</v>
      </c>
      <c r="N14" s="372">
        <v>0</v>
      </c>
      <c r="O14" s="367">
        <f t="shared" si="0"/>
        <v>0</v>
      </c>
    </row>
    <row r="15" spans="1:32" s="126" customFormat="1" x14ac:dyDescent="0.3">
      <c r="A15" s="124" t="s">
        <v>158</v>
      </c>
      <c r="B15" s="124" t="s">
        <v>159</v>
      </c>
      <c r="C15" s="125">
        <v>0</v>
      </c>
      <c r="D15" s="125">
        <v>0</v>
      </c>
      <c r="E15" s="125">
        <v>0</v>
      </c>
      <c r="F15" s="125">
        <v>0</v>
      </c>
      <c r="G15" s="125">
        <v>0</v>
      </c>
      <c r="H15" s="384">
        <v>0</v>
      </c>
      <c r="I15" s="384">
        <v>0</v>
      </c>
      <c r="J15" s="384">
        <v>0</v>
      </c>
      <c r="K15" s="384">
        <v>0</v>
      </c>
      <c r="L15" s="384">
        <v>0</v>
      </c>
      <c r="M15" s="384">
        <v>0</v>
      </c>
      <c r="N15" s="384">
        <v>0</v>
      </c>
      <c r="O15" s="367">
        <f t="shared" si="0"/>
        <v>0</v>
      </c>
    </row>
    <row r="16" spans="1:32" x14ac:dyDescent="0.3">
      <c r="A16" s="102" t="s">
        <v>160</v>
      </c>
      <c r="B16" s="102" t="s">
        <v>161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 s="372">
        <v>0</v>
      </c>
      <c r="I16" s="372">
        <v>0</v>
      </c>
      <c r="J16" s="372">
        <v>0</v>
      </c>
      <c r="K16" s="372">
        <v>0</v>
      </c>
      <c r="L16" s="372">
        <v>0</v>
      </c>
      <c r="M16" s="372">
        <v>0</v>
      </c>
      <c r="N16" s="372">
        <v>0</v>
      </c>
      <c r="O16" s="367">
        <f t="shared" si="0"/>
        <v>0</v>
      </c>
    </row>
    <row r="17" spans="1:15" x14ac:dyDescent="0.3">
      <c r="A17" s="102" t="s">
        <v>162</v>
      </c>
      <c r="B17" s="102" t="s">
        <v>163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372">
        <v>0</v>
      </c>
      <c r="I17" s="372">
        <v>0</v>
      </c>
      <c r="J17" s="372">
        <v>0</v>
      </c>
      <c r="K17" s="372">
        <v>0</v>
      </c>
      <c r="L17" s="372">
        <v>0</v>
      </c>
      <c r="M17" s="372">
        <v>0</v>
      </c>
      <c r="N17" s="372">
        <v>0</v>
      </c>
      <c r="O17" s="367">
        <f t="shared" si="0"/>
        <v>0</v>
      </c>
    </row>
    <row r="18" spans="1:15" x14ac:dyDescent="0.3">
      <c r="A18" s="102">
        <v>456000</v>
      </c>
      <c r="B18" s="102" t="s">
        <v>164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372">
        <v>0</v>
      </c>
      <c r="I18" s="372">
        <v>0</v>
      </c>
      <c r="J18" s="372">
        <v>0</v>
      </c>
      <c r="K18" s="372">
        <v>0</v>
      </c>
      <c r="L18" s="372">
        <v>0</v>
      </c>
      <c r="M18" s="372">
        <v>0</v>
      </c>
      <c r="N18" s="372">
        <v>0</v>
      </c>
      <c r="O18" s="367">
        <f t="shared" si="0"/>
        <v>0</v>
      </c>
    </row>
    <row r="19" spans="1:15" s="126" customFormat="1" x14ac:dyDescent="0.3">
      <c r="A19" s="124" t="s">
        <v>165</v>
      </c>
      <c r="B19" s="124" t="s">
        <v>166</v>
      </c>
      <c r="C19" s="125">
        <v>0</v>
      </c>
      <c r="D19" s="125">
        <v>0</v>
      </c>
      <c r="E19" s="125">
        <v>0</v>
      </c>
      <c r="F19" s="125">
        <v>0</v>
      </c>
      <c r="G19" s="125">
        <v>0</v>
      </c>
      <c r="H19" s="384">
        <v>0</v>
      </c>
      <c r="I19" s="384">
        <v>0</v>
      </c>
      <c r="J19" s="384">
        <v>0</v>
      </c>
      <c r="K19" s="384">
        <v>0</v>
      </c>
      <c r="L19" s="384"/>
      <c r="M19" s="384"/>
      <c r="N19" s="384"/>
      <c r="O19" s="367">
        <f t="shared" si="0"/>
        <v>0</v>
      </c>
    </row>
    <row r="20" spans="1:15" x14ac:dyDescent="0.3">
      <c r="A20" s="102" t="s">
        <v>167</v>
      </c>
      <c r="B20" s="102" t="s">
        <v>168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 s="372">
        <v>0</v>
      </c>
      <c r="I20" s="372">
        <v>0</v>
      </c>
      <c r="J20" s="372">
        <v>0</v>
      </c>
      <c r="K20" s="372">
        <v>0</v>
      </c>
      <c r="L20" s="372">
        <v>0</v>
      </c>
      <c r="M20" s="372">
        <v>0</v>
      </c>
      <c r="N20" s="372">
        <v>0</v>
      </c>
      <c r="O20" s="367">
        <f t="shared" si="0"/>
        <v>0</v>
      </c>
    </row>
    <row r="21" spans="1:15" x14ac:dyDescent="0.3">
      <c r="A21" s="107" t="s">
        <v>169</v>
      </c>
      <c r="B21" s="107" t="s">
        <v>170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 s="372">
        <v>0</v>
      </c>
      <c r="I21" s="372">
        <v>0</v>
      </c>
      <c r="J21" s="372">
        <v>0</v>
      </c>
      <c r="K21" s="372">
        <v>0</v>
      </c>
      <c r="L21" s="372">
        <v>0</v>
      </c>
      <c r="M21" s="372">
        <v>0</v>
      </c>
      <c r="N21" s="372">
        <v>0</v>
      </c>
      <c r="O21" s="367">
        <f t="shared" si="0"/>
        <v>0</v>
      </c>
    </row>
    <row r="22" spans="1:15" s="126" customFormat="1" x14ac:dyDescent="0.3">
      <c r="A22" s="127" t="s">
        <v>171</v>
      </c>
      <c r="B22" s="127" t="s">
        <v>592</v>
      </c>
      <c r="C22" s="125">
        <v>0</v>
      </c>
      <c r="D22" s="125">
        <v>0</v>
      </c>
      <c r="E22" s="125">
        <v>0</v>
      </c>
      <c r="F22" s="125">
        <v>0</v>
      </c>
      <c r="G22" s="125">
        <v>0</v>
      </c>
      <c r="H22" s="384">
        <v>0</v>
      </c>
      <c r="I22" s="384">
        <v>0</v>
      </c>
      <c r="J22" s="384">
        <v>0</v>
      </c>
      <c r="K22" s="384">
        <v>0</v>
      </c>
      <c r="L22" s="384">
        <v>0</v>
      </c>
      <c r="M22" s="384">
        <v>0</v>
      </c>
      <c r="N22" s="384">
        <v>0</v>
      </c>
      <c r="O22" s="367">
        <f t="shared" si="0"/>
        <v>0</v>
      </c>
    </row>
    <row r="23" spans="1:15" x14ac:dyDescent="0.3">
      <c r="A23" s="108"/>
      <c r="B23" s="109" t="s">
        <v>173</v>
      </c>
      <c r="C23" s="121">
        <f t="shared" ref="C23:H23" si="3">SUM(C8:C22)</f>
        <v>-14000</v>
      </c>
      <c r="D23" s="121">
        <f t="shared" si="3"/>
        <v>6000</v>
      </c>
      <c r="E23" s="121">
        <f t="shared" si="3"/>
        <v>18000</v>
      </c>
      <c r="F23" s="121">
        <f t="shared" si="3"/>
        <v>1000</v>
      </c>
      <c r="G23" s="121">
        <f t="shared" si="3"/>
        <v>27000</v>
      </c>
      <c r="H23" s="385">
        <f t="shared" si="3"/>
        <v>0</v>
      </c>
      <c r="I23" s="385">
        <f>SUM(I8:I22)</f>
        <v>0</v>
      </c>
      <c r="J23" s="385">
        <f>SUM(J8:J22)</f>
        <v>0</v>
      </c>
      <c r="K23" s="385">
        <f t="shared" ref="K23:N23" si="4">SUM(K8:K22)</f>
        <v>0</v>
      </c>
      <c r="L23" s="385">
        <f t="shared" si="4"/>
        <v>0</v>
      </c>
      <c r="M23" s="385">
        <f t="shared" si="4"/>
        <v>0</v>
      </c>
      <c r="N23" s="385">
        <f t="shared" si="4"/>
        <v>0</v>
      </c>
      <c r="O23" s="366">
        <f t="shared" ref="O23:O24" si="5">SUM(O18:O22)</f>
        <v>0</v>
      </c>
    </row>
    <row r="24" spans="1:15" x14ac:dyDescent="0.3">
      <c r="A24" s="104"/>
      <c r="B24" s="105" t="s">
        <v>174</v>
      </c>
      <c r="C24" s="122">
        <f t="shared" ref="C24:N24" si="6">C23+C7</f>
        <v>-14000</v>
      </c>
      <c r="D24" s="122">
        <f t="shared" si="6"/>
        <v>6000</v>
      </c>
      <c r="E24" s="122">
        <f t="shared" si="6"/>
        <v>18000</v>
      </c>
      <c r="F24" s="122">
        <f t="shared" si="6"/>
        <v>1000</v>
      </c>
      <c r="G24" s="122">
        <f t="shared" si="6"/>
        <v>27000</v>
      </c>
      <c r="H24" s="386">
        <f t="shared" si="6"/>
        <v>0</v>
      </c>
      <c r="I24" s="386">
        <f t="shared" si="6"/>
        <v>0</v>
      </c>
      <c r="J24" s="386">
        <f t="shared" si="6"/>
        <v>0</v>
      </c>
      <c r="K24" s="386">
        <f t="shared" si="6"/>
        <v>0</v>
      </c>
      <c r="L24" s="386">
        <f t="shared" si="6"/>
        <v>0</v>
      </c>
      <c r="M24" s="386">
        <f t="shared" si="6"/>
        <v>0</v>
      </c>
      <c r="N24" s="386">
        <f t="shared" si="6"/>
        <v>0</v>
      </c>
      <c r="O24" s="366">
        <f t="shared" si="5"/>
        <v>0</v>
      </c>
    </row>
    <row r="25" spans="1:15" x14ac:dyDescent="0.3">
      <c r="A25" s="102">
        <v>522000</v>
      </c>
      <c r="B25" s="102" t="s">
        <v>175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 s="372">
        <v>0</v>
      </c>
      <c r="I25" s="372">
        <v>0</v>
      </c>
      <c r="J25" s="372">
        <v>0</v>
      </c>
      <c r="K25" s="372">
        <v>0</v>
      </c>
      <c r="L25" s="372">
        <v>0</v>
      </c>
      <c r="M25" s="372">
        <v>0</v>
      </c>
      <c r="N25" s="372">
        <v>0</v>
      </c>
      <c r="O25" s="367">
        <f t="shared" ref="O25:O28" si="7">SUM(C25:N25)</f>
        <v>0</v>
      </c>
    </row>
    <row r="26" spans="1:15" x14ac:dyDescent="0.3">
      <c r="A26" s="102" t="s">
        <v>176</v>
      </c>
      <c r="B26" s="102" t="s">
        <v>177</v>
      </c>
      <c r="C26" s="125">
        <v>0</v>
      </c>
      <c r="D26" s="125">
        <v>0</v>
      </c>
      <c r="E26" s="125">
        <v>0</v>
      </c>
      <c r="F26" s="125">
        <v>0</v>
      </c>
      <c r="G26" s="125">
        <v>0</v>
      </c>
      <c r="H26" s="384">
        <v>0</v>
      </c>
      <c r="I26" s="384">
        <v>0</v>
      </c>
      <c r="J26" s="384">
        <v>0</v>
      </c>
      <c r="K26" s="384">
        <v>0</v>
      </c>
      <c r="L26" s="384">
        <v>0</v>
      </c>
      <c r="M26" s="384">
        <v>0</v>
      </c>
      <c r="N26" s="384">
        <v>0</v>
      </c>
      <c r="O26" s="367">
        <f t="shared" si="7"/>
        <v>0</v>
      </c>
    </row>
    <row r="27" spans="1:15" x14ac:dyDescent="0.3">
      <c r="A27" s="102" t="s">
        <v>178</v>
      </c>
      <c r="B27" s="102" t="s">
        <v>179</v>
      </c>
      <c r="C27" s="113">
        <v>0</v>
      </c>
      <c r="D27" s="113">
        <v>0</v>
      </c>
      <c r="E27" s="113">
        <v>0</v>
      </c>
      <c r="F27" s="113">
        <v>0</v>
      </c>
      <c r="G27" s="113">
        <v>0</v>
      </c>
      <c r="H27" s="387">
        <v>0</v>
      </c>
      <c r="I27" s="387">
        <v>0</v>
      </c>
      <c r="J27" s="387">
        <v>0</v>
      </c>
      <c r="K27" s="387">
        <v>0</v>
      </c>
      <c r="L27" s="387">
        <v>0</v>
      </c>
      <c r="M27" s="387">
        <v>0</v>
      </c>
      <c r="N27" s="387">
        <v>0</v>
      </c>
      <c r="O27" s="367">
        <f t="shared" si="7"/>
        <v>0</v>
      </c>
    </row>
    <row r="28" spans="1:15" x14ac:dyDescent="0.3">
      <c r="A28" s="107" t="s">
        <v>180</v>
      </c>
      <c r="B28" s="107" t="s">
        <v>181</v>
      </c>
      <c r="C28" s="113">
        <v>0</v>
      </c>
      <c r="D28" s="113">
        <v>0</v>
      </c>
      <c r="E28" s="113">
        <v>0</v>
      </c>
      <c r="F28" s="113">
        <v>0</v>
      </c>
      <c r="G28" s="113">
        <v>0</v>
      </c>
      <c r="H28" s="387">
        <v>0</v>
      </c>
      <c r="I28" s="387">
        <v>0</v>
      </c>
      <c r="J28" s="387">
        <v>0</v>
      </c>
      <c r="K28" s="387">
        <v>0</v>
      </c>
      <c r="L28" s="387">
        <v>0</v>
      </c>
      <c r="M28" s="387">
        <v>0</v>
      </c>
      <c r="N28" s="387">
        <v>0</v>
      </c>
      <c r="O28" s="367">
        <f t="shared" si="7"/>
        <v>0</v>
      </c>
    </row>
    <row r="29" spans="1:15" x14ac:dyDescent="0.3">
      <c r="A29" s="108"/>
      <c r="B29" s="109" t="s">
        <v>182</v>
      </c>
      <c r="C29" s="110">
        <f>SUM(C25:C28)</f>
        <v>0</v>
      </c>
      <c r="D29" s="110">
        <f t="shared" ref="D29:N29" si="8">SUM(D25:D28)</f>
        <v>0</v>
      </c>
      <c r="E29" s="110">
        <f t="shared" si="8"/>
        <v>0</v>
      </c>
      <c r="F29" s="110">
        <f t="shared" si="8"/>
        <v>0</v>
      </c>
      <c r="G29" s="110">
        <f t="shared" si="8"/>
        <v>0</v>
      </c>
      <c r="H29" s="388">
        <f t="shared" si="8"/>
        <v>0</v>
      </c>
      <c r="I29" s="385">
        <f t="shared" si="8"/>
        <v>0</v>
      </c>
      <c r="J29" s="385">
        <f t="shared" si="8"/>
        <v>0</v>
      </c>
      <c r="K29" s="388">
        <f t="shared" si="8"/>
        <v>0</v>
      </c>
      <c r="L29" s="388">
        <f t="shared" si="8"/>
        <v>0</v>
      </c>
      <c r="M29" s="388">
        <f t="shared" si="8"/>
        <v>0</v>
      </c>
      <c r="N29" s="388">
        <f t="shared" si="8"/>
        <v>0</v>
      </c>
      <c r="O29" s="366">
        <f>SUM(O24:O28)</f>
        <v>0</v>
      </c>
    </row>
    <row r="30" spans="1:15" x14ac:dyDescent="0.3">
      <c r="A30" s="102">
        <v>561000</v>
      </c>
      <c r="B30" s="102" t="s">
        <v>183</v>
      </c>
      <c r="C30" s="103">
        <v>0</v>
      </c>
      <c r="D30" s="103"/>
      <c r="E30" s="103">
        <v>0</v>
      </c>
      <c r="F30" s="103">
        <v>0</v>
      </c>
      <c r="G30" s="103">
        <v>0</v>
      </c>
      <c r="H30" s="372">
        <v>0</v>
      </c>
      <c r="I30" s="372">
        <v>0</v>
      </c>
      <c r="J30" s="372">
        <v>0</v>
      </c>
      <c r="K30" s="372">
        <v>0</v>
      </c>
      <c r="L30" s="372">
        <v>0</v>
      </c>
      <c r="M30" s="372">
        <v>0</v>
      </c>
      <c r="N30" s="372">
        <v>0</v>
      </c>
      <c r="O30" s="367">
        <f>SUM(E30:N30)</f>
        <v>0</v>
      </c>
    </row>
    <row r="31" spans="1:15" x14ac:dyDescent="0.3">
      <c r="A31" s="102" t="s">
        <v>184</v>
      </c>
      <c r="B31" s="102" t="s">
        <v>185</v>
      </c>
      <c r="C31" s="112">
        <v>0</v>
      </c>
      <c r="D31" s="112">
        <v>0</v>
      </c>
      <c r="E31" s="112">
        <v>0</v>
      </c>
      <c r="F31" s="112">
        <v>0</v>
      </c>
      <c r="G31" s="112">
        <v>0</v>
      </c>
      <c r="H31" s="389">
        <v>0</v>
      </c>
      <c r="I31" s="389">
        <v>0</v>
      </c>
      <c r="J31" s="389">
        <v>0</v>
      </c>
      <c r="K31" s="389">
        <v>0</v>
      </c>
      <c r="L31" s="389">
        <v>0</v>
      </c>
      <c r="M31" s="389">
        <v>0</v>
      </c>
      <c r="N31" s="389">
        <v>0</v>
      </c>
      <c r="O31" s="367">
        <f t="shared" ref="O31:O51" si="9">SUM(E31:N31)</f>
        <v>0</v>
      </c>
    </row>
    <row r="32" spans="1:15" x14ac:dyDescent="0.3">
      <c r="A32" s="102" t="s">
        <v>186</v>
      </c>
      <c r="B32" s="102" t="s">
        <v>187</v>
      </c>
      <c r="C32" s="103">
        <v>0</v>
      </c>
      <c r="D32" s="103">
        <v>0</v>
      </c>
      <c r="E32" s="103">
        <v>0</v>
      </c>
      <c r="F32" s="103">
        <v>0</v>
      </c>
      <c r="G32" s="103">
        <v>0</v>
      </c>
      <c r="H32" s="372">
        <v>0</v>
      </c>
      <c r="I32" s="372">
        <v>0</v>
      </c>
      <c r="J32" s="372">
        <v>0</v>
      </c>
      <c r="K32" s="372">
        <v>0</v>
      </c>
      <c r="L32" s="372">
        <v>0</v>
      </c>
      <c r="M32" s="372">
        <v>0</v>
      </c>
      <c r="N32" s="372">
        <v>0</v>
      </c>
      <c r="O32" s="367">
        <f t="shared" si="9"/>
        <v>0</v>
      </c>
    </row>
    <row r="33" spans="1:15" x14ac:dyDescent="0.3">
      <c r="A33" s="102" t="s">
        <v>188</v>
      </c>
      <c r="B33" s="102" t="s">
        <v>189</v>
      </c>
      <c r="C33" s="103">
        <v>0</v>
      </c>
      <c r="D33" s="103">
        <v>0</v>
      </c>
      <c r="E33" s="103">
        <v>0</v>
      </c>
      <c r="F33" s="103">
        <v>0</v>
      </c>
      <c r="G33" s="103">
        <v>0</v>
      </c>
      <c r="H33" s="372">
        <v>0</v>
      </c>
      <c r="I33" s="372">
        <v>0</v>
      </c>
      <c r="J33" s="372">
        <v>0</v>
      </c>
      <c r="K33" s="372">
        <v>0</v>
      </c>
      <c r="L33" s="372">
        <v>0</v>
      </c>
      <c r="M33" s="372">
        <v>0</v>
      </c>
      <c r="N33" s="372">
        <v>0</v>
      </c>
      <c r="O33" s="367">
        <f t="shared" si="9"/>
        <v>0</v>
      </c>
    </row>
    <row r="34" spans="1:15" x14ac:dyDescent="0.3">
      <c r="A34" s="102" t="s">
        <v>190</v>
      </c>
      <c r="B34" s="102" t="s">
        <v>191</v>
      </c>
      <c r="C34" s="103">
        <v>0</v>
      </c>
      <c r="D34" s="103">
        <v>0</v>
      </c>
      <c r="E34" s="103">
        <v>0</v>
      </c>
      <c r="F34" s="103">
        <v>0</v>
      </c>
      <c r="G34" s="103">
        <v>0</v>
      </c>
      <c r="H34" s="372">
        <v>0</v>
      </c>
      <c r="I34" s="372">
        <v>0</v>
      </c>
      <c r="J34" s="372">
        <v>0</v>
      </c>
      <c r="K34" s="372">
        <v>0</v>
      </c>
      <c r="L34" s="372">
        <v>0</v>
      </c>
      <c r="M34" s="372">
        <v>0</v>
      </c>
      <c r="N34" s="372">
        <v>0</v>
      </c>
      <c r="O34" s="367">
        <f t="shared" si="9"/>
        <v>0</v>
      </c>
    </row>
    <row r="35" spans="1:15" x14ac:dyDescent="0.3">
      <c r="A35" s="102" t="s">
        <v>192</v>
      </c>
      <c r="B35" s="102" t="s">
        <v>193</v>
      </c>
      <c r="C35" s="103">
        <v>0</v>
      </c>
      <c r="D35" s="103">
        <v>0</v>
      </c>
      <c r="E35" s="103">
        <v>0</v>
      </c>
      <c r="F35" s="103">
        <v>0</v>
      </c>
      <c r="G35" s="103">
        <v>0</v>
      </c>
      <c r="H35" s="372">
        <v>0</v>
      </c>
      <c r="I35" s="372">
        <v>0</v>
      </c>
      <c r="J35" s="372">
        <v>0</v>
      </c>
      <c r="K35" s="372">
        <v>0</v>
      </c>
      <c r="L35" s="372">
        <v>0</v>
      </c>
      <c r="M35" s="372">
        <v>0</v>
      </c>
      <c r="N35" s="372">
        <v>0</v>
      </c>
      <c r="O35" s="367">
        <f t="shared" si="9"/>
        <v>0</v>
      </c>
    </row>
    <row r="36" spans="1:15" x14ac:dyDescent="0.3">
      <c r="A36" s="102" t="s">
        <v>194</v>
      </c>
      <c r="B36" s="102" t="s">
        <v>195</v>
      </c>
      <c r="C36" s="103">
        <v>0</v>
      </c>
      <c r="D36" s="103">
        <v>0</v>
      </c>
      <c r="E36" s="103">
        <v>0</v>
      </c>
      <c r="F36" s="103">
        <v>0</v>
      </c>
      <c r="G36" s="103">
        <v>0</v>
      </c>
      <c r="H36" s="372">
        <v>0</v>
      </c>
      <c r="I36" s="372">
        <v>0</v>
      </c>
      <c r="J36" s="372">
        <v>0</v>
      </c>
      <c r="K36" s="372">
        <v>0</v>
      </c>
      <c r="L36" s="372">
        <v>0</v>
      </c>
      <c r="M36" s="372">
        <v>0</v>
      </c>
      <c r="N36" s="372">
        <v>0</v>
      </c>
      <c r="O36" s="367">
        <f t="shared" si="9"/>
        <v>0</v>
      </c>
    </row>
    <row r="37" spans="1:15" x14ac:dyDescent="0.3">
      <c r="A37" s="102" t="s">
        <v>196</v>
      </c>
      <c r="B37" s="102" t="s">
        <v>380</v>
      </c>
      <c r="C37" s="103">
        <v>0</v>
      </c>
      <c r="D37" s="103">
        <v>0</v>
      </c>
      <c r="E37" s="103">
        <v>0</v>
      </c>
      <c r="F37" s="103">
        <v>0</v>
      </c>
      <c r="G37" s="103">
        <v>0</v>
      </c>
      <c r="H37" s="387">
        <v>0</v>
      </c>
      <c r="I37" s="387">
        <v>0</v>
      </c>
      <c r="J37" s="387">
        <v>0</v>
      </c>
      <c r="K37" s="387">
        <v>0</v>
      </c>
      <c r="L37" s="387">
        <v>0</v>
      </c>
      <c r="M37" s="387">
        <v>0</v>
      </c>
      <c r="N37" s="387">
        <v>0</v>
      </c>
      <c r="O37" s="367">
        <f>SUM(E37:N37)</f>
        <v>0</v>
      </c>
    </row>
    <row r="38" spans="1:15" x14ac:dyDescent="0.3">
      <c r="A38" s="102" t="s">
        <v>197</v>
      </c>
      <c r="B38" s="102" t="s">
        <v>198</v>
      </c>
      <c r="C38" s="103">
        <v>0</v>
      </c>
      <c r="D38" s="103">
        <v>0</v>
      </c>
      <c r="E38" s="103">
        <v>0</v>
      </c>
      <c r="F38" s="103">
        <v>0</v>
      </c>
      <c r="G38" s="103">
        <v>0</v>
      </c>
      <c r="H38" s="387">
        <v>0</v>
      </c>
      <c r="I38" s="387">
        <v>0</v>
      </c>
      <c r="J38" s="387">
        <v>0</v>
      </c>
      <c r="K38" s="387">
        <v>0</v>
      </c>
      <c r="L38" s="387">
        <v>0</v>
      </c>
      <c r="M38" s="387">
        <v>0</v>
      </c>
      <c r="N38" s="387">
        <v>0</v>
      </c>
      <c r="O38" s="367">
        <f t="shared" si="9"/>
        <v>0</v>
      </c>
    </row>
    <row r="39" spans="1:15" x14ac:dyDescent="0.3">
      <c r="A39" s="102">
        <v>577200</v>
      </c>
      <c r="B39" s="102" t="s">
        <v>199</v>
      </c>
      <c r="C39" s="103">
        <v>0</v>
      </c>
      <c r="D39" s="103">
        <v>0</v>
      </c>
      <c r="E39" s="103">
        <v>0</v>
      </c>
      <c r="F39" s="103">
        <v>0</v>
      </c>
      <c r="G39" s="103">
        <v>0</v>
      </c>
      <c r="H39" s="372">
        <v>0</v>
      </c>
      <c r="I39" s="372">
        <v>0</v>
      </c>
      <c r="J39" s="372">
        <v>0</v>
      </c>
      <c r="K39" s="372">
        <v>0</v>
      </c>
      <c r="L39" s="372">
        <v>0</v>
      </c>
      <c r="M39" s="372">
        <v>0</v>
      </c>
      <c r="N39" s="372">
        <v>0</v>
      </c>
      <c r="O39" s="367">
        <f t="shared" si="9"/>
        <v>0</v>
      </c>
    </row>
    <row r="40" spans="1:15" x14ac:dyDescent="0.3">
      <c r="A40" s="102" t="s">
        <v>200</v>
      </c>
      <c r="B40" s="102" t="s">
        <v>201</v>
      </c>
      <c r="C40" s="113">
        <v>0</v>
      </c>
      <c r="D40" s="113">
        <v>0</v>
      </c>
      <c r="E40" s="113">
        <v>0</v>
      </c>
      <c r="F40" s="113">
        <v>0</v>
      </c>
      <c r="G40" s="113">
        <v>0</v>
      </c>
      <c r="H40" s="387">
        <v>0</v>
      </c>
      <c r="I40" s="387">
        <v>0</v>
      </c>
      <c r="J40" s="387">
        <v>0</v>
      </c>
      <c r="K40" s="387">
        <v>0</v>
      </c>
      <c r="L40" s="387">
        <v>0</v>
      </c>
      <c r="M40" s="387">
        <v>0</v>
      </c>
      <c r="N40" s="387">
        <v>0</v>
      </c>
      <c r="O40" s="367">
        <f t="shared" si="9"/>
        <v>0</v>
      </c>
    </row>
    <row r="41" spans="1:15" x14ac:dyDescent="0.3">
      <c r="A41" s="102" t="s">
        <v>202</v>
      </c>
      <c r="B41" s="102" t="s">
        <v>203</v>
      </c>
      <c r="C41" s="113">
        <v>0</v>
      </c>
      <c r="D41" s="113">
        <v>0</v>
      </c>
      <c r="E41" s="113">
        <v>0</v>
      </c>
      <c r="F41" s="113">
        <v>0</v>
      </c>
      <c r="G41" s="113">
        <v>0</v>
      </c>
      <c r="H41" s="387">
        <v>0</v>
      </c>
      <c r="I41" s="387">
        <v>0</v>
      </c>
      <c r="J41" s="387">
        <v>0</v>
      </c>
      <c r="K41" s="387">
        <v>0</v>
      </c>
      <c r="L41" s="387">
        <v>0</v>
      </c>
      <c r="M41" s="387">
        <v>0</v>
      </c>
      <c r="N41" s="387">
        <v>0</v>
      </c>
      <c r="O41" s="367">
        <f t="shared" si="9"/>
        <v>0</v>
      </c>
    </row>
    <row r="42" spans="1:15" x14ac:dyDescent="0.3">
      <c r="A42" s="102" t="s">
        <v>204</v>
      </c>
      <c r="B42" s="102" t="s">
        <v>205</v>
      </c>
      <c r="C42" s="103">
        <v>0</v>
      </c>
      <c r="D42" s="103">
        <v>0</v>
      </c>
      <c r="E42" s="103">
        <v>0</v>
      </c>
      <c r="F42" s="103">
        <v>0</v>
      </c>
      <c r="G42" s="103">
        <v>0</v>
      </c>
      <c r="H42" s="372">
        <v>0</v>
      </c>
      <c r="I42" s="372">
        <v>0</v>
      </c>
      <c r="J42" s="372">
        <v>0</v>
      </c>
      <c r="K42" s="372">
        <v>0</v>
      </c>
      <c r="L42" s="372">
        <v>0</v>
      </c>
      <c r="M42" s="372">
        <v>0</v>
      </c>
      <c r="N42" s="372">
        <v>0</v>
      </c>
      <c r="O42" s="367">
        <f t="shared" si="9"/>
        <v>0</v>
      </c>
    </row>
    <row r="43" spans="1:15" x14ac:dyDescent="0.3">
      <c r="A43" s="102" t="s">
        <v>206</v>
      </c>
      <c r="B43" s="102" t="s">
        <v>207</v>
      </c>
      <c r="C43" s="103">
        <v>0</v>
      </c>
      <c r="D43" s="103">
        <v>0</v>
      </c>
      <c r="E43" s="103">
        <v>0</v>
      </c>
      <c r="F43" s="103">
        <v>0</v>
      </c>
      <c r="G43" s="103">
        <v>0</v>
      </c>
      <c r="H43" s="372">
        <v>0</v>
      </c>
      <c r="I43" s="372">
        <v>0</v>
      </c>
      <c r="J43" s="372">
        <v>0</v>
      </c>
      <c r="K43" s="372">
        <v>0</v>
      </c>
      <c r="L43" s="372">
        <v>0</v>
      </c>
      <c r="M43" s="372">
        <v>0</v>
      </c>
      <c r="N43" s="372">
        <v>0</v>
      </c>
      <c r="O43" s="367">
        <f t="shared" si="9"/>
        <v>0</v>
      </c>
    </row>
    <row r="44" spans="1:15" x14ac:dyDescent="0.3">
      <c r="A44" s="102" t="s">
        <v>208</v>
      </c>
      <c r="B44" s="102" t="s">
        <v>209</v>
      </c>
      <c r="C44" s="113">
        <v>0</v>
      </c>
      <c r="D44" s="113">
        <v>0</v>
      </c>
      <c r="E44" s="113">
        <v>0</v>
      </c>
      <c r="F44" s="113">
        <v>0</v>
      </c>
      <c r="G44" s="113">
        <v>0</v>
      </c>
      <c r="H44" s="387">
        <v>0</v>
      </c>
      <c r="I44" s="387">
        <v>0</v>
      </c>
      <c r="J44" s="387">
        <v>0</v>
      </c>
      <c r="K44" s="387">
        <v>0</v>
      </c>
      <c r="L44" s="387">
        <v>0</v>
      </c>
      <c r="M44" s="387">
        <v>0</v>
      </c>
      <c r="N44" s="387">
        <v>0</v>
      </c>
      <c r="O44" s="367">
        <f t="shared" si="9"/>
        <v>0</v>
      </c>
    </row>
    <row r="45" spans="1:15" x14ac:dyDescent="0.3">
      <c r="A45" s="102" t="s">
        <v>210</v>
      </c>
      <c r="B45" s="102" t="s">
        <v>211</v>
      </c>
      <c r="C45" s="113">
        <v>0</v>
      </c>
      <c r="D45" s="113">
        <v>0</v>
      </c>
      <c r="E45" s="113">
        <v>0</v>
      </c>
      <c r="F45" s="113">
        <v>0</v>
      </c>
      <c r="G45" s="113">
        <v>0</v>
      </c>
      <c r="H45" s="387">
        <v>0</v>
      </c>
      <c r="I45" s="387">
        <v>0</v>
      </c>
      <c r="J45" s="387">
        <v>0</v>
      </c>
      <c r="K45" s="387">
        <v>0</v>
      </c>
      <c r="L45" s="387">
        <v>0</v>
      </c>
      <c r="M45" s="387">
        <v>0</v>
      </c>
      <c r="N45" s="387">
        <v>0</v>
      </c>
      <c r="O45" s="367">
        <f t="shared" si="9"/>
        <v>0</v>
      </c>
    </row>
    <row r="46" spans="1:15" x14ac:dyDescent="0.3">
      <c r="A46" s="102" t="s">
        <v>212</v>
      </c>
      <c r="B46" s="102" t="s">
        <v>213</v>
      </c>
      <c r="C46" s="113">
        <v>0</v>
      </c>
      <c r="D46" s="113">
        <v>0</v>
      </c>
      <c r="E46" s="113">
        <v>0</v>
      </c>
      <c r="F46" s="113">
        <v>0</v>
      </c>
      <c r="G46" s="113">
        <v>0</v>
      </c>
      <c r="H46" s="387">
        <v>0</v>
      </c>
      <c r="I46" s="387">
        <v>0</v>
      </c>
      <c r="J46" s="387">
        <v>0</v>
      </c>
      <c r="K46" s="387">
        <v>0</v>
      </c>
      <c r="L46" s="387">
        <v>0</v>
      </c>
      <c r="M46" s="387">
        <v>0</v>
      </c>
      <c r="N46" s="387">
        <v>0</v>
      </c>
      <c r="O46" s="367">
        <f t="shared" si="9"/>
        <v>0</v>
      </c>
    </row>
    <row r="47" spans="1:15" x14ac:dyDescent="0.3">
      <c r="A47" s="102" t="s">
        <v>214</v>
      </c>
      <c r="B47" s="102" t="s">
        <v>215</v>
      </c>
      <c r="C47" s="113">
        <v>0</v>
      </c>
      <c r="D47" s="113">
        <v>0</v>
      </c>
      <c r="E47" s="113">
        <v>0</v>
      </c>
      <c r="F47" s="113">
        <v>0</v>
      </c>
      <c r="G47" s="113">
        <v>0</v>
      </c>
      <c r="H47" s="387">
        <v>0</v>
      </c>
      <c r="I47" s="387">
        <v>0</v>
      </c>
      <c r="J47" s="387">
        <v>0</v>
      </c>
      <c r="K47" s="387">
        <v>0</v>
      </c>
      <c r="L47" s="387">
        <v>0</v>
      </c>
      <c r="M47" s="387">
        <v>0</v>
      </c>
      <c r="N47" s="387">
        <v>0</v>
      </c>
      <c r="O47" s="367">
        <f t="shared" si="9"/>
        <v>0</v>
      </c>
    </row>
    <row r="48" spans="1:15" x14ac:dyDescent="0.3">
      <c r="A48" s="102" t="s">
        <v>216</v>
      </c>
      <c r="B48" s="102" t="s">
        <v>217</v>
      </c>
      <c r="C48" s="113">
        <v>0</v>
      </c>
      <c r="D48" s="113">
        <v>0</v>
      </c>
      <c r="E48" s="113">
        <v>0</v>
      </c>
      <c r="F48" s="113">
        <v>0</v>
      </c>
      <c r="G48" s="113">
        <v>0</v>
      </c>
      <c r="H48" s="387">
        <v>0</v>
      </c>
      <c r="I48" s="387">
        <v>0</v>
      </c>
      <c r="J48" s="387">
        <v>0</v>
      </c>
      <c r="K48" s="387">
        <v>0</v>
      </c>
      <c r="L48" s="387">
        <v>0</v>
      </c>
      <c r="M48" s="387">
        <v>0</v>
      </c>
      <c r="N48" s="387">
        <v>0</v>
      </c>
      <c r="O48" s="367">
        <f t="shared" si="9"/>
        <v>0</v>
      </c>
    </row>
    <row r="49" spans="1:15" x14ac:dyDescent="0.3">
      <c r="A49" s="102" t="s">
        <v>218</v>
      </c>
      <c r="B49" s="102" t="s">
        <v>219</v>
      </c>
      <c r="C49" s="113">
        <v>0</v>
      </c>
      <c r="D49" s="113">
        <v>0</v>
      </c>
      <c r="E49" s="113">
        <v>0</v>
      </c>
      <c r="F49" s="113">
        <v>0</v>
      </c>
      <c r="G49" s="113">
        <v>0</v>
      </c>
      <c r="H49" s="387">
        <v>0</v>
      </c>
      <c r="I49" s="387">
        <v>0</v>
      </c>
      <c r="J49" s="387">
        <v>0</v>
      </c>
      <c r="K49" s="387">
        <v>0</v>
      </c>
      <c r="L49" s="387">
        <v>0</v>
      </c>
      <c r="M49" s="387">
        <v>0</v>
      </c>
      <c r="N49" s="387">
        <v>0</v>
      </c>
      <c r="O49" s="367">
        <f t="shared" si="9"/>
        <v>0</v>
      </c>
    </row>
    <row r="50" spans="1:15" x14ac:dyDescent="0.3">
      <c r="A50" s="102" t="s">
        <v>220</v>
      </c>
      <c r="B50" s="102" t="s">
        <v>221</v>
      </c>
      <c r="C50" s="113">
        <v>0</v>
      </c>
      <c r="D50" s="113">
        <v>0</v>
      </c>
      <c r="E50" s="113">
        <v>0</v>
      </c>
      <c r="F50" s="113">
        <v>0</v>
      </c>
      <c r="G50" s="113">
        <v>0</v>
      </c>
      <c r="H50" s="387">
        <v>0</v>
      </c>
      <c r="I50" s="387">
        <v>0</v>
      </c>
      <c r="J50" s="387">
        <v>0</v>
      </c>
      <c r="K50" s="387">
        <v>0</v>
      </c>
      <c r="L50" s="387">
        <v>0</v>
      </c>
      <c r="M50" s="387">
        <v>0</v>
      </c>
      <c r="N50" s="387">
        <v>0</v>
      </c>
      <c r="O50" s="367">
        <f t="shared" si="9"/>
        <v>0</v>
      </c>
    </row>
    <row r="51" spans="1:15" x14ac:dyDescent="0.3">
      <c r="A51" s="107" t="s">
        <v>222</v>
      </c>
      <c r="B51" s="107" t="s">
        <v>223</v>
      </c>
      <c r="C51" s="103">
        <v>0</v>
      </c>
      <c r="D51" s="103">
        <v>0</v>
      </c>
      <c r="E51" s="103">
        <v>0</v>
      </c>
      <c r="F51" s="103">
        <v>0</v>
      </c>
      <c r="G51" s="103">
        <v>0</v>
      </c>
      <c r="H51" s="372">
        <v>0</v>
      </c>
      <c r="I51" s="372">
        <v>0</v>
      </c>
      <c r="J51" s="372">
        <v>0</v>
      </c>
      <c r="K51" s="372">
        <v>0</v>
      </c>
      <c r="L51" s="372">
        <v>0</v>
      </c>
      <c r="M51" s="372">
        <v>0</v>
      </c>
      <c r="N51" s="372">
        <v>0</v>
      </c>
      <c r="O51" s="367">
        <f t="shared" si="9"/>
        <v>0</v>
      </c>
    </row>
    <row r="52" spans="1:15" x14ac:dyDescent="0.3">
      <c r="A52" s="108"/>
      <c r="B52" s="109" t="s">
        <v>224</v>
      </c>
      <c r="C52" s="369">
        <f>SUM(C30:C51)</f>
        <v>0</v>
      </c>
      <c r="D52" s="369">
        <f t="shared" ref="D52:N52" si="10">SUM(D30:D51)</f>
        <v>0</v>
      </c>
      <c r="E52" s="369">
        <f t="shared" si="10"/>
        <v>0</v>
      </c>
      <c r="F52" s="369">
        <f t="shared" si="10"/>
        <v>0</v>
      </c>
      <c r="G52" s="369">
        <f t="shared" si="10"/>
        <v>0</v>
      </c>
      <c r="H52" s="390">
        <f t="shared" si="10"/>
        <v>0</v>
      </c>
      <c r="I52" s="390">
        <f t="shared" ref="I52:K52" si="11">SUM(I30:I51)</f>
        <v>0</v>
      </c>
      <c r="J52" s="390">
        <f t="shared" si="11"/>
        <v>0</v>
      </c>
      <c r="K52" s="390">
        <f t="shared" si="11"/>
        <v>0</v>
      </c>
      <c r="L52" s="390">
        <f t="shared" si="10"/>
        <v>0</v>
      </c>
      <c r="M52" s="390">
        <f t="shared" si="10"/>
        <v>0</v>
      </c>
      <c r="N52" s="390">
        <f t="shared" si="10"/>
        <v>0</v>
      </c>
      <c r="O52" s="366">
        <f t="shared" ref="O52:O53" si="12">SUM(O47:O51)</f>
        <v>0</v>
      </c>
    </row>
    <row r="53" spans="1:15" x14ac:dyDescent="0.3">
      <c r="A53" s="114"/>
      <c r="B53" s="105" t="s">
        <v>225</v>
      </c>
      <c r="C53" s="370">
        <f>C52+C29</f>
        <v>0</v>
      </c>
      <c r="D53" s="370">
        <f t="shared" ref="D53:N53" si="13">D52+D29</f>
        <v>0</v>
      </c>
      <c r="E53" s="370">
        <f t="shared" si="13"/>
        <v>0</v>
      </c>
      <c r="F53" s="370">
        <f t="shared" si="13"/>
        <v>0</v>
      </c>
      <c r="G53" s="370">
        <f t="shared" si="13"/>
        <v>0</v>
      </c>
      <c r="H53" s="391">
        <f>H52+H29</f>
        <v>0</v>
      </c>
      <c r="I53" s="391">
        <f t="shared" ref="I53:K53" si="14">I52+I29</f>
        <v>0</v>
      </c>
      <c r="J53" s="391">
        <f t="shared" si="14"/>
        <v>0</v>
      </c>
      <c r="K53" s="391">
        <f t="shared" si="14"/>
        <v>0</v>
      </c>
      <c r="L53" s="391">
        <f t="shared" si="13"/>
        <v>0</v>
      </c>
      <c r="M53" s="391">
        <f t="shared" si="13"/>
        <v>0</v>
      </c>
      <c r="N53" s="391">
        <f t="shared" si="13"/>
        <v>0</v>
      </c>
      <c r="O53" s="366">
        <f t="shared" si="12"/>
        <v>0</v>
      </c>
    </row>
    <row r="54" spans="1:15" x14ac:dyDescent="0.3">
      <c r="A54" s="102" t="s">
        <v>226</v>
      </c>
      <c r="B54" s="102" t="s">
        <v>227</v>
      </c>
      <c r="C54" s="113">
        <f>120000/12</f>
        <v>10000</v>
      </c>
      <c r="D54" s="113">
        <f t="shared" ref="D54:N54" si="15">120000/12</f>
        <v>10000</v>
      </c>
      <c r="E54" s="113">
        <f t="shared" si="15"/>
        <v>10000</v>
      </c>
      <c r="F54" s="113">
        <f t="shared" si="15"/>
        <v>10000</v>
      </c>
      <c r="G54" s="113">
        <f t="shared" si="15"/>
        <v>10000</v>
      </c>
      <c r="H54" s="387">
        <f t="shared" si="15"/>
        <v>10000</v>
      </c>
      <c r="I54" s="387">
        <f t="shared" si="15"/>
        <v>10000</v>
      </c>
      <c r="J54" s="387">
        <f t="shared" si="15"/>
        <v>10000</v>
      </c>
      <c r="K54" s="387">
        <f t="shared" si="15"/>
        <v>10000</v>
      </c>
      <c r="L54" s="387">
        <f t="shared" si="15"/>
        <v>10000</v>
      </c>
      <c r="M54" s="387">
        <f t="shared" si="15"/>
        <v>10000</v>
      </c>
      <c r="N54" s="387">
        <f t="shared" si="15"/>
        <v>10000</v>
      </c>
      <c r="O54" s="368">
        <f>SUM(C54:N54)</f>
        <v>120000</v>
      </c>
    </row>
    <row r="55" spans="1:15" x14ac:dyDescent="0.3">
      <c r="A55" s="102" t="s">
        <v>228</v>
      </c>
      <c r="B55" s="102" t="s">
        <v>229</v>
      </c>
      <c r="C55" s="113">
        <f>C54*0.09</f>
        <v>900</v>
      </c>
      <c r="D55" s="113">
        <f t="shared" ref="D55:N55" si="16">D54*0.09</f>
        <v>900</v>
      </c>
      <c r="E55" s="113">
        <f t="shared" si="16"/>
        <v>900</v>
      </c>
      <c r="F55" s="113">
        <f t="shared" si="16"/>
        <v>900</v>
      </c>
      <c r="G55" s="113">
        <f t="shared" si="16"/>
        <v>900</v>
      </c>
      <c r="H55" s="387">
        <f t="shared" si="16"/>
        <v>900</v>
      </c>
      <c r="I55" s="387">
        <f t="shared" si="16"/>
        <v>900</v>
      </c>
      <c r="J55" s="387">
        <f t="shared" si="16"/>
        <v>900</v>
      </c>
      <c r="K55" s="387">
        <f t="shared" si="16"/>
        <v>900</v>
      </c>
      <c r="L55" s="387">
        <f t="shared" si="16"/>
        <v>900</v>
      </c>
      <c r="M55" s="387">
        <f t="shared" si="16"/>
        <v>900</v>
      </c>
      <c r="N55" s="387">
        <f t="shared" si="16"/>
        <v>900</v>
      </c>
      <c r="O55" s="368">
        <f t="shared" ref="O55:O106" si="17">SUM(C55:N55)</f>
        <v>10800</v>
      </c>
    </row>
    <row r="56" spans="1:15" x14ac:dyDescent="0.3">
      <c r="A56" s="102" t="s">
        <v>230</v>
      </c>
      <c r="B56" s="102" t="s">
        <v>231</v>
      </c>
      <c r="C56" s="113">
        <v>0</v>
      </c>
      <c r="D56" s="113">
        <v>0</v>
      </c>
      <c r="E56" s="113">
        <v>0</v>
      </c>
      <c r="F56" s="113">
        <v>0</v>
      </c>
      <c r="G56" s="113">
        <v>0</v>
      </c>
      <c r="H56" s="387">
        <v>0</v>
      </c>
      <c r="I56" s="387">
        <v>0</v>
      </c>
      <c r="J56" s="387">
        <v>0</v>
      </c>
      <c r="K56" s="387">
        <v>0</v>
      </c>
      <c r="L56" s="387">
        <v>0</v>
      </c>
      <c r="M56" s="387">
        <v>0</v>
      </c>
      <c r="N56" s="387">
        <v>0</v>
      </c>
      <c r="O56" s="368">
        <f t="shared" si="17"/>
        <v>0</v>
      </c>
    </row>
    <row r="57" spans="1:15" x14ac:dyDescent="0.3">
      <c r="A57" s="102" t="s">
        <v>232</v>
      </c>
      <c r="B57" s="102" t="s">
        <v>233</v>
      </c>
      <c r="C57" s="103">
        <v>0</v>
      </c>
      <c r="D57" s="103">
        <v>0</v>
      </c>
      <c r="E57" s="103">
        <v>0</v>
      </c>
      <c r="F57" s="103">
        <v>0</v>
      </c>
      <c r="G57" s="103">
        <v>0</v>
      </c>
      <c r="H57" s="372">
        <v>0</v>
      </c>
      <c r="I57" s="372">
        <v>0</v>
      </c>
      <c r="J57" s="372">
        <v>0</v>
      </c>
      <c r="K57" s="372">
        <v>0</v>
      </c>
      <c r="L57" s="372">
        <v>0</v>
      </c>
      <c r="M57" s="372">
        <v>0</v>
      </c>
      <c r="N57" s="372">
        <v>0</v>
      </c>
      <c r="O57" s="368">
        <f t="shared" si="17"/>
        <v>0</v>
      </c>
    </row>
    <row r="58" spans="1:15" x14ac:dyDescent="0.3">
      <c r="A58" s="102" t="s">
        <v>234</v>
      </c>
      <c r="B58" s="102" t="s">
        <v>235</v>
      </c>
      <c r="C58" s="113">
        <v>0</v>
      </c>
      <c r="D58" s="113">
        <v>0</v>
      </c>
      <c r="E58" s="113">
        <v>0</v>
      </c>
      <c r="F58" s="113">
        <v>0</v>
      </c>
      <c r="G58" s="113">
        <v>0</v>
      </c>
      <c r="H58" s="387">
        <v>0</v>
      </c>
      <c r="I58" s="387">
        <v>0</v>
      </c>
      <c r="J58" s="387">
        <v>0</v>
      </c>
      <c r="K58" s="387">
        <v>0</v>
      </c>
      <c r="L58" s="387">
        <v>0</v>
      </c>
      <c r="M58" s="387">
        <v>0</v>
      </c>
      <c r="N58" s="387">
        <v>0</v>
      </c>
      <c r="O58" s="368">
        <f t="shared" si="17"/>
        <v>0</v>
      </c>
    </row>
    <row r="59" spans="1:15" x14ac:dyDescent="0.3">
      <c r="A59" s="102" t="s">
        <v>236</v>
      </c>
      <c r="B59" s="102" t="s">
        <v>237</v>
      </c>
      <c r="C59" s="113">
        <v>0</v>
      </c>
      <c r="D59" s="113">
        <v>0</v>
      </c>
      <c r="E59" s="113">
        <v>0</v>
      </c>
      <c r="F59" s="113">
        <v>0</v>
      </c>
      <c r="G59" s="113">
        <v>0</v>
      </c>
      <c r="H59" s="387">
        <v>0</v>
      </c>
      <c r="I59" s="387">
        <v>0</v>
      </c>
      <c r="J59" s="387">
        <v>0</v>
      </c>
      <c r="K59" s="387">
        <v>0</v>
      </c>
      <c r="L59" s="387">
        <v>0</v>
      </c>
      <c r="M59" s="387">
        <v>0</v>
      </c>
      <c r="N59" s="387">
        <v>0</v>
      </c>
      <c r="O59" s="368">
        <f t="shared" si="17"/>
        <v>0</v>
      </c>
    </row>
    <row r="60" spans="1:15" x14ac:dyDescent="0.3">
      <c r="A60" s="102" t="s">
        <v>238</v>
      </c>
      <c r="B60" s="102" t="s">
        <v>239</v>
      </c>
      <c r="C60" s="103">
        <f>H61-C61</f>
        <v>8214.2200000000012</v>
      </c>
      <c r="D60" s="103">
        <f t="shared" ref="D60:G60" si="18">I61-D61</f>
        <v>7014.2200000000012</v>
      </c>
      <c r="E60" s="103">
        <f t="shared" si="18"/>
        <v>7140.6800000000012</v>
      </c>
      <c r="F60" s="103">
        <f t="shared" si="18"/>
        <v>10464.220000000001</v>
      </c>
      <c r="G60" s="103">
        <f t="shared" si="18"/>
        <v>10464.220000000001</v>
      </c>
      <c r="H60" s="392">
        <v>0</v>
      </c>
      <c r="I60" s="372">
        <v>0</v>
      </c>
      <c r="J60" s="372">
        <v>0</v>
      </c>
      <c r="K60" s="372">
        <v>0</v>
      </c>
      <c r="L60" s="372">
        <v>0</v>
      </c>
      <c r="M60" s="372">
        <v>0</v>
      </c>
      <c r="N60" s="372">
        <v>0</v>
      </c>
      <c r="O60" s="368">
        <f>SUM(C60:N60)</f>
        <v>43297.560000000005</v>
      </c>
    </row>
    <row r="61" spans="1:15" x14ac:dyDescent="0.3">
      <c r="A61" s="102" t="s">
        <v>240</v>
      </c>
      <c r="B61" s="102" t="s">
        <v>241</v>
      </c>
      <c r="C61" s="278">
        <v>6897.08</v>
      </c>
      <c r="D61" s="278">
        <v>8097.08</v>
      </c>
      <c r="E61" s="278">
        <v>7970.62</v>
      </c>
      <c r="F61" s="278">
        <v>4647.08</v>
      </c>
      <c r="G61" s="278">
        <v>4647.08</v>
      </c>
      <c r="H61" s="387">
        <f t="shared" ref="H61:N61" si="19">((60412/12+46000/12))*(1.3)+(43000/12)</f>
        <v>15111.300000000001</v>
      </c>
      <c r="I61" s="387">
        <f t="shared" si="19"/>
        <v>15111.300000000001</v>
      </c>
      <c r="J61" s="387">
        <f t="shared" si="19"/>
        <v>15111.300000000001</v>
      </c>
      <c r="K61" s="387">
        <f t="shared" si="19"/>
        <v>15111.300000000001</v>
      </c>
      <c r="L61" s="387">
        <f t="shared" si="19"/>
        <v>15111.300000000001</v>
      </c>
      <c r="M61" s="387">
        <f t="shared" si="19"/>
        <v>15111.300000000001</v>
      </c>
      <c r="N61" s="387">
        <f t="shared" si="19"/>
        <v>15111.300000000001</v>
      </c>
      <c r="O61" s="368">
        <f t="shared" si="17"/>
        <v>138038.04</v>
      </c>
    </row>
    <row r="62" spans="1:15" x14ac:dyDescent="0.3">
      <c r="A62" s="102" t="s">
        <v>242</v>
      </c>
      <c r="B62" s="102" t="s">
        <v>243</v>
      </c>
      <c r="C62" s="113">
        <f>C61*0.09</f>
        <v>620.73719999999992</v>
      </c>
      <c r="D62" s="113">
        <f t="shared" ref="D62:N62" si="20">D61*0.09</f>
        <v>728.73719999999992</v>
      </c>
      <c r="E62" s="113">
        <f t="shared" si="20"/>
        <v>717.35579999999993</v>
      </c>
      <c r="F62" s="113">
        <f t="shared" si="20"/>
        <v>418.23719999999997</v>
      </c>
      <c r="G62" s="113">
        <f t="shared" si="20"/>
        <v>418.23719999999997</v>
      </c>
      <c r="H62" s="387">
        <f t="shared" si="20"/>
        <v>1360.0170000000001</v>
      </c>
      <c r="I62" s="387">
        <f t="shared" si="20"/>
        <v>1360.0170000000001</v>
      </c>
      <c r="J62" s="387">
        <f t="shared" si="20"/>
        <v>1360.0170000000001</v>
      </c>
      <c r="K62" s="387">
        <f t="shared" si="20"/>
        <v>1360.0170000000001</v>
      </c>
      <c r="L62" s="387">
        <f t="shared" si="20"/>
        <v>1360.0170000000001</v>
      </c>
      <c r="M62" s="387">
        <f t="shared" si="20"/>
        <v>1360.0170000000001</v>
      </c>
      <c r="N62" s="387">
        <f t="shared" si="20"/>
        <v>1360.0170000000001</v>
      </c>
      <c r="O62" s="368">
        <f t="shared" si="17"/>
        <v>12423.4236</v>
      </c>
    </row>
    <row r="63" spans="1:15" x14ac:dyDescent="0.3">
      <c r="A63" s="102" t="s">
        <v>244</v>
      </c>
      <c r="B63" s="102" t="s">
        <v>245</v>
      </c>
      <c r="C63" s="113">
        <v>0</v>
      </c>
      <c r="D63" s="113">
        <v>0</v>
      </c>
      <c r="E63" s="113">
        <v>0</v>
      </c>
      <c r="F63" s="113">
        <v>0</v>
      </c>
      <c r="G63" s="113">
        <v>0</v>
      </c>
      <c r="H63" s="387">
        <v>0</v>
      </c>
      <c r="I63" s="387">
        <v>0</v>
      </c>
      <c r="J63" s="387">
        <v>0</v>
      </c>
      <c r="K63" s="387">
        <v>0</v>
      </c>
      <c r="L63" s="387">
        <v>0</v>
      </c>
      <c r="M63" s="387">
        <v>0</v>
      </c>
      <c r="N63" s="387">
        <v>0</v>
      </c>
      <c r="O63" s="368">
        <f t="shared" si="17"/>
        <v>0</v>
      </c>
    </row>
    <row r="64" spans="1:15" x14ac:dyDescent="0.3">
      <c r="A64" s="102" t="s">
        <v>246</v>
      </c>
      <c r="B64" s="102" t="s">
        <v>247</v>
      </c>
      <c r="C64" s="113" t="s">
        <v>0</v>
      </c>
      <c r="D64" s="113"/>
      <c r="E64" s="113"/>
      <c r="F64" s="113"/>
      <c r="G64" s="113"/>
      <c r="H64" s="387">
        <f t="shared" ref="H64:N64" si="21">48500/12</f>
        <v>4041.6666666666665</v>
      </c>
      <c r="I64" s="387">
        <f t="shared" si="21"/>
        <v>4041.6666666666665</v>
      </c>
      <c r="J64" s="387">
        <f t="shared" si="21"/>
        <v>4041.6666666666665</v>
      </c>
      <c r="K64" s="387">
        <f t="shared" si="21"/>
        <v>4041.6666666666665</v>
      </c>
      <c r="L64" s="387">
        <f t="shared" si="21"/>
        <v>4041.6666666666665</v>
      </c>
      <c r="M64" s="387">
        <f t="shared" si="21"/>
        <v>4041.6666666666665</v>
      </c>
      <c r="N64" s="387">
        <f t="shared" si="21"/>
        <v>4041.6666666666665</v>
      </c>
      <c r="O64" s="368">
        <f t="shared" si="17"/>
        <v>28291.666666666668</v>
      </c>
    </row>
    <row r="65" spans="1:15" x14ac:dyDescent="0.3">
      <c r="A65" s="102" t="s">
        <v>248</v>
      </c>
      <c r="B65" s="102" t="s">
        <v>249</v>
      </c>
      <c r="C65" s="113" t="s">
        <v>0</v>
      </c>
      <c r="D65" s="113">
        <f t="shared" ref="D65:N65" si="22">D64*0.09</f>
        <v>0</v>
      </c>
      <c r="E65" s="113">
        <f t="shared" si="22"/>
        <v>0</v>
      </c>
      <c r="F65" s="113">
        <f t="shared" si="22"/>
        <v>0</v>
      </c>
      <c r="G65" s="113">
        <f t="shared" si="22"/>
        <v>0</v>
      </c>
      <c r="H65" s="387">
        <f t="shared" si="22"/>
        <v>363.75</v>
      </c>
      <c r="I65" s="387">
        <f t="shared" si="22"/>
        <v>363.75</v>
      </c>
      <c r="J65" s="387">
        <f t="shared" si="22"/>
        <v>363.75</v>
      </c>
      <c r="K65" s="387">
        <f t="shared" si="22"/>
        <v>363.75</v>
      </c>
      <c r="L65" s="387">
        <f t="shared" si="22"/>
        <v>363.75</v>
      </c>
      <c r="M65" s="387">
        <f t="shared" si="22"/>
        <v>363.75</v>
      </c>
      <c r="N65" s="387">
        <f t="shared" si="22"/>
        <v>363.75</v>
      </c>
      <c r="O65" s="368">
        <f t="shared" si="17"/>
        <v>2546.25</v>
      </c>
    </row>
    <row r="66" spans="1:15" x14ac:dyDescent="0.3">
      <c r="A66" s="102" t="s">
        <v>250</v>
      </c>
      <c r="B66" s="102" t="s">
        <v>251</v>
      </c>
      <c r="C66" s="113">
        <v>0</v>
      </c>
      <c r="D66" s="113">
        <v>0</v>
      </c>
      <c r="E66" s="113">
        <v>0</v>
      </c>
      <c r="F66" s="113">
        <v>0</v>
      </c>
      <c r="G66" s="113">
        <v>0</v>
      </c>
      <c r="H66" s="387">
        <v>0</v>
      </c>
      <c r="I66" s="387">
        <v>0</v>
      </c>
      <c r="J66" s="387">
        <v>0</v>
      </c>
      <c r="K66" s="387">
        <v>0</v>
      </c>
      <c r="L66" s="387">
        <v>0</v>
      </c>
      <c r="M66" s="387">
        <v>0</v>
      </c>
      <c r="N66" s="387">
        <v>0</v>
      </c>
      <c r="O66" s="368">
        <f t="shared" si="17"/>
        <v>0</v>
      </c>
    </row>
    <row r="67" spans="1:15" x14ac:dyDescent="0.3">
      <c r="A67" s="102" t="s">
        <v>252</v>
      </c>
      <c r="B67" s="102" t="s">
        <v>253</v>
      </c>
      <c r="C67" s="103">
        <v>0</v>
      </c>
      <c r="D67" s="103">
        <v>0</v>
      </c>
      <c r="E67" s="103">
        <v>0</v>
      </c>
      <c r="F67" s="103">
        <v>0</v>
      </c>
      <c r="G67" s="103">
        <v>0</v>
      </c>
      <c r="H67" s="372">
        <v>0</v>
      </c>
      <c r="I67" s="372">
        <v>0</v>
      </c>
      <c r="J67" s="372">
        <v>0</v>
      </c>
      <c r="K67" s="372">
        <v>0</v>
      </c>
      <c r="L67" s="372">
        <v>0</v>
      </c>
      <c r="M67" s="372">
        <v>0</v>
      </c>
      <c r="N67" s="372">
        <v>0</v>
      </c>
      <c r="O67" s="368">
        <f t="shared" si="17"/>
        <v>0</v>
      </c>
    </row>
    <row r="68" spans="1:15" x14ac:dyDescent="0.3">
      <c r="A68" s="102" t="s">
        <v>254</v>
      </c>
      <c r="B68" s="102" t="s">
        <v>255</v>
      </c>
      <c r="C68" s="113">
        <v>0</v>
      </c>
      <c r="D68" s="113">
        <v>0</v>
      </c>
      <c r="E68" s="113">
        <v>0</v>
      </c>
      <c r="F68" s="113">
        <v>0</v>
      </c>
      <c r="G68" s="113">
        <v>0</v>
      </c>
      <c r="H68" s="387">
        <v>0</v>
      </c>
      <c r="I68" s="387">
        <v>0</v>
      </c>
      <c r="J68" s="387">
        <v>0</v>
      </c>
      <c r="K68" s="387">
        <v>0</v>
      </c>
      <c r="L68" s="387">
        <v>0</v>
      </c>
      <c r="M68" s="387">
        <v>0</v>
      </c>
      <c r="N68" s="387">
        <v>0</v>
      </c>
      <c r="O68" s="368">
        <f t="shared" si="17"/>
        <v>0</v>
      </c>
    </row>
    <row r="69" spans="1:15" x14ac:dyDescent="0.3">
      <c r="A69" s="102" t="s">
        <v>256</v>
      </c>
      <c r="B69" s="102" t="s">
        <v>257</v>
      </c>
      <c r="C69" s="113">
        <v>0</v>
      </c>
      <c r="D69" s="113">
        <v>0</v>
      </c>
      <c r="E69" s="113">
        <v>0</v>
      </c>
      <c r="F69" s="113">
        <v>0</v>
      </c>
      <c r="G69" s="113">
        <v>0</v>
      </c>
      <c r="H69" s="387">
        <v>0</v>
      </c>
      <c r="I69" s="387">
        <v>0</v>
      </c>
      <c r="J69" s="387">
        <v>0</v>
      </c>
      <c r="K69" s="387">
        <v>0</v>
      </c>
      <c r="L69" s="387">
        <v>0</v>
      </c>
      <c r="M69" s="387">
        <v>0</v>
      </c>
      <c r="N69" s="387">
        <v>0</v>
      </c>
      <c r="O69" s="368">
        <f t="shared" si="17"/>
        <v>0</v>
      </c>
    </row>
    <row r="70" spans="1:15" x14ac:dyDescent="0.3">
      <c r="A70" s="102" t="s">
        <v>258</v>
      </c>
      <c r="B70" s="102" t="s">
        <v>259</v>
      </c>
      <c r="C70" s="103">
        <v>0</v>
      </c>
      <c r="D70" s="103">
        <v>0</v>
      </c>
      <c r="E70" s="103">
        <v>0</v>
      </c>
      <c r="F70" s="103">
        <v>0</v>
      </c>
      <c r="G70" s="103">
        <v>0</v>
      </c>
      <c r="H70" s="372">
        <v>0</v>
      </c>
      <c r="I70" s="372">
        <v>0</v>
      </c>
      <c r="J70" s="372">
        <v>0</v>
      </c>
      <c r="K70" s="372">
        <v>0</v>
      </c>
      <c r="L70" s="372">
        <v>0</v>
      </c>
      <c r="M70" s="372">
        <v>0</v>
      </c>
      <c r="N70" s="372">
        <v>0</v>
      </c>
      <c r="O70" s="368">
        <f t="shared" si="17"/>
        <v>0</v>
      </c>
    </row>
    <row r="71" spans="1:15" x14ac:dyDescent="0.3">
      <c r="A71" s="102" t="s">
        <v>260</v>
      </c>
      <c r="B71" s="102" t="s">
        <v>261</v>
      </c>
      <c r="C71" s="103">
        <v>75</v>
      </c>
      <c r="D71" s="103">
        <v>75</v>
      </c>
      <c r="E71" s="103">
        <v>75</v>
      </c>
      <c r="F71" s="103">
        <v>75</v>
      </c>
      <c r="G71" s="103">
        <v>75</v>
      </c>
      <c r="H71" s="372">
        <v>75</v>
      </c>
      <c r="I71" s="372">
        <v>75</v>
      </c>
      <c r="J71" s="372">
        <v>75</v>
      </c>
      <c r="K71" s="372">
        <v>75</v>
      </c>
      <c r="L71" s="372">
        <v>75</v>
      </c>
      <c r="M71" s="372">
        <v>75</v>
      </c>
      <c r="N71" s="372">
        <v>75</v>
      </c>
      <c r="O71" s="368">
        <f t="shared" si="17"/>
        <v>900</v>
      </c>
    </row>
    <row r="72" spans="1:15" x14ac:dyDescent="0.3">
      <c r="A72" s="102" t="s">
        <v>262</v>
      </c>
      <c r="B72" s="102" t="s">
        <v>263</v>
      </c>
      <c r="C72" s="103">
        <v>0</v>
      </c>
      <c r="D72" s="103">
        <v>0</v>
      </c>
      <c r="E72" s="103">
        <v>0</v>
      </c>
      <c r="F72" s="103">
        <v>0</v>
      </c>
      <c r="G72" s="103">
        <v>0</v>
      </c>
      <c r="H72" s="372">
        <v>0</v>
      </c>
      <c r="I72" s="372">
        <v>0</v>
      </c>
      <c r="J72" s="372">
        <v>0</v>
      </c>
      <c r="K72" s="372">
        <v>0</v>
      </c>
      <c r="L72" s="372">
        <v>0</v>
      </c>
      <c r="M72" s="372">
        <v>0</v>
      </c>
      <c r="N72" s="372">
        <v>0</v>
      </c>
      <c r="O72" s="368">
        <f t="shared" si="17"/>
        <v>0</v>
      </c>
    </row>
    <row r="73" spans="1:15" x14ac:dyDescent="0.3">
      <c r="A73" s="102" t="s">
        <v>264</v>
      </c>
      <c r="B73" s="102" t="s">
        <v>265</v>
      </c>
      <c r="C73" s="103">
        <v>0</v>
      </c>
      <c r="D73" s="103">
        <v>0</v>
      </c>
      <c r="E73" s="103">
        <v>0</v>
      </c>
      <c r="F73" s="103">
        <v>0</v>
      </c>
      <c r="G73" s="103">
        <v>0</v>
      </c>
      <c r="H73" s="372">
        <v>0</v>
      </c>
      <c r="I73" s="372">
        <v>0</v>
      </c>
      <c r="J73" s="372">
        <v>0</v>
      </c>
      <c r="K73" s="372">
        <v>0</v>
      </c>
      <c r="L73" s="372">
        <v>0</v>
      </c>
      <c r="M73" s="372">
        <v>0</v>
      </c>
      <c r="N73" s="372">
        <v>0</v>
      </c>
      <c r="O73" s="368">
        <f t="shared" si="17"/>
        <v>0</v>
      </c>
    </row>
    <row r="74" spans="1:15" x14ac:dyDescent="0.3">
      <c r="A74" s="102" t="s">
        <v>266</v>
      </c>
      <c r="B74" s="102" t="s">
        <v>267</v>
      </c>
      <c r="C74" s="113">
        <v>0</v>
      </c>
      <c r="D74" s="113">
        <v>0</v>
      </c>
      <c r="E74" s="113">
        <v>0</v>
      </c>
      <c r="F74" s="113">
        <v>0</v>
      </c>
      <c r="G74" s="113">
        <v>0</v>
      </c>
      <c r="H74" s="387">
        <v>0</v>
      </c>
      <c r="I74" s="387">
        <v>0</v>
      </c>
      <c r="J74" s="387">
        <v>0</v>
      </c>
      <c r="K74" s="387">
        <v>0</v>
      </c>
      <c r="L74" s="387">
        <v>0</v>
      </c>
      <c r="M74" s="387">
        <v>0</v>
      </c>
      <c r="N74" s="387">
        <v>0</v>
      </c>
      <c r="O74" s="368">
        <f t="shared" si="17"/>
        <v>0</v>
      </c>
    </row>
    <row r="75" spans="1:15" x14ac:dyDescent="0.3">
      <c r="A75" s="102" t="s">
        <v>268</v>
      </c>
      <c r="B75" s="102" t="s">
        <v>269</v>
      </c>
      <c r="C75" s="113">
        <v>0</v>
      </c>
      <c r="D75" s="113">
        <v>0</v>
      </c>
      <c r="E75" s="113">
        <v>0</v>
      </c>
      <c r="F75" s="113">
        <v>0</v>
      </c>
      <c r="G75" s="113">
        <v>0</v>
      </c>
      <c r="H75" s="387">
        <v>0</v>
      </c>
      <c r="I75" s="387">
        <v>0</v>
      </c>
      <c r="J75" s="387">
        <v>0</v>
      </c>
      <c r="K75" s="387">
        <v>0</v>
      </c>
      <c r="L75" s="387">
        <v>0</v>
      </c>
      <c r="M75" s="387">
        <v>0</v>
      </c>
      <c r="N75" s="387">
        <v>0</v>
      </c>
      <c r="O75" s="368">
        <f t="shared" si="17"/>
        <v>0</v>
      </c>
    </row>
    <row r="76" spans="1:15" x14ac:dyDescent="0.3">
      <c r="A76" s="102" t="s">
        <v>270</v>
      </c>
      <c r="B76" s="102" t="s">
        <v>271</v>
      </c>
      <c r="C76" s="113">
        <v>0</v>
      </c>
      <c r="D76" s="113">
        <v>0</v>
      </c>
      <c r="E76" s="113">
        <v>0</v>
      </c>
      <c r="F76" s="113">
        <v>0</v>
      </c>
      <c r="G76" s="113">
        <v>0</v>
      </c>
      <c r="H76" s="387">
        <v>0</v>
      </c>
      <c r="I76" s="387">
        <v>0</v>
      </c>
      <c r="J76" s="387">
        <v>0</v>
      </c>
      <c r="K76" s="387">
        <v>0</v>
      </c>
      <c r="L76" s="387">
        <v>0</v>
      </c>
      <c r="M76" s="387">
        <v>0</v>
      </c>
      <c r="N76" s="387">
        <v>0</v>
      </c>
      <c r="O76" s="368">
        <f t="shared" si="17"/>
        <v>0</v>
      </c>
    </row>
    <row r="77" spans="1:15" x14ac:dyDescent="0.3">
      <c r="A77" s="102" t="s">
        <v>272</v>
      </c>
      <c r="B77" s="102" t="s">
        <v>273</v>
      </c>
      <c r="C77" s="113">
        <v>0</v>
      </c>
      <c r="D77" s="113">
        <v>0</v>
      </c>
      <c r="E77" s="113">
        <v>0</v>
      </c>
      <c r="F77" s="113">
        <v>0</v>
      </c>
      <c r="G77" s="113">
        <v>0</v>
      </c>
      <c r="H77" s="387">
        <v>0</v>
      </c>
      <c r="I77" s="387">
        <v>0</v>
      </c>
      <c r="J77" s="387">
        <v>0</v>
      </c>
      <c r="K77" s="387">
        <v>0</v>
      </c>
      <c r="L77" s="387">
        <v>0</v>
      </c>
      <c r="M77" s="387">
        <v>0</v>
      </c>
      <c r="N77" s="387">
        <v>0</v>
      </c>
      <c r="O77" s="368">
        <f t="shared" si="17"/>
        <v>0</v>
      </c>
    </row>
    <row r="78" spans="1:15" x14ac:dyDescent="0.3">
      <c r="A78" s="102" t="s">
        <v>274</v>
      </c>
      <c r="B78" s="102" t="s">
        <v>275</v>
      </c>
      <c r="C78" s="113">
        <v>0</v>
      </c>
      <c r="D78" s="113">
        <v>0</v>
      </c>
      <c r="E78" s="113">
        <v>0</v>
      </c>
      <c r="F78" s="113">
        <v>0</v>
      </c>
      <c r="G78" s="113">
        <v>0</v>
      </c>
      <c r="H78" s="387">
        <v>0</v>
      </c>
      <c r="I78" s="387">
        <v>0</v>
      </c>
      <c r="J78" s="387">
        <v>0</v>
      </c>
      <c r="K78" s="387">
        <v>0</v>
      </c>
      <c r="L78" s="387">
        <v>0</v>
      </c>
      <c r="M78" s="387">
        <v>0</v>
      </c>
      <c r="N78" s="387">
        <v>0</v>
      </c>
      <c r="O78" s="368">
        <f t="shared" si="17"/>
        <v>0</v>
      </c>
    </row>
    <row r="79" spans="1:15" x14ac:dyDescent="0.3">
      <c r="A79" s="102" t="s">
        <v>276</v>
      </c>
      <c r="B79" s="102" t="s">
        <v>277</v>
      </c>
      <c r="C79" s="113">
        <v>0</v>
      </c>
      <c r="D79" s="113">
        <v>0</v>
      </c>
      <c r="E79" s="113">
        <v>0</v>
      </c>
      <c r="F79" s="113">
        <v>0</v>
      </c>
      <c r="G79" s="113">
        <v>0</v>
      </c>
      <c r="H79" s="387">
        <v>0</v>
      </c>
      <c r="I79" s="387">
        <v>0</v>
      </c>
      <c r="J79" s="387">
        <v>0</v>
      </c>
      <c r="K79" s="387">
        <v>0</v>
      </c>
      <c r="L79" s="387">
        <v>0</v>
      </c>
      <c r="M79" s="387">
        <v>0</v>
      </c>
      <c r="N79" s="387">
        <v>0</v>
      </c>
      <c r="O79" s="368">
        <f t="shared" si="17"/>
        <v>0</v>
      </c>
    </row>
    <row r="80" spans="1:15" x14ac:dyDescent="0.3">
      <c r="A80" s="102" t="s">
        <v>278</v>
      </c>
      <c r="B80" s="102" t="s">
        <v>279</v>
      </c>
      <c r="C80" s="113">
        <v>0</v>
      </c>
      <c r="D80" s="113">
        <v>0</v>
      </c>
      <c r="E80" s="113">
        <v>0</v>
      </c>
      <c r="F80" s="113">
        <v>0</v>
      </c>
      <c r="G80" s="113">
        <v>0</v>
      </c>
      <c r="H80" s="387">
        <v>0</v>
      </c>
      <c r="I80" s="387">
        <v>0</v>
      </c>
      <c r="J80" s="387">
        <v>0</v>
      </c>
      <c r="K80" s="387">
        <v>0</v>
      </c>
      <c r="L80" s="387">
        <v>0</v>
      </c>
      <c r="M80" s="387">
        <v>0</v>
      </c>
      <c r="N80" s="387">
        <v>0</v>
      </c>
      <c r="O80" s="368">
        <f t="shared" si="17"/>
        <v>0</v>
      </c>
    </row>
    <row r="81" spans="1:15" x14ac:dyDescent="0.3">
      <c r="A81" s="102" t="s">
        <v>280</v>
      </c>
      <c r="B81" s="102" t="s">
        <v>281</v>
      </c>
      <c r="C81" s="412">
        <v>0</v>
      </c>
      <c r="D81" s="412">
        <v>0</v>
      </c>
      <c r="E81" s="412">
        <v>13242.22</v>
      </c>
      <c r="F81" s="412">
        <v>250</v>
      </c>
      <c r="G81" s="412">
        <v>250</v>
      </c>
      <c r="H81" s="413">
        <v>250</v>
      </c>
      <c r="I81" s="413">
        <v>250</v>
      </c>
      <c r="J81" s="413">
        <v>250</v>
      </c>
      <c r="K81" s="387">
        <v>250</v>
      </c>
      <c r="L81" s="387">
        <v>250</v>
      </c>
      <c r="M81" s="387">
        <v>250</v>
      </c>
      <c r="N81" s="387">
        <v>250</v>
      </c>
      <c r="O81" s="368">
        <f t="shared" si="17"/>
        <v>15492.22</v>
      </c>
    </row>
    <row r="82" spans="1:15" x14ac:dyDescent="0.3">
      <c r="A82" s="102" t="s">
        <v>282</v>
      </c>
      <c r="B82" s="102" t="s">
        <v>283</v>
      </c>
      <c r="C82" s="412">
        <v>0</v>
      </c>
      <c r="D82" s="412">
        <v>0</v>
      </c>
      <c r="E82" s="412">
        <v>0</v>
      </c>
      <c r="F82" s="412">
        <v>0</v>
      </c>
      <c r="G82" s="412">
        <v>22867.38</v>
      </c>
      <c r="H82" s="413">
        <v>25000</v>
      </c>
      <c r="I82" s="413">
        <v>0</v>
      </c>
      <c r="J82" s="414">
        <v>0</v>
      </c>
      <c r="K82" s="387">
        <v>0</v>
      </c>
      <c r="L82" s="387">
        <v>0</v>
      </c>
      <c r="M82" s="387">
        <v>0</v>
      </c>
      <c r="N82" s="387">
        <v>0</v>
      </c>
      <c r="O82" s="368">
        <f t="shared" si="17"/>
        <v>47867.380000000005</v>
      </c>
    </row>
    <row r="83" spans="1:15" x14ac:dyDescent="0.3">
      <c r="A83" s="102" t="s">
        <v>284</v>
      </c>
      <c r="B83" s="102" t="s">
        <v>285</v>
      </c>
      <c r="C83" s="113">
        <v>500</v>
      </c>
      <c r="D83" s="113">
        <v>500</v>
      </c>
      <c r="E83" s="113">
        <v>191</v>
      </c>
      <c r="F83" s="113">
        <v>257.25</v>
      </c>
      <c r="G83" s="113">
        <v>500</v>
      </c>
      <c r="H83" s="387">
        <v>500</v>
      </c>
      <c r="I83" s="387">
        <v>500</v>
      </c>
      <c r="J83" s="387">
        <v>500</v>
      </c>
      <c r="K83" s="387">
        <v>500</v>
      </c>
      <c r="L83" s="387">
        <v>500</v>
      </c>
      <c r="M83" s="387">
        <v>500</v>
      </c>
      <c r="N83" s="387">
        <v>500</v>
      </c>
      <c r="O83" s="368">
        <f t="shared" si="17"/>
        <v>5448.25</v>
      </c>
    </row>
    <row r="84" spans="1:15" x14ac:dyDescent="0.3">
      <c r="A84" s="102" t="s">
        <v>286</v>
      </c>
      <c r="B84" s="102" t="s">
        <v>287</v>
      </c>
      <c r="C84" s="113">
        <v>0</v>
      </c>
      <c r="D84" s="113">
        <v>0</v>
      </c>
      <c r="E84" s="113">
        <v>0</v>
      </c>
      <c r="F84" s="113">
        <v>0</v>
      </c>
      <c r="G84" s="113">
        <v>0</v>
      </c>
      <c r="H84" s="387">
        <v>0</v>
      </c>
      <c r="I84" s="387">
        <v>0</v>
      </c>
      <c r="J84" s="387">
        <v>0</v>
      </c>
      <c r="K84" s="387">
        <v>0</v>
      </c>
      <c r="L84" s="387">
        <v>0</v>
      </c>
      <c r="M84" s="387">
        <v>0</v>
      </c>
      <c r="N84" s="387">
        <v>0</v>
      </c>
      <c r="O84" s="368">
        <f t="shared" si="17"/>
        <v>0</v>
      </c>
    </row>
    <row r="85" spans="1:15" x14ac:dyDescent="0.3">
      <c r="A85" s="102" t="s">
        <v>288</v>
      </c>
      <c r="B85" s="102" t="s">
        <v>289</v>
      </c>
      <c r="C85" s="113">
        <v>0</v>
      </c>
      <c r="D85" s="113">
        <v>0</v>
      </c>
      <c r="E85" s="113">
        <v>0</v>
      </c>
      <c r="F85" s="113">
        <v>0</v>
      </c>
      <c r="G85" s="113">
        <v>0</v>
      </c>
      <c r="H85" s="387">
        <v>0</v>
      </c>
      <c r="I85" s="387">
        <v>0</v>
      </c>
      <c r="J85" s="387">
        <v>0</v>
      </c>
      <c r="K85" s="387">
        <v>0</v>
      </c>
      <c r="L85" s="387">
        <v>0</v>
      </c>
      <c r="M85" s="387">
        <v>0</v>
      </c>
      <c r="N85" s="387">
        <v>0</v>
      </c>
      <c r="O85" s="368">
        <f t="shared" si="17"/>
        <v>0</v>
      </c>
    </row>
    <row r="86" spans="1:15" x14ac:dyDescent="0.3">
      <c r="A86" s="102" t="s">
        <v>290</v>
      </c>
      <c r="B86" s="102" t="s">
        <v>291</v>
      </c>
      <c r="C86" s="113">
        <v>0</v>
      </c>
      <c r="D86" s="113">
        <v>0</v>
      </c>
      <c r="E86" s="113">
        <v>0</v>
      </c>
      <c r="F86" s="113">
        <v>0</v>
      </c>
      <c r="G86" s="113">
        <v>0</v>
      </c>
      <c r="H86" s="387">
        <v>0</v>
      </c>
      <c r="I86" s="387">
        <v>0</v>
      </c>
      <c r="J86" s="387">
        <v>0</v>
      </c>
      <c r="K86" s="387">
        <v>0</v>
      </c>
      <c r="L86" s="387">
        <v>0</v>
      </c>
      <c r="M86" s="387">
        <v>0</v>
      </c>
      <c r="N86" s="387">
        <v>0</v>
      </c>
      <c r="O86" s="368">
        <f t="shared" si="17"/>
        <v>0</v>
      </c>
    </row>
    <row r="87" spans="1:15" x14ac:dyDescent="0.3">
      <c r="A87" s="102" t="s">
        <v>292</v>
      </c>
      <c r="B87" s="102" t="s">
        <v>293</v>
      </c>
      <c r="C87" s="113">
        <v>0</v>
      </c>
      <c r="D87" s="113">
        <v>0</v>
      </c>
      <c r="E87" s="113">
        <v>0</v>
      </c>
      <c r="F87" s="113">
        <v>0</v>
      </c>
      <c r="G87" s="113">
        <v>0</v>
      </c>
      <c r="H87" s="387">
        <v>0</v>
      </c>
      <c r="I87" s="387">
        <v>0</v>
      </c>
      <c r="J87" s="387">
        <v>0</v>
      </c>
      <c r="K87" s="387">
        <v>0</v>
      </c>
      <c r="L87" s="387">
        <v>0</v>
      </c>
      <c r="M87" s="387">
        <v>0</v>
      </c>
      <c r="N87" s="387">
        <v>0</v>
      </c>
      <c r="O87" s="368">
        <f t="shared" si="17"/>
        <v>0</v>
      </c>
    </row>
    <row r="88" spans="1:15" x14ac:dyDescent="0.3">
      <c r="A88" s="102" t="s">
        <v>294</v>
      </c>
      <c r="B88" s="102" t="s">
        <v>295</v>
      </c>
      <c r="C88" s="113">
        <v>0</v>
      </c>
      <c r="D88" s="113">
        <v>0</v>
      </c>
      <c r="E88" s="113">
        <v>0</v>
      </c>
      <c r="F88" s="113">
        <v>0</v>
      </c>
      <c r="G88" s="113">
        <v>0</v>
      </c>
      <c r="H88" s="387">
        <v>0</v>
      </c>
      <c r="I88" s="387">
        <v>0</v>
      </c>
      <c r="J88" s="387">
        <v>0</v>
      </c>
      <c r="K88" s="387">
        <v>0</v>
      </c>
      <c r="L88" s="387">
        <v>0</v>
      </c>
      <c r="M88" s="387">
        <v>0</v>
      </c>
      <c r="N88" s="387">
        <v>0</v>
      </c>
      <c r="O88" s="368">
        <f t="shared" si="17"/>
        <v>0</v>
      </c>
    </row>
    <row r="89" spans="1:15" x14ac:dyDescent="0.3">
      <c r="A89" s="102" t="s">
        <v>296</v>
      </c>
      <c r="B89" s="102" t="s">
        <v>297</v>
      </c>
      <c r="C89" s="113">
        <v>0</v>
      </c>
      <c r="D89" s="113">
        <v>0</v>
      </c>
      <c r="E89" s="113">
        <v>0</v>
      </c>
      <c r="F89" s="113">
        <v>0</v>
      </c>
      <c r="G89" s="113">
        <v>0</v>
      </c>
      <c r="H89" s="387">
        <v>0</v>
      </c>
      <c r="I89" s="387">
        <v>0</v>
      </c>
      <c r="J89" s="387">
        <v>0</v>
      </c>
      <c r="K89" s="387">
        <v>0</v>
      </c>
      <c r="L89" s="387">
        <v>0</v>
      </c>
      <c r="M89" s="387">
        <v>0</v>
      </c>
      <c r="N89" s="387">
        <v>0</v>
      </c>
      <c r="O89" s="368">
        <f t="shared" si="17"/>
        <v>0</v>
      </c>
    </row>
    <row r="90" spans="1:15" x14ac:dyDescent="0.3">
      <c r="A90" s="102" t="s">
        <v>298</v>
      </c>
      <c r="B90" s="102" t="s">
        <v>299</v>
      </c>
      <c r="C90" s="103">
        <v>0</v>
      </c>
      <c r="D90" s="103">
        <v>0</v>
      </c>
      <c r="E90" s="103">
        <v>0</v>
      </c>
      <c r="F90" s="103">
        <v>0</v>
      </c>
      <c r="G90" s="103">
        <v>0</v>
      </c>
      <c r="H90" s="372">
        <v>0</v>
      </c>
      <c r="I90" s="372">
        <v>0</v>
      </c>
      <c r="J90" s="372">
        <v>0</v>
      </c>
      <c r="K90" s="372">
        <v>0</v>
      </c>
      <c r="L90" s="372">
        <v>0</v>
      </c>
      <c r="M90" s="372">
        <v>0</v>
      </c>
      <c r="N90" s="372">
        <v>0</v>
      </c>
      <c r="O90" s="368">
        <f t="shared" si="17"/>
        <v>0</v>
      </c>
    </row>
    <row r="91" spans="1:15" x14ac:dyDescent="0.3">
      <c r="A91" s="102" t="s">
        <v>300</v>
      </c>
      <c r="B91" s="102" t="s">
        <v>301</v>
      </c>
      <c r="C91" s="113">
        <v>0</v>
      </c>
      <c r="D91" s="113">
        <v>0</v>
      </c>
      <c r="E91" s="113">
        <v>0</v>
      </c>
      <c r="F91" s="113">
        <v>0</v>
      </c>
      <c r="G91" s="113">
        <v>0</v>
      </c>
      <c r="H91" s="387">
        <v>0</v>
      </c>
      <c r="I91" s="387">
        <v>0</v>
      </c>
      <c r="J91" s="387">
        <v>0</v>
      </c>
      <c r="K91" s="387">
        <v>0</v>
      </c>
      <c r="L91" s="387">
        <v>0</v>
      </c>
      <c r="M91" s="387">
        <v>0</v>
      </c>
      <c r="N91" s="387">
        <v>0</v>
      </c>
      <c r="O91" s="368">
        <f t="shared" si="17"/>
        <v>0</v>
      </c>
    </row>
    <row r="92" spans="1:15" x14ac:dyDescent="0.3">
      <c r="A92" s="102" t="s">
        <v>302</v>
      </c>
      <c r="B92" s="102" t="s">
        <v>303</v>
      </c>
      <c r="C92" s="113">
        <v>0</v>
      </c>
      <c r="D92" s="113">
        <v>0</v>
      </c>
      <c r="E92" s="113">
        <v>0</v>
      </c>
      <c r="F92" s="113">
        <v>0</v>
      </c>
      <c r="G92" s="113">
        <v>0</v>
      </c>
      <c r="H92" s="387">
        <v>0</v>
      </c>
      <c r="I92" s="387">
        <v>0</v>
      </c>
      <c r="J92" s="387">
        <v>0</v>
      </c>
      <c r="K92" s="387">
        <v>0</v>
      </c>
      <c r="L92" s="387">
        <v>0</v>
      </c>
      <c r="M92" s="387">
        <v>0</v>
      </c>
      <c r="N92" s="387">
        <v>0</v>
      </c>
      <c r="O92" s="368">
        <f t="shared" si="17"/>
        <v>0</v>
      </c>
    </row>
    <row r="93" spans="1:15" x14ac:dyDescent="0.3">
      <c r="A93" s="102" t="s">
        <v>304</v>
      </c>
      <c r="B93" s="102" t="s">
        <v>305</v>
      </c>
      <c r="C93" s="113">
        <v>0</v>
      </c>
      <c r="D93" s="113">
        <v>0</v>
      </c>
      <c r="E93" s="113">
        <v>0</v>
      </c>
      <c r="F93" s="113">
        <v>0</v>
      </c>
      <c r="G93" s="113">
        <v>0</v>
      </c>
      <c r="H93" s="387">
        <v>0</v>
      </c>
      <c r="I93" s="387">
        <v>0</v>
      </c>
      <c r="J93" s="387">
        <v>0</v>
      </c>
      <c r="K93" s="387">
        <v>0</v>
      </c>
      <c r="L93" s="387">
        <v>0</v>
      </c>
      <c r="M93" s="387">
        <v>0</v>
      </c>
      <c r="N93" s="387">
        <v>0</v>
      </c>
      <c r="O93" s="368">
        <f t="shared" si="17"/>
        <v>0</v>
      </c>
    </row>
    <row r="94" spans="1:15" x14ac:dyDescent="0.3">
      <c r="A94" s="102" t="s">
        <v>306</v>
      </c>
      <c r="B94" s="102" t="s">
        <v>307</v>
      </c>
      <c r="C94" s="113">
        <v>0</v>
      </c>
      <c r="D94" s="113">
        <v>0</v>
      </c>
      <c r="E94" s="113">
        <v>0</v>
      </c>
      <c r="F94" s="113">
        <v>0</v>
      </c>
      <c r="G94" s="113">
        <v>0</v>
      </c>
      <c r="H94" s="387">
        <v>0</v>
      </c>
      <c r="I94" s="387">
        <v>0</v>
      </c>
      <c r="J94" s="387">
        <v>0</v>
      </c>
      <c r="K94" s="387">
        <v>0</v>
      </c>
      <c r="L94" s="387">
        <v>0</v>
      </c>
      <c r="M94" s="387">
        <v>0</v>
      </c>
      <c r="N94" s="387">
        <v>0</v>
      </c>
      <c r="O94" s="368">
        <f t="shared" si="17"/>
        <v>0</v>
      </c>
    </row>
    <row r="95" spans="1:15" x14ac:dyDescent="0.3">
      <c r="A95" s="102" t="s">
        <v>308</v>
      </c>
      <c r="B95" s="102" t="s">
        <v>309</v>
      </c>
      <c r="C95" s="113">
        <v>0</v>
      </c>
      <c r="D95" s="113">
        <v>0</v>
      </c>
      <c r="E95" s="113">
        <v>0</v>
      </c>
      <c r="F95" s="113">
        <v>0</v>
      </c>
      <c r="G95" s="113">
        <v>0</v>
      </c>
      <c r="H95" s="387">
        <v>0</v>
      </c>
      <c r="I95" s="387">
        <v>0</v>
      </c>
      <c r="J95" s="387">
        <v>0</v>
      </c>
      <c r="K95" s="387">
        <v>0</v>
      </c>
      <c r="L95" s="387">
        <v>0</v>
      </c>
      <c r="M95" s="387">
        <v>0</v>
      </c>
      <c r="N95" s="387">
        <v>0</v>
      </c>
      <c r="O95" s="368">
        <f t="shared" si="17"/>
        <v>0</v>
      </c>
    </row>
    <row r="96" spans="1:15" x14ac:dyDescent="0.3">
      <c r="A96" s="102" t="s">
        <v>310</v>
      </c>
      <c r="B96" s="102" t="s">
        <v>311</v>
      </c>
      <c r="C96" s="113">
        <v>0</v>
      </c>
      <c r="D96" s="113">
        <v>0</v>
      </c>
      <c r="E96" s="113">
        <v>0</v>
      </c>
      <c r="F96" s="113">
        <v>0</v>
      </c>
      <c r="G96" s="113">
        <v>0</v>
      </c>
      <c r="H96" s="387">
        <v>0</v>
      </c>
      <c r="I96" s="387">
        <v>0</v>
      </c>
      <c r="J96" s="387">
        <v>0</v>
      </c>
      <c r="K96" s="387">
        <v>0</v>
      </c>
      <c r="L96" s="387">
        <v>0</v>
      </c>
      <c r="M96" s="387">
        <v>0</v>
      </c>
      <c r="N96" s="387">
        <v>0</v>
      </c>
      <c r="O96" s="368">
        <f t="shared" si="17"/>
        <v>0</v>
      </c>
    </row>
    <row r="97" spans="1:16" x14ac:dyDescent="0.3">
      <c r="A97" s="102" t="s">
        <v>312</v>
      </c>
      <c r="B97" s="102" t="s">
        <v>313</v>
      </c>
      <c r="C97" s="113">
        <v>0</v>
      </c>
      <c r="D97" s="113">
        <v>0</v>
      </c>
      <c r="E97" s="113">
        <v>0</v>
      </c>
      <c r="F97" s="113">
        <v>0</v>
      </c>
      <c r="G97" s="113">
        <v>0</v>
      </c>
      <c r="H97" s="387">
        <v>0</v>
      </c>
      <c r="I97" s="387">
        <v>0</v>
      </c>
      <c r="J97" s="387">
        <v>0</v>
      </c>
      <c r="K97" s="387">
        <v>0</v>
      </c>
      <c r="L97" s="387">
        <v>0</v>
      </c>
      <c r="M97" s="387">
        <v>0</v>
      </c>
      <c r="N97" s="387">
        <v>0</v>
      </c>
      <c r="O97" s="368">
        <f t="shared" si="17"/>
        <v>0</v>
      </c>
    </row>
    <row r="98" spans="1:16" x14ac:dyDescent="0.3">
      <c r="A98" s="102" t="s">
        <v>314</v>
      </c>
      <c r="B98" s="102" t="s">
        <v>315</v>
      </c>
      <c r="C98" s="103">
        <v>0</v>
      </c>
      <c r="D98" s="103">
        <v>0</v>
      </c>
      <c r="E98" s="103">
        <v>0</v>
      </c>
      <c r="F98" s="103">
        <v>0</v>
      </c>
      <c r="G98" s="103">
        <v>0</v>
      </c>
      <c r="H98" s="372">
        <v>0</v>
      </c>
      <c r="I98" s="372">
        <v>0</v>
      </c>
      <c r="J98" s="372">
        <v>0</v>
      </c>
      <c r="K98" s="372">
        <v>0</v>
      </c>
      <c r="L98" s="372">
        <v>0</v>
      </c>
      <c r="M98" s="372">
        <v>0</v>
      </c>
      <c r="N98" s="372">
        <v>0</v>
      </c>
      <c r="O98" s="368">
        <f t="shared" si="17"/>
        <v>0</v>
      </c>
    </row>
    <row r="99" spans="1:16" x14ac:dyDescent="0.3">
      <c r="A99" s="102" t="s">
        <v>316</v>
      </c>
      <c r="B99" s="102" t="s">
        <v>317</v>
      </c>
      <c r="C99" s="113">
        <v>0</v>
      </c>
      <c r="D99" s="113">
        <v>0</v>
      </c>
      <c r="E99" s="113">
        <v>0</v>
      </c>
      <c r="F99" s="113">
        <v>0</v>
      </c>
      <c r="G99" s="113">
        <v>0</v>
      </c>
      <c r="H99" s="387">
        <v>0</v>
      </c>
      <c r="I99" s="387">
        <v>0</v>
      </c>
      <c r="J99" s="387">
        <v>0</v>
      </c>
      <c r="K99" s="387">
        <v>0</v>
      </c>
      <c r="L99" s="387">
        <v>0</v>
      </c>
      <c r="M99" s="387">
        <v>0</v>
      </c>
      <c r="N99" s="387">
        <v>0</v>
      </c>
      <c r="O99" s="368">
        <f t="shared" si="17"/>
        <v>0</v>
      </c>
    </row>
    <row r="100" spans="1:16" x14ac:dyDescent="0.3">
      <c r="A100" s="102" t="s">
        <v>318</v>
      </c>
      <c r="B100" s="102" t="s">
        <v>319</v>
      </c>
      <c r="C100" s="103">
        <v>0</v>
      </c>
      <c r="D100" s="103">
        <v>0</v>
      </c>
      <c r="E100" s="103">
        <v>0</v>
      </c>
      <c r="F100" s="103">
        <v>0</v>
      </c>
      <c r="G100" s="103">
        <v>0</v>
      </c>
      <c r="H100" s="372">
        <v>0</v>
      </c>
      <c r="I100" s="372">
        <v>0</v>
      </c>
      <c r="J100" s="372">
        <v>0</v>
      </c>
      <c r="K100" s="372">
        <v>0</v>
      </c>
      <c r="L100" s="372">
        <v>0</v>
      </c>
      <c r="M100" s="372">
        <v>0</v>
      </c>
      <c r="N100" s="372">
        <v>0</v>
      </c>
      <c r="O100" s="368">
        <f t="shared" si="17"/>
        <v>0</v>
      </c>
    </row>
    <row r="101" spans="1:16" x14ac:dyDescent="0.3">
      <c r="A101" s="102" t="s">
        <v>320</v>
      </c>
      <c r="B101" s="102" t="s">
        <v>321</v>
      </c>
      <c r="C101" s="103">
        <v>0</v>
      </c>
      <c r="D101" s="103">
        <v>0</v>
      </c>
      <c r="E101" s="103">
        <v>0</v>
      </c>
      <c r="F101" s="103">
        <v>0</v>
      </c>
      <c r="G101" s="103">
        <v>0</v>
      </c>
      <c r="H101" s="372">
        <v>0</v>
      </c>
      <c r="I101" s="372">
        <v>0</v>
      </c>
      <c r="J101" s="372">
        <v>0</v>
      </c>
      <c r="K101" s="372">
        <v>0</v>
      </c>
      <c r="L101" s="372">
        <v>0</v>
      </c>
      <c r="M101" s="372">
        <v>0</v>
      </c>
      <c r="N101" s="372">
        <v>0</v>
      </c>
      <c r="O101" s="368">
        <f t="shared" si="17"/>
        <v>0</v>
      </c>
    </row>
    <row r="102" spans="1:16" x14ac:dyDescent="0.3">
      <c r="A102" s="102" t="s">
        <v>322</v>
      </c>
      <c r="B102" s="102" t="s">
        <v>323</v>
      </c>
      <c r="C102" s="103">
        <v>0</v>
      </c>
      <c r="D102" s="103">
        <v>0</v>
      </c>
      <c r="E102" s="103">
        <v>0</v>
      </c>
      <c r="F102" s="103">
        <v>0</v>
      </c>
      <c r="G102" s="103">
        <v>0</v>
      </c>
      <c r="H102" s="372">
        <v>0</v>
      </c>
      <c r="I102" s="372">
        <v>0</v>
      </c>
      <c r="J102" s="372">
        <v>0</v>
      </c>
      <c r="K102" s="372">
        <v>0</v>
      </c>
      <c r="L102" s="372">
        <v>0</v>
      </c>
      <c r="M102" s="372">
        <v>0</v>
      </c>
      <c r="N102" s="372">
        <v>0</v>
      </c>
      <c r="O102" s="368">
        <f t="shared" si="17"/>
        <v>0</v>
      </c>
    </row>
    <row r="103" spans="1:16" x14ac:dyDescent="0.3">
      <c r="A103" s="102" t="s">
        <v>324</v>
      </c>
      <c r="B103" s="102" t="s">
        <v>325</v>
      </c>
      <c r="C103" s="103">
        <v>0</v>
      </c>
      <c r="D103" s="103">
        <v>0</v>
      </c>
      <c r="E103" s="103">
        <v>0</v>
      </c>
      <c r="F103" s="103">
        <v>0</v>
      </c>
      <c r="G103" s="103">
        <v>0</v>
      </c>
      <c r="H103" s="372">
        <v>0</v>
      </c>
      <c r="I103" s="372">
        <v>0</v>
      </c>
      <c r="J103" s="372">
        <v>0</v>
      </c>
      <c r="K103" s="372">
        <v>0</v>
      </c>
      <c r="L103" s="372">
        <v>0</v>
      </c>
      <c r="M103" s="372">
        <v>0</v>
      </c>
      <c r="N103" s="372">
        <v>0</v>
      </c>
      <c r="O103" s="368">
        <f t="shared" si="17"/>
        <v>0</v>
      </c>
    </row>
    <row r="104" spans="1:16" x14ac:dyDescent="0.3">
      <c r="A104" s="105" t="s">
        <v>326</v>
      </c>
      <c r="B104" s="105" t="s">
        <v>327</v>
      </c>
      <c r="C104" s="103">
        <v>0</v>
      </c>
      <c r="D104" s="103">
        <v>0</v>
      </c>
      <c r="E104" s="103">
        <v>0</v>
      </c>
      <c r="F104" s="103">
        <v>0</v>
      </c>
      <c r="G104" s="103">
        <v>0</v>
      </c>
      <c r="H104" s="372">
        <v>0</v>
      </c>
      <c r="I104" s="372">
        <v>0</v>
      </c>
      <c r="J104" s="372">
        <v>0</v>
      </c>
      <c r="K104" s="372">
        <v>0</v>
      </c>
      <c r="L104" s="372">
        <v>0</v>
      </c>
      <c r="M104" s="372">
        <v>0</v>
      </c>
      <c r="N104" s="372">
        <v>0</v>
      </c>
      <c r="O104" s="368">
        <f t="shared" si="17"/>
        <v>0</v>
      </c>
    </row>
    <row r="105" spans="1:16" x14ac:dyDescent="0.3">
      <c r="A105" s="105"/>
      <c r="B105" s="300" t="s">
        <v>382</v>
      </c>
      <c r="C105" s="103"/>
      <c r="D105" s="103"/>
      <c r="E105" s="103"/>
      <c r="F105" s="103"/>
      <c r="G105" s="103"/>
      <c r="H105" s="372"/>
      <c r="I105" s="372"/>
      <c r="J105" s="372"/>
      <c r="K105" s="372"/>
      <c r="L105" s="372"/>
      <c r="M105" s="372"/>
      <c r="N105" s="372"/>
      <c r="O105" s="368"/>
    </row>
    <row r="106" spans="1:16" x14ac:dyDescent="0.3">
      <c r="A106" s="104"/>
      <c r="B106" s="105" t="s">
        <v>328</v>
      </c>
      <c r="C106" s="115">
        <f>SUM(C54:C104)</f>
        <v>27207.037200000002</v>
      </c>
      <c r="D106" s="110">
        <f t="shared" ref="D106:F106" si="23">SUM(D54:D104)</f>
        <v>27315.037200000002</v>
      </c>
      <c r="E106" s="110">
        <f t="shared" si="23"/>
        <v>40236.875800000002</v>
      </c>
      <c r="F106" s="110">
        <f t="shared" si="23"/>
        <v>27011.787200000002</v>
      </c>
      <c r="G106" s="110">
        <f>SUM(G53:G104)</f>
        <v>50121.917200000004</v>
      </c>
      <c r="H106" s="388">
        <f>SUM(H53:H104)</f>
        <v>57601.733666666667</v>
      </c>
      <c r="I106" s="388">
        <f t="shared" ref="I106:N106" si="24">SUM(I53:I104)</f>
        <v>32601.733666666671</v>
      </c>
      <c r="J106" s="388">
        <f>SUM(J53:J104)</f>
        <v>32601.733666666671</v>
      </c>
      <c r="K106" s="388">
        <f t="shared" si="24"/>
        <v>32601.733666666671</v>
      </c>
      <c r="L106" s="388">
        <f t="shared" si="24"/>
        <v>32601.733666666671</v>
      </c>
      <c r="M106" s="388">
        <f t="shared" si="24"/>
        <v>32601.733666666671</v>
      </c>
      <c r="N106" s="388">
        <f t="shared" si="24"/>
        <v>32601.733666666671</v>
      </c>
      <c r="O106" s="118">
        <f t="shared" si="17"/>
        <v>425104.79026666668</v>
      </c>
    </row>
    <row r="107" spans="1:16" x14ac:dyDescent="0.3">
      <c r="A107" s="104"/>
      <c r="B107" s="104"/>
      <c r="C107" s="111"/>
      <c r="D107" s="111"/>
      <c r="E107" s="111"/>
      <c r="F107" s="111"/>
      <c r="G107" s="111"/>
      <c r="H107" s="393"/>
      <c r="I107" s="386"/>
      <c r="J107" s="386"/>
      <c r="K107" s="393"/>
      <c r="L107" s="393"/>
      <c r="M107" s="393"/>
      <c r="N107" s="393"/>
      <c r="O107" s="145"/>
    </row>
    <row r="108" spans="1:16" s="165" customFormat="1" ht="15" thickBot="1" x14ac:dyDescent="0.35">
      <c r="A108" s="162" t="s">
        <v>0</v>
      </c>
      <c r="B108" s="162" t="s">
        <v>329</v>
      </c>
      <c r="C108" s="162">
        <f>C24-C106</f>
        <v>-41207.037200000006</v>
      </c>
      <c r="D108" s="162">
        <f t="shared" ref="D108:F108" si="25">D24-D106</f>
        <v>-21315.037200000002</v>
      </c>
      <c r="E108" s="162">
        <f t="shared" si="25"/>
        <v>-22236.875800000002</v>
      </c>
      <c r="F108" s="162">
        <f t="shared" si="25"/>
        <v>-26011.787200000002</v>
      </c>
      <c r="G108" s="162">
        <f>G24-G106</f>
        <v>-23121.917200000004</v>
      </c>
      <c r="H108" s="394">
        <f t="shared" ref="H108:O108" si="26">H24-H106</f>
        <v>-57601.733666666667</v>
      </c>
      <c r="I108" s="394">
        <f t="shared" si="26"/>
        <v>-32601.733666666671</v>
      </c>
      <c r="J108" s="394">
        <f t="shared" si="26"/>
        <v>-32601.733666666671</v>
      </c>
      <c r="K108" s="394">
        <f t="shared" si="26"/>
        <v>-32601.733666666671</v>
      </c>
      <c r="L108" s="394">
        <f t="shared" si="26"/>
        <v>-32601.733666666671</v>
      </c>
      <c r="M108" s="394">
        <f t="shared" si="26"/>
        <v>-32601.733666666671</v>
      </c>
      <c r="N108" s="394">
        <f t="shared" si="26"/>
        <v>-32601.733666666671</v>
      </c>
      <c r="O108" s="163">
        <f t="shared" si="26"/>
        <v>-425104.79026666668</v>
      </c>
    </row>
    <row r="109" spans="1:16" ht="15.6" thickTop="1" thickBot="1" x14ac:dyDescent="0.35">
      <c r="C109" s="116"/>
      <c r="D109" s="116"/>
      <c r="E109" s="116"/>
      <c r="F109" s="116"/>
      <c r="G109" s="116"/>
      <c r="H109" s="116"/>
      <c r="K109" s="116"/>
      <c r="L109" s="116"/>
      <c r="M109" s="116"/>
      <c r="N109" s="116"/>
    </row>
    <row r="110" spans="1:16" s="166" customFormat="1" ht="15" thickBot="1" x14ac:dyDescent="0.35">
      <c r="A110" s="167"/>
      <c r="B110" s="167" t="s">
        <v>330</v>
      </c>
      <c r="C110" s="168">
        <v>0</v>
      </c>
      <c r="D110" s="168">
        <v>0</v>
      </c>
      <c r="E110" s="168">
        <v>0</v>
      </c>
      <c r="F110" s="168">
        <v>0</v>
      </c>
      <c r="G110" s="168">
        <v>0</v>
      </c>
      <c r="H110" s="168">
        <v>0</v>
      </c>
      <c r="I110" s="168">
        <v>0</v>
      </c>
      <c r="J110" s="168">
        <v>0</v>
      </c>
      <c r="K110" s="168">
        <v>0</v>
      </c>
      <c r="L110" s="168">
        <v>0</v>
      </c>
      <c r="M110" s="168">
        <v>0</v>
      </c>
      <c r="N110" s="168">
        <v>0</v>
      </c>
      <c r="O110" s="192">
        <f>(I110+J110)</f>
        <v>0</v>
      </c>
      <c r="P110" s="194" t="s">
        <v>0</v>
      </c>
    </row>
    <row r="111" spans="1:16" x14ac:dyDescent="0.3">
      <c r="O111" s="112" t="s">
        <v>0</v>
      </c>
    </row>
    <row r="112" spans="1:16" x14ac:dyDescent="0.3">
      <c r="I112" s="123" t="s">
        <v>0</v>
      </c>
      <c r="J112" s="123" t="s">
        <v>0</v>
      </c>
    </row>
    <row r="113" spans="1:15" x14ac:dyDescent="0.3">
      <c r="A113" s="195"/>
    </row>
    <row r="114" spans="1:15" x14ac:dyDescent="0.3">
      <c r="A114" s="196"/>
    </row>
    <row r="115" spans="1:15" x14ac:dyDescent="0.3">
      <c r="A115" s="196"/>
      <c r="B115" s="197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</row>
    <row r="116" spans="1:15" x14ac:dyDescent="0.3">
      <c r="A116" s="196"/>
      <c r="B116" s="197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</row>
    <row r="117" spans="1:15" x14ac:dyDescent="0.3">
      <c r="A117" s="196"/>
      <c r="B117" s="197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</row>
    <row r="118" spans="1:15" x14ac:dyDescent="0.3">
      <c r="I118" s="200"/>
      <c r="J118" s="200"/>
      <c r="O118" s="200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57EA-7DC0-4FF4-8C84-42A71F1361B0}">
  <sheetPr>
    <tabColor rgb="FFFFC000"/>
  </sheetPr>
  <dimension ref="A1:AF111"/>
  <sheetViews>
    <sheetView zoomScale="73" zoomScaleNormal="73" workbookViewId="0">
      <pane ySplit="1" topLeftCell="A86" activePane="bottomLeft" state="frozen"/>
      <selection pane="bottomLeft" activeCell="B105" sqref="B105"/>
    </sheetView>
  </sheetViews>
  <sheetFormatPr defaultColWidth="29" defaultRowHeight="14.4" x14ac:dyDescent="0.3"/>
  <cols>
    <col min="1" max="1" width="11.21875" style="99" customWidth="1"/>
    <col min="2" max="2" width="29" style="99"/>
    <col min="3" max="4" width="7.6640625" style="101" customWidth="1"/>
    <col min="5" max="5" width="8.88671875" style="101" customWidth="1"/>
    <col min="6" max="8" width="7.6640625" style="101" customWidth="1"/>
    <col min="9" max="10" width="7.6640625" style="123" customWidth="1"/>
    <col min="11" max="11" width="8.88671875" style="101" customWidth="1"/>
    <col min="12" max="14" width="7.6640625" style="101" customWidth="1"/>
    <col min="15" max="15" width="10.21875" style="112" customWidth="1"/>
    <col min="16" max="16384" width="29" style="99"/>
  </cols>
  <sheetData>
    <row r="1" spans="1:32" x14ac:dyDescent="0.3">
      <c r="A1" s="108"/>
      <c r="B1" s="239"/>
      <c r="C1" s="240" t="s">
        <v>123</v>
      </c>
      <c r="D1" s="240" t="s">
        <v>124</v>
      </c>
      <c r="E1" s="240" t="s">
        <v>125</v>
      </c>
      <c r="F1" s="240" t="s">
        <v>126</v>
      </c>
      <c r="G1" s="240" t="s">
        <v>127</v>
      </c>
      <c r="H1" s="380" t="s">
        <v>128</v>
      </c>
      <c r="I1" s="381" t="s">
        <v>129</v>
      </c>
      <c r="J1" s="381" t="s">
        <v>130</v>
      </c>
      <c r="K1" s="380" t="s">
        <v>131</v>
      </c>
      <c r="L1" s="380" t="s">
        <v>132</v>
      </c>
      <c r="M1" s="380" t="s">
        <v>133</v>
      </c>
      <c r="N1" s="380" t="s">
        <v>134</v>
      </c>
      <c r="O1" s="141" t="s">
        <v>10</v>
      </c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</row>
    <row r="2" spans="1:32" x14ac:dyDescent="0.3">
      <c r="A2" s="102" t="s">
        <v>135</v>
      </c>
      <c r="B2" s="102" t="s">
        <v>136</v>
      </c>
      <c r="C2" s="103">
        <v>0</v>
      </c>
      <c r="D2" s="103">
        <v>0</v>
      </c>
      <c r="E2" s="103">
        <v>0</v>
      </c>
      <c r="F2" s="103">
        <v>0</v>
      </c>
      <c r="G2" s="103">
        <v>0</v>
      </c>
      <c r="H2" s="372">
        <v>0</v>
      </c>
      <c r="I2" s="372">
        <v>0</v>
      </c>
      <c r="J2" s="372">
        <v>0</v>
      </c>
      <c r="K2" s="372">
        <v>0</v>
      </c>
      <c r="L2" s="372">
        <v>0</v>
      </c>
      <c r="M2" s="372">
        <v>0</v>
      </c>
      <c r="N2" s="372">
        <v>0</v>
      </c>
      <c r="O2" s="367">
        <f>SUM(C2:N2)</f>
        <v>0</v>
      </c>
    </row>
    <row r="3" spans="1:32" x14ac:dyDescent="0.3">
      <c r="A3" s="102" t="s">
        <v>137</v>
      </c>
      <c r="B3" s="102" t="s">
        <v>138</v>
      </c>
      <c r="C3" s="103">
        <v>0</v>
      </c>
      <c r="D3" s="103">
        <v>0</v>
      </c>
      <c r="E3" s="103">
        <v>0</v>
      </c>
      <c r="F3" s="103">
        <v>0</v>
      </c>
      <c r="G3" s="103">
        <v>0</v>
      </c>
      <c r="H3" s="372">
        <v>0</v>
      </c>
      <c r="I3" s="372">
        <v>0</v>
      </c>
      <c r="J3" s="372">
        <v>0</v>
      </c>
      <c r="K3" s="372">
        <v>0</v>
      </c>
      <c r="L3" s="372">
        <v>0</v>
      </c>
      <c r="M3" s="372">
        <v>0</v>
      </c>
      <c r="N3" s="372">
        <v>0</v>
      </c>
      <c r="O3" s="367">
        <f t="shared" ref="O3:O6" si="0">SUM(C3:N3)</f>
        <v>0</v>
      </c>
    </row>
    <row r="4" spans="1:32" x14ac:dyDescent="0.3">
      <c r="A4" s="102" t="s">
        <v>139</v>
      </c>
      <c r="B4" s="102" t="s">
        <v>140</v>
      </c>
      <c r="C4" s="103">
        <v>0</v>
      </c>
      <c r="D4" s="103">
        <v>0</v>
      </c>
      <c r="E4" s="103">
        <v>0</v>
      </c>
      <c r="F4" s="103">
        <v>0</v>
      </c>
      <c r="G4" s="103">
        <v>0</v>
      </c>
      <c r="H4" s="372">
        <v>0</v>
      </c>
      <c r="I4" s="372">
        <v>0</v>
      </c>
      <c r="J4" s="372">
        <v>0</v>
      </c>
      <c r="K4" s="372">
        <v>0</v>
      </c>
      <c r="L4" s="372">
        <v>0</v>
      </c>
      <c r="M4" s="372">
        <v>0</v>
      </c>
      <c r="N4" s="372">
        <v>0</v>
      </c>
      <c r="O4" s="367">
        <f t="shared" si="0"/>
        <v>0</v>
      </c>
    </row>
    <row r="5" spans="1:32" x14ac:dyDescent="0.3">
      <c r="A5" s="102">
        <v>408006</v>
      </c>
      <c r="B5" s="102" t="s">
        <v>141</v>
      </c>
      <c r="C5" s="103">
        <v>0</v>
      </c>
      <c r="D5" s="103">
        <v>0</v>
      </c>
      <c r="E5" s="103">
        <v>0</v>
      </c>
      <c r="F5" s="103">
        <v>0</v>
      </c>
      <c r="G5" s="103">
        <v>0</v>
      </c>
      <c r="H5" s="372">
        <v>0</v>
      </c>
      <c r="I5" s="372">
        <v>0</v>
      </c>
      <c r="J5" s="372">
        <v>0</v>
      </c>
      <c r="K5" s="372">
        <v>0</v>
      </c>
      <c r="L5" s="372">
        <v>0</v>
      </c>
      <c r="M5" s="372">
        <v>0</v>
      </c>
      <c r="N5" s="372">
        <v>0</v>
      </c>
      <c r="O5" s="367">
        <f t="shared" si="0"/>
        <v>0</v>
      </c>
    </row>
    <row r="6" spans="1:32" x14ac:dyDescent="0.3">
      <c r="A6" s="102" t="s">
        <v>142</v>
      </c>
      <c r="B6" s="102" t="s">
        <v>143</v>
      </c>
      <c r="C6" s="103">
        <v>0</v>
      </c>
      <c r="D6" s="103">
        <v>0</v>
      </c>
      <c r="E6" s="103">
        <v>0</v>
      </c>
      <c r="F6" s="103">
        <v>0</v>
      </c>
      <c r="G6" s="103">
        <v>0</v>
      </c>
      <c r="H6" s="372">
        <v>0</v>
      </c>
      <c r="I6" s="372">
        <v>0</v>
      </c>
      <c r="J6" s="372">
        <v>0</v>
      </c>
      <c r="K6" s="372">
        <v>0</v>
      </c>
      <c r="L6" s="372">
        <v>0</v>
      </c>
      <c r="M6" s="372">
        <v>0</v>
      </c>
      <c r="N6" s="372">
        <v>0</v>
      </c>
      <c r="O6" s="367">
        <f t="shared" si="0"/>
        <v>0</v>
      </c>
    </row>
    <row r="7" spans="1:32" x14ac:dyDescent="0.3">
      <c r="A7" s="363"/>
      <c r="B7" s="364" t="s">
        <v>144</v>
      </c>
      <c r="C7" s="365">
        <f t="shared" ref="C7:O7" si="1">SUM(C2:C6)</f>
        <v>0</v>
      </c>
      <c r="D7" s="365">
        <f t="shared" si="1"/>
        <v>0</v>
      </c>
      <c r="E7" s="365">
        <f t="shared" si="1"/>
        <v>0</v>
      </c>
      <c r="F7" s="365">
        <f t="shared" si="1"/>
        <v>0</v>
      </c>
      <c r="G7" s="365">
        <f t="shared" si="1"/>
        <v>0</v>
      </c>
      <c r="H7" s="379">
        <f t="shared" si="1"/>
        <v>0</v>
      </c>
      <c r="I7" s="379">
        <f t="shared" si="1"/>
        <v>0</v>
      </c>
      <c r="J7" s="379">
        <f t="shared" si="1"/>
        <v>0</v>
      </c>
      <c r="K7" s="379">
        <f t="shared" si="1"/>
        <v>0</v>
      </c>
      <c r="L7" s="379">
        <f t="shared" si="1"/>
        <v>0</v>
      </c>
      <c r="M7" s="379">
        <f t="shared" si="1"/>
        <v>0</v>
      </c>
      <c r="N7" s="379">
        <f t="shared" si="1"/>
        <v>0</v>
      </c>
      <c r="O7" s="366">
        <f t="shared" si="1"/>
        <v>0</v>
      </c>
    </row>
    <row r="8" spans="1:32" x14ac:dyDescent="0.3">
      <c r="A8" s="102" t="s">
        <v>145</v>
      </c>
      <c r="B8" s="102" t="s">
        <v>146</v>
      </c>
      <c r="C8" s="103">
        <v>0</v>
      </c>
      <c r="D8" s="103">
        <v>0</v>
      </c>
      <c r="E8" s="103">
        <v>0</v>
      </c>
      <c r="F8" s="103">
        <v>0</v>
      </c>
      <c r="G8" s="103">
        <v>0</v>
      </c>
      <c r="H8" s="372">
        <v>0</v>
      </c>
      <c r="I8" s="372">
        <v>0</v>
      </c>
      <c r="J8" s="372">
        <v>0</v>
      </c>
      <c r="K8" s="372">
        <v>0</v>
      </c>
      <c r="L8" s="372">
        <v>0</v>
      </c>
      <c r="M8" s="372">
        <v>0</v>
      </c>
      <c r="N8" s="372">
        <v>0</v>
      </c>
      <c r="O8" s="367">
        <f>SUM(C8:N8)</f>
        <v>0</v>
      </c>
    </row>
    <row r="9" spans="1:32" x14ac:dyDescent="0.3">
      <c r="A9" s="102">
        <v>450000</v>
      </c>
      <c r="B9" s="102" t="s">
        <v>147</v>
      </c>
      <c r="C9" s="103">
        <v>0</v>
      </c>
      <c r="D9" s="103">
        <v>0</v>
      </c>
      <c r="E9" s="103">
        <v>0</v>
      </c>
      <c r="F9" s="103">
        <v>0</v>
      </c>
      <c r="G9" s="103">
        <v>0</v>
      </c>
      <c r="H9" s="372">
        <v>0</v>
      </c>
      <c r="I9" s="372">
        <v>0</v>
      </c>
      <c r="J9" s="372">
        <v>0</v>
      </c>
      <c r="K9" s="372">
        <v>0</v>
      </c>
      <c r="L9" s="372">
        <v>0</v>
      </c>
      <c r="M9" s="372">
        <v>0</v>
      </c>
      <c r="N9" s="372">
        <v>0</v>
      </c>
      <c r="O9" s="367">
        <f t="shared" ref="O9:O22" si="2">SUM(C9:N9)</f>
        <v>0</v>
      </c>
    </row>
    <row r="10" spans="1:32" x14ac:dyDescent="0.3">
      <c r="A10" s="102" t="s">
        <v>148</v>
      </c>
      <c r="B10" s="102" t="s">
        <v>149</v>
      </c>
      <c r="C10" s="103">
        <v>0</v>
      </c>
      <c r="D10" s="103">
        <v>0</v>
      </c>
      <c r="E10" s="103">
        <v>0</v>
      </c>
      <c r="F10" s="103">
        <v>0</v>
      </c>
      <c r="G10" s="103">
        <v>0</v>
      </c>
      <c r="H10" s="372">
        <v>0</v>
      </c>
      <c r="I10" s="372">
        <v>0</v>
      </c>
      <c r="J10" s="372">
        <v>0</v>
      </c>
      <c r="K10" s="372">
        <v>0</v>
      </c>
      <c r="L10" s="372">
        <v>0</v>
      </c>
      <c r="M10" s="372">
        <v>0</v>
      </c>
      <c r="N10" s="372">
        <v>0</v>
      </c>
      <c r="O10" s="367">
        <f t="shared" si="2"/>
        <v>0</v>
      </c>
    </row>
    <row r="11" spans="1:32" x14ac:dyDescent="0.3">
      <c r="A11" s="102" t="s">
        <v>150</v>
      </c>
      <c r="B11" s="102" t="s">
        <v>151</v>
      </c>
      <c r="C11" s="103">
        <v>0</v>
      </c>
      <c r="D11" s="103">
        <v>0</v>
      </c>
      <c r="E11" s="103">
        <v>0</v>
      </c>
      <c r="F11" s="103">
        <v>0</v>
      </c>
      <c r="G11" s="103">
        <v>0</v>
      </c>
      <c r="H11" s="372">
        <v>0</v>
      </c>
      <c r="I11" s="372">
        <v>0</v>
      </c>
      <c r="J11" s="372">
        <v>0</v>
      </c>
      <c r="K11" s="372">
        <v>0</v>
      </c>
      <c r="L11" s="372">
        <v>0</v>
      </c>
      <c r="M11" s="372">
        <v>0</v>
      </c>
      <c r="N11" s="372">
        <v>0</v>
      </c>
      <c r="O11" s="367">
        <f t="shared" si="2"/>
        <v>0</v>
      </c>
    </row>
    <row r="12" spans="1:32" x14ac:dyDescent="0.3">
      <c r="A12" s="102" t="s">
        <v>152</v>
      </c>
      <c r="B12" s="102" t="s">
        <v>153</v>
      </c>
      <c r="C12" s="103">
        <v>0</v>
      </c>
      <c r="D12" s="103">
        <v>0</v>
      </c>
      <c r="E12" s="103">
        <v>0</v>
      </c>
      <c r="F12" s="103">
        <v>0</v>
      </c>
      <c r="G12" s="103">
        <v>0</v>
      </c>
      <c r="H12" s="372">
        <v>0</v>
      </c>
      <c r="I12" s="372">
        <v>0</v>
      </c>
      <c r="J12" s="372">
        <v>0</v>
      </c>
      <c r="K12" s="372">
        <v>0</v>
      </c>
      <c r="L12" s="372">
        <v>0</v>
      </c>
      <c r="M12" s="372">
        <v>0</v>
      </c>
      <c r="N12" s="372">
        <v>0</v>
      </c>
      <c r="O12" s="367">
        <f t="shared" si="2"/>
        <v>0</v>
      </c>
    </row>
    <row r="13" spans="1:32" x14ac:dyDescent="0.3">
      <c r="A13" s="102" t="s">
        <v>154</v>
      </c>
      <c r="B13" s="102" t="s">
        <v>155</v>
      </c>
      <c r="C13" s="103">
        <v>0</v>
      </c>
      <c r="D13" s="103">
        <v>0</v>
      </c>
      <c r="E13" s="103">
        <v>0</v>
      </c>
      <c r="F13" s="103">
        <v>0</v>
      </c>
      <c r="G13" s="103">
        <v>0</v>
      </c>
      <c r="H13" s="372">
        <v>0</v>
      </c>
      <c r="I13" s="372">
        <v>0</v>
      </c>
      <c r="J13" s="372">
        <v>0</v>
      </c>
      <c r="K13" s="372">
        <v>0</v>
      </c>
      <c r="L13" s="372">
        <v>0</v>
      </c>
      <c r="M13" s="372">
        <v>0</v>
      </c>
      <c r="N13" s="372">
        <v>0</v>
      </c>
      <c r="O13" s="367">
        <f t="shared" si="2"/>
        <v>0</v>
      </c>
    </row>
    <row r="14" spans="1:32" x14ac:dyDescent="0.3">
      <c r="A14" s="102" t="s">
        <v>156</v>
      </c>
      <c r="B14" s="102" t="s">
        <v>157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372">
        <v>0</v>
      </c>
      <c r="I14" s="372">
        <v>0</v>
      </c>
      <c r="J14" s="372">
        <v>0</v>
      </c>
      <c r="K14" s="372">
        <v>0</v>
      </c>
      <c r="L14" s="372">
        <v>0</v>
      </c>
      <c r="M14" s="372">
        <v>0</v>
      </c>
      <c r="N14" s="372">
        <v>0</v>
      </c>
      <c r="O14" s="367">
        <f t="shared" si="2"/>
        <v>0</v>
      </c>
    </row>
    <row r="15" spans="1:32" s="126" customFormat="1" x14ac:dyDescent="0.3">
      <c r="A15" s="124" t="s">
        <v>158</v>
      </c>
      <c r="B15" s="124" t="s">
        <v>159</v>
      </c>
      <c r="C15" s="125">
        <v>0</v>
      </c>
      <c r="D15" s="125">
        <v>0</v>
      </c>
      <c r="E15" s="125">
        <v>0</v>
      </c>
      <c r="F15" s="125">
        <v>0</v>
      </c>
      <c r="G15" s="125">
        <v>0</v>
      </c>
      <c r="H15" s="384">
        <v>0</v>
      </c>
      <c r="I15" s="384">
        <v>0</v>
      </c>
      <c r="J15" s="384">
        <v>0</v>
      </c>
      <c r="K15" s="384">
        <v>0</v>
      </c>
      <c r="L15" s="384">
        <v>0</v>
      </c>
      <c r="M15" s="384">
        <v>0</v>
      </c>
      <c r="N15" s="384">
        <v>0</v>
      </c>
      <c r="O15" s="367">
        <f t="shared" si="2"/>
        <v>0</v>
      </c>
    </row>
    <row r="16" spans="1:32" x14ac:dyDescent="0.3">
      <c r="A16" s="102" t="s">
        <v>160</v>
      </c>
      <c r="B16" s="102" t="s">
        <v>161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 s="372">
        <v>0</v>
      </c>
      <c r="I16" s="372">
        <v>0</v>
      </c>
      <c r="J16" s="372">
        <v>0</v>
      </c>
      <c r="K16" s="372">
        <v>0</v>
      </c>
      <c r="L16" s="372">
        <v>0</v>
      </c>
      <c r="M16" s="372">
        <v>0</v>
      </c>
      <c r="N16" s="372">
        <v>0</v>
      </c>
      <c r="O16" s="367">
        <f t="shared" si="2"/>
        <v>0</v>
      </c>
    </row>
    <row r="17" spans="1:15" x14ac:dyDescent="0.3">
      <c r="A17" s="102" t="s">
        <v>162</v>
      </c>
      <c r="B17" s="102" t="s">
        <v>163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372">
        <v>0</v>
      </c>
      <c r="I17" s="372">
        <v>0</v>
      </c>
      <c r="J17" s="372">
        <v>0</v>
      </c>
      <c r="K17" s="372">
        <v>0</v>
      </c>
      <c r="L17" s="372">
        <v>0</v>
      </c>
      <c r="M17" s="372">
        <v>0</v>
      </c>
      <c r="N17" s="372">
        <v>0</v>
      </c>
      <c r="O17" s="367">
        <f t="shared" si="2"/>
        <v>0</v>
      </c>
    </row>
    <row r="18" spans="1:15" x14ac:dyDescent="0.3">
      <c r="A18" s="102">
        <v>456000</v>
      </c>
      <c r="B18" s="102" t="s">
        <v>164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372">
        <v>0</v>
      </c>
      <c r="I18" s="372">
        <v>0</v>
      </c>
      <c r="J18" s="372">
        <v>0</v>
      </c>
      <c r="K18" s="372">
        <v>0</v>
      </c>
      <c r="L18" s="372">
        <v>0</v>
      </c>
      <c r="M18" s="372">
        <v>0</v>
      </c>
      <c r="N18" s="372">
        <v>0</v>
      </c>
      <c r="O18" s="367">
        <f t="shared" si="2"/>
        <v>0</v>
      </c>
    </row>
    <row r="19" spans="1:15" s="126" customFormat="1" x14ac:dyDescent="0.3">
      <c r="A19" s="124" t="s">
        <v>165</v>
      </c>
      <c r="B19" s="124" t="s">
        <v>166</v>
      </c>
      <c r="C19" s="125">
        <v>0</v>
      </c>
      <c r="D19" s="125">
        <v>0</v>
      </c>
      <c r="E19" s="125">
        <v>0</v>
      </c>
      <c r="F19" s="125">
        <v>0</v>
      </c>
      <c r="G19" s="125">
        <v>0</v>
      </c>
      <c r="H19" s="384">
        <v>0</v>
      </c>
      <c r="I19" s="384">
        <v>0</v>
      </c>
      <c r="J19" s="384">
        <v>0</v>
      </c>
      <c r="K19" s="384">
        <v>0</v>
      </c>
      <c r="L19" s="384"/>
      <c r="M19" s="384"/>
      <c r="N19" s="384"/>
      <c r="O19" s="367">
        <f t="shared" si="2"/>
        <v>0</v>
      </c>
    </row>
    <row r="20" spans="1:15" x14ac:dyDescent="0.3">
      <c r="A20" s="102" t="s">
        <v>167</v>
      </c>
      <c r="B20" s="102" t="s">
        <v>168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 s="372">
        <v>0</v>
      </c>
      <c r="I20" s="372">
        <v>0</v>
      </c>
      <c r="J20" s="372">
        <v>0</v>
      </c>
      <c r="K20" s="372">
        <v>0</v>
      </c>
      <c r="L20" s="372">
        <v>0</v>
      </c>
      <c r="M20" s="372">
        <v>0</v>
      </c>
      <c r="N20" s="372">
        <v>0</v>
      </c>
      <c r="O20" s="367">
        <f t="shared" si="2"/>
        <v>0</v>
      </c>
    </row>
    <row r="21" spans="1:15" x14ac:dyDescent="0.3">
      <c r="A21" s="107" t="s">
        <v>169</v>
      </c>
      <c r="B21" s="107" t="s">
        <v>170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 s="372">
        <v>0</v>
      </c>
      <c r="I21" s="372">
        <v>0</v>
      </c>
      <c r="J21" s="372">
        <v>0</v>
      </c>
      <c r="K21" s="372">
        <v>0</v>
      </c>
      <c r="L21" s="372">
        <v>0</v>
      </c>
      <c r="M21" s="372">
        <v>0</v>
      </c>
      <c r="N21" s="372">
        <v>0</v>
      </c>
      <c r="O21" s="367">
        <f t="shared" si="2"/>
        <v>0</v>
      </c>
    </row>
    <row r="22" spans="1:15" s="126" customFormat="1" x14ac:dyDescent="0.3">
      <c r="A22" s="127" t="s">
        <v>171</v>
      </c>
      <c r="B22" s="127" t="s">
        <v>172</v>
      </c>
      <c r="C22" s="125">
        <v>0</v>
      </c>
      <c r="D22" s="125">
        <v>0</v>
      </c>
      <c r="E22" s="125">
        <v>0</v>
      </c>
      <c r="F22" s="125">
        <v>0</v>
      </c>
      <c r="G22" s="125">
        <v>0</v>
      </c>
      <c r="H22" s="384">
        <v>0</v>
      </c>
      <c r="I22" s="384">
        <v>0</v>
      </c>
      <c r="J22" s="384">
        <v>0</v>
      </c>
      <c r="K22" s="384">
        <v>0</v>
      </c>
      <c r="L22" s="384">
        <v>0</v>
      </c>
      <c r="M22" s="384">
        <v>0</v>
      </c>
      <c r="N22" s="384">
        <v>0</v>
      </c>
      <c r="O22" s="367">
        <f t="shared" si="2"/>
        <v>0</v>
      </c>
    </row>
    <row r="23" spans="1:15" x14ac:dyDescent="0.3">
      <c r="A23" s="108"/>
      <c r="B23" s="109" t="s">
        <v>173</v>
      </c>
      <c r="C23" s="121">
        <f t="shared" ref="C23:O23" si="3">SUM(C8:C22)</f>
        <v>0</v>
      </c>
      <c r="D23" s="121">
        <f t="shared" si="3"/>
        <v>0</v>
      </c>
      <c r="E23" s="121">
        <f t="shared" si="3"/>
        <v>0</v>
      </c>
      <c r="F23" s="121">
        <f t="shared" si="3"/>
        <v>0</v>
      </c>
      <c r="G23" s="121">
        <f t="shared" si="3"/>
        <v>0</v>
      </c>
      <c r="H23" s="385">
        <f t="shared" si="3"/>
        <v>0</v>
      </c>
      <c r="I23" s="385">
        <f t="shared" si="3"/>
        <v>0</v>
      </c>
      <c r="J23" s="385">
        <f t="shared" si="3"/>
        <v>0</v>
      </c>
      <c r="K23" s="385">
        <f t="shared" si="3"/>
        <v>0</v>
      </c>
      <c r="L23" s="385">
        <f t="shared" si="3"/>
        <v>0</v>
      </c>
      <c r="M23" s="385">
        <f t="shared" si="3"/>
        <v>0</v>
      </c>
      <c r="N23" s="385">
        <f t="shared" si="3"/>
        <v>0</v>
      </c>
      <c r="O23" s="118">
        <f t="shared" si="3"/>
        <v>0</v>
      </c>
    </row>
    <row r="24" spans="1:15" x14ac:dyDescent="0.3">
      <c r="A24" s="104"/>
      <c r="B24" s="105" t="s">
        <v>174</v>
      </c>
      <c r="C24" s="122">
        <f t="shared" ref="C24:O24" si="4">C23+C7</f>
        <v>0</v>
      </c>
      <c r="D24" s="122">
        <f t="shared" si="4"/>
        <v>0</v>
      </c>
      <c r="E24" s="122">
        <f t="shared" si="4"/>
        <v>0</v>
      </c>
      <c r="F24" s="122">
        <f t="shared" si="4"/>
        <v>0</v>
      </c>
      <c r="G24" s="122">
        <f t="shared" si="4"/>
        <v>0</v>
      </c>
      <c r="H24" s="386">
        <f t="shared" si="4"/>
        <v>0</v>
      </c>
      <c r="I24" s="386">
        <f t="shared" si="4"/>
        <v>0</v>
      </c>
      <c r="J24" s="386">
        <f t="shared" si="4"/>
        <v>0</v>
      </c>
      <c r="K24" s="386">
        <f t="shared" si="4"/>
        <v>0</v>
      </c>
      <c r="L24" s="386">
        <f t="shared" si="4"/>
        <v>0</v>
      </c>
      <c r="M24" s="386">
        <f t="shared" si="4"/>
        <v>0</v>
      </c>
      <c r="N24" s="386">
        <f t="shared" si="4"/>
        <v>0</v>
      </c>
      <c r="O24" s="145">
        <f t="shared" si="4"/>
        <v>0</v>
      </c>
    </row>
    <row r="25" spans="1:15" x14ac:dyDescent="0.3">
      <c r="A25" s="102">
        <v>522000</v>
      </c>
      <c r="B25" s="102" t="s">
        <v>175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 s="372">
        <v>0</v>
      </c>
      <c r="I25" s="372">
        <v>0</v>
      </c>
      <c r="J25" s="372">
        <v>0</v>
      </c>
      <c r="K25" s="372">
        <v>0</v>
      </c>
      <c r="L25" s="372">
        <v>0</v>
      </c>
      <c r="M25" s="372">
        <v>0</v>
      </c>
      <c r="N25" s="372">
        <v>0</v>
      </c>
      <c r="O25" s="367">
        <f>SUM(C25:N25)</f>
        <v>0</v>
      </c>
    </row>
    <row r="26" spans="1:15" x14ac:dyDescent="0.3">
      <c r="A26" s="102" t="s">
        <v>176</v>
      </c>
      <c r="B26" s="102" t="s">
        <v>177</v>
      </c>
      <c r="C26" s="125">
        <v>0</v>
      </c>
      <c r="D26" s="125">
        <v>0</v>
      </c>
      <c r="E26" s="125">
        <v>0</v>
      </c>
      <c r="F26" s="125">
        <v>0</v>
      </c>
      <c r="G26" s="125">
        <v>0</v>
      </c>
      <c r="H26" s="384">
        <v>0</v>
      </c>
      <c r="I26" s="384">
        <v>0</v>
      </c>
      <c r="J26" s="384">
        <v>0</v>
      </c>
      <c r="K26" s="384">
        <v>0</v>
      </c>
      <c r="L26" s="384">
        <v>0</v>
      </c>
      <c r="M26" s="384">
        <v>0</v>
      </c>
      <c r="N26" s="384">
        <v>0</v>
      </c>
      <c r="O26" s="367">
        <f>SUM(C26:N26)</f>
        <v>0</v>
      </c>
    </row>
    <row r="27" spans="1:15" x14ac:dyDescent="0.3">
      <c r="A27" s="102" t="s">
        <v>178</v>
      </c>
      <c r="B27" s="102" t="s">
        <v>179</v>
      </c>
      <c r="C27" s="113">
        <v>0</v>
      </c>
      <c r="D27" s="113">
        <v>0</v>
      </c>
      <c r="E27" s="113">
        <v>0</v>
      </c>
      <c r="F27" s="113">
        <v>0</v>
      </c>
      <c r="G27" s="113">
        <v>0</v>
      </c>
      <c r="H27" s="387">
        <v>0</v>
      </c>
      <c r="I27" s="387">
        <v>0</v>
      </c>
      <c r="J27" s="387">
        <v>0</v>
      </c>
      <c r="K27" s="387">
        <v>0</v>
      </c>
      <c r="L27" s="387">
        <v>0</v>
      </c>
      <c r="M27" s="387">
        <v>0</v>
      </c>
      <c r="N27" s="387">
        <v>0</v>
      </c>
      <c r="O27" s="367">
        <f>SUM(C27:N27)</f>
        <v>0</v>
      </c>
    </row>
    <row r="28" spans="1:15" x14ac:dyDescent="0.3">
      <c r="A28" s="107" t="s">
        <v>180</v>
      </c>
      <c r="B28" s="107" t="s">
        <v>181</v>
      </c>
      <c r="C28" s="113">
        <v>0</v>
      </c>
      <c r="D28" s="113">
        <v>0</v>
      </c>
      <c r="E28" s="113">
        <v>0</v>
      </c>
      <c r="F28" s="113">
        <v>0</v>
      </c>
      <c r="G28" s="113">
        <v>0</v>
      </c>
      <c r="H28" s="387">
        <v>0</v>
      </c>
      <c r="I28" s="387">
        <v>0</v>
      </c>
      <c r="J28" s="387">
        <v>0</v>
      </c>
      <c r="K28" s="387">
        <v>0</v>
      </c>
      <c r="L28" s="387">
        <v>0</v>
      </c>
      <c r="M28" s="387">
        <v>0</v>
      </c>
      <c r="N28" s="387">
        <v>0</v>
      </c>
      <c r="O28" s="367">
        <f>SUM(C28:N28)</f>
        <v>0</v>
      </c>
    </row>
    <row r="29" spans="1:15" x14ac:dyDescent="0.3">
      <c r="A29" s="108"/>
      <c r="B29" s="109" t="s">
        <v>182</v>
      </c>
      <c r="C29" s="369">
        <f t="shared" ref="C29:N29" si="5">SUM(C25:C28)</f>
        <v>0</v>
      </c>
      <c r="D29" s="369">
        <f t="shared" si="5"/>
        <v>0</v>
      </c>
      <c r="E29" s="369">
        <f t="shared" si="5"/>
        <v>0</v>
      </c>
      <c r="F29" s="369">
        <f t="shared" si="5"/>
        <v>0</v>
      </c>
      <c r="G29" s="369">
        <f t="shared" si="5"/>
        <v>0</v>
      </c>
      <c r="H29" s="390">
        <f t="shared" si="5"/>
        <v>0</v>
      </c>
      <c r="I29" s="390">
        <f t="shared" si="5"/>
        <v>0</v>
      </c>
      <c r="J29" s="390">
        <f t="shared" si="5"/>
        <v>0</v>
      </c>
      <c r="K29" s="388">
        <f>SUM(K25:K28)</f>
        <v>0</v>
      </c>
      <c r="L29" s="390">
        <f t="shared" si="5"/>
        <v>0</v>
      </c>
      <c r="M29" s="390">
        <f t="shared" si="5"/>
        <v>0</v>
      </c>
      <c r="N29" s="390">
        <f t="shared" si="5"/>
        <v>0</v>
      </c>
      <c r="O29" s="396">
        <f>SUM(O25:O28)</f>
        <v>0</v>
      </c>
    </row>
    <row r="30" spans="1:15" x14ac:dyDescent="0.3">
      <c r="A30" s="102">
        <v>561000</v>
      </c>
      <c r="B30" s="102" t="s">
        <v>183</v>
      </c>
      <c r="C30" s="103">
        <v>0</v>
      </c>
      <c r="D30" s="103"/>
      <c r="E30" s="103">
        <v>0</v>
      </c>
      <c r="F30" s="103">
        <v>0</v>
      </c>
      <c r="G30" s="103">
        <v>0</v>
      </c>
      <c r="H30" s="372">
        <v>0</v>
      </c>
      <c r="I30" s="372">
        <v>0</v>
      </c>
      <c r="J30" s="372">
        <v>0</v>
      </c>
      <c r="K30" s="372">
        <v>0</v>
      </c>
      <c r="L30" s="372">
        <v>0</v>
      </c>
      <c r="M30" s="372">
        <v>0</v>
      </c>
      <c r="N30" s="372">
        <v>0</v>
      </c>
      <c r="O30" s="367">
        <f>SUM(C30:N30)</f>
        <v>0</v>
      </c>
    </row>
    <row r="31" spans="1:15" x14ac:dyDescent="0.3">
      <c r="A31" s="102" t="s">
        <v>184</v>
      </c>
      <c r="B31" s="102" t="s">
        <v>185</v>
      </c>
      <c r="C31" s="112">
        <v>0</v>
      </c>
      <c r="D31" s="112">
        <v>0</v>
      </c>
      <c r="E31" s="112">
        <v>0</v>
      </c>
      <c r="F31" s="112">
        <v>0</v>
      </c>
      <c r="G31" s="112">
        <v>0</v>
      </c>
      <c r="H31" s="389">
        <v>0</v>
      </c>
      <c r="I31" s="389">
        <v>0</v>
      </c>
      <c r="J31" s="389">
        <v>0</v>
      </c>
      <c r="K31" s="389">
        <v>0</v>
      </c>
      <c r="L31" s="389">
        <v>0</v>
      </c>
      <c r="M31" s="389">
        <v>0</v>
      </c>
      <c r="N31" s="389">
        <v>0</v>
      </c>
      <c r="O31" s="367">
        <f t="shared" ref="O31:O51" si="6">SUM(C31:N31)</f>
        <v>0</v>
      </c>
    </row>
    <row r="32" spans="1:15" x14ac:dyDescent="0.3">
      <c r="A32" s="102" t="s">
        <v>186</v>
      </c>
      <c r="B32" s="102" t="s">
        <v>187</v>
      </c>
      <c r="C32" s="103">
        <v>0</v>
      </c>
      <c r="D32" s="103">
        <v>0</v>
      </c>
      <c r="E32" s="103">
        <v>0</v>
      </c>
      <c r="F32" s="103">
        <v>0</v>
      </c>
      <c r="G32" s="103">
        <v>0</v>
      </c>
      <c r="H32" s="372">
        <v>0</v>
      </c>
      <c r="I32" s="372">
        <v>0</v>
      </c>
      <c r="J32" s="372">
        <v>0</v>
      </c>
      <c r="K32" s="372">
        <v>0</v>
      </c>
      <c r="L32" s="372">
        <v>0</v>
      </c>
      <c r="M32" s="372">
        <v>0</v>
      </c>
      <c r="N32" s="372">
        <v>0</v>
      </c>
      <c r="O32" s="367">
        <f t="shared" si="6"/>
        <v>0</v>
      </c>
    </row>
    <row r="33" spans="1:15" x14ac:dyDescent="0.3">
      <c r="A33" s="102" t="s">
        <v>188</v>
      </c>
      <c r="B33" s="102" t="s">
        <v>189</v>
      </c>
      <c r="C33" s="103">
        <v>0</v>
      </c>
      <c r="D33" s="103">
        <v>0</v>
      </c>
      <c r="E33" s="103">
        <v>0</v>
      </c>
      <c r="F33" s="103">
        <v>0</v>
      </c>
      <c r="G33" s="103">
        <v>0</v>
      </c>
      <c r="H33" s="372">
        <v>0</v>
      </c>
      <c r="I33" s="372">
        <v>0</v>
      </c>
      <c r="J33" s="372">
        <v>0</v>
      </c>
      <c r="K33" s="372">
        <v>0</v>
      </c>
      <c r="L33" s="372">
        <v>0</v>
      </c>
      <c r="M33" s="372">
        <v>0</v>
      </c>
      <c r="N33" s="372">
        <v>0</v>
      </c>
      <c r="O33" s="367">
        <f t="shared" si="6"/>
        <v>0</v>
      </c>
    </row>
    <row r="34" spans="1:15" x14ac:dyDescent="0.3">
      <c r="A34" s="102" t="s">
        <v>190</v>
      </c>
      <c r="B34" s="102" t="s">
        <v>191</v>
      </c>
      <c r="C34" s="103">
        <v>0</v>
      </c>
      <c r="D34" s="103">
        <v>0</v>
      </c>
      <c r="E34" s="103">
        <v>0</v>
      </c>
      <c r="F34" s="103">
        <v>0</v>
      </c>
      <c r="G34" s="103">
        <v>0</v>
      </c>
      <c r="H34" s="372">
        <v>0</v>
      </c>
      <c r="I34" s="372">
        <v>0</v>
      </c>
      <c r="J34" s="372">
        <v>0</v>
      </c>
      <c r="K34" s="372">
        <v>0</v>
      </c>
      <c r="L34" s="372">
        <v>0</v>
      </c>
      <c r="M34" s="372">
        <v>0</v>
      </c>
      <c r="N34" s="372">
        <v>0</v>
      </c>
      <c r="O34" s="367">
        <f t="shared" si="6"/>
        <v>0</v>
      </c>
    </row>
    <row r="35" spans="1:15" x14ac:dyDescent="0.3">
      <c r="A35" s="102" t="s">
        <v>192</v>
      </c>
      <c r="B35" s="102" t="s">
        <v>193</v>
      </c>
      <c r="C35" s="103">
        <v>0</v>
      </c>
      <c r="D35" s="103">
        <v>0</v>
      </c>
      <c r="E35" s="103">
        <v>0</v>
      </c>
      <c r="F35" s="103">
        <v>0</v>
      </c>
      <c r="G35" s="103">
        <v>0</v>
      </c>
      <c r="H35" s="372">
        <v>0</v>
      </c>
      <c r="I35" s="372">
        <v>0</v>
      </c>
      <c r="J35" s="372">
        <v>0</v>
      </c>
      <c r="K35" s="372">
        <v>0</v>
      </c>
      <c r="L35" s="372">
        <v>0</v>
      </c>
      <c r="M35" s="372">
        <v>0</v>
      </c>
      <c r="N35" s="372">
        <v>0</v>
      </c>
      <c r="O35" s="367">
        <f t="shared" si="6"/>
        <v>0</v>
      </c>
    </row>
    <row r="36" spans="1:15" x14ac:dyDescent="0.3">
      <c r="A36" s="102" t="s">
        <v>194</v>
      </c>
      <c r="B36" s="102" t="s">
        <v>195</v>
      </c>
      <c r="C36" s="103">
        <v>0</v>
      </c>
      <c r="D36" s="103">
        <v>0</v>
      </c>
      <c r="E36" s="103">
        <v>0</v>
      </c>
      <c r="F36" s="103">
        <v>0</v>
      </c>
      <c r="G36" s="103">
        <v>0</v>
      </c>
      <c r="H36" s="372">
        <v>0</v>
      </c>
      <c r="I36" s="372">
        <v>0</v>
      </c>
      <c r="J36" s="372">
        <v>0</v>
      </c>
      <c r="K36" s="372">
        <v>0</v>
      </c>
      <c r="L36" s="372">
        <v>0</v>
      </c>
      <c r="M36" s="372">
        <v>0</v>
      </c>
      <c r="N36" s="372">
        <v>0</v>
      </c>
      <c r="O36" s="367">
        <f t="shared" si="6"/>
        <v>0</v>
      </c>
    </row>
    <row r="37" spans="1:15" x14ac:dyDescent="0.3">
      <c r="A37" s="102" t="s">
        <v>196</v>
      </c>
      <c r="B37" s="102" t="s">
        <v>380</v>
      </c>
      <c r="C37" s="113">
        <v>0</v>
      </c>
      <c r="D37" s="113">
        <v>0</v>
      </c>
      <c r="E37" s="113">
        <v>0</v>
      </c>
      <c r="F37" s="113">
        <v>0</v>
      </c>
      <c r="G37" s="113">
        <v>0</v>
      </c>
      <c r="H37" s="387">
        <v>0</v>
      </c>
      <c r="I37" s="387">
        <v>0</v>
      </c>
      <c r="J37" s="387">
        <v>0</v>
      </c>
      <c r="K37" s="387">
        <v>0</v>
      </c>
      <c r="L37" s="387">
        <v>0</v>
      </c>
      <c r="M37" s="387">
        <v>0</v>
      </c>
      <c r="N37" s="387">
        <v>0</v>
      </c>
      <c r="O37" s="367">
        <f t="shared" si="6"/>
        <v>0</v>
      </c>
    </row>
    <row r="38" spans="1:15" x14ac:dyDescent="0.3">
      <c r="A38" s="102" t="s">
        <v>197</v>
      </c>
      <c r="B38" s="102" t="s">
        <v>198</v>
      </c>
      <c r="C38" s="113">
        <v>0</v>
      </c>
      <c r="D38" s="113">
        <v>0</v>
      </c>
      <c r="E38" s="113">
        <v>0</v>
      </c>
      <c r="F38" s="113">
        <v>0</v>
      </c>
      <c r="G38" s="113">
        <v>0</v>
      </c>
      <c r="H38" s="387">
        <v>0</v>
      </c>
      <c r="I38" s="387">
        <v>0</v>
      </c>
      <c r="J38" s="387">
        <v>0</v>
      </c>
      <c r="K38" s="387">
        <v>0</v>
      </c>
      <c r="L38" s="387">
        <v>0</v>
      </c>
      <c r="M38" s="387">
        <v>0</v>
      </c>
      <c r="N38" s="387">
        <v>0</v>
      </c>
      <c r="O38" s="367">
        <f t="shared" si="6"/>
        <v>0</v>
      </c>
    </row>
    <row r="39" spans="1:15" x14ac:dyDescent="0.3">
      <c r="A39" s="102">
        <v>577200</v>
      </c>
      <c r="B39" s="102" t="s">
        <v>199</v>
      </c>
      <c r="C39" s="103">
        <v>0</v>
      </c>
      <c r="D39" s="103">
        <v>0</v>
      </c>
      <c r="E39" s="103">
        <v>0</v>
      </c>
      <c r="F39" s="103">
        <v>0</v>
      </c>
      <c r="G39" s="103">
        <v>0</v>
      </c>
      <c r="H39" s="372">
        <v>0</v>
      </c>
      <c r="I39" s="372">
        <v>0</v>
      </c>
      <c r="J39" s="372">
        <v>0</v>
      </c>
      <c r="K39" s="372">
        <v>0</v>
      </c>
      <c r="L39" s="372">
        <v>0</v>
      </c>
      <c r="M39" s="372">
        <v>0</v>
      </c>
      <c r="N39" s="372">
        <v>0</v>
      </c>
      <c r="O39" s="367">
        <f t="shared" si="6"/>
        <v>0</v>
      </c>
    </row>
    <row r="40" spans="1:15" x14ac:dyDescent="0.3">
      <c r="A40" s="102" t="s">
        <v>200</v>
      </c>
      <c r="B40" s="102" t="s">
        <v>201</v>
      </c>
      <c r="C40" s="113">
        <v>0</v>
      </c>
      <c r="D40" s="113">
        <v>0</v>
      </c>
      <c r="E40" s="113">
        <v>0</v>
      </c>
      <c r="F40" s="113">
        <v>0</v>
      </c>
      <c r="G40" s="113">
        <v>0</v>
      </c>
      <c r="H40" s="387">
        <v>0</v>
      </c>
      <c r="I40" s="387">
        <v>0</v>
      </c>
      <c r="J40" s="387">
        <v>0</v>
      </c>
      <c r="K40" s="387">
        <v>0</v>
      </c>
      <c r="L40" s="387">
        <v>0</v>
      </c>
      <c r="M40" s="387">
        <v>0</v>
      </c>
      <c r="N40" s="387">
        <v>0</v>
      </c>
      <c r="O40" s="367">
        <f t="shared" si="6"/>
        <v>0</v>
      </c>
    </row>
    <row r="41" spans="1:15" x14ac:dyDescent="0.3">
      <c r="A41" s="102" t="s">
        <v>202</v>
      </c>
      <c r="B41" s="102" t="s">
        <v>203</v>
      </c>
      <c r="C41" s="113">
        <v>0</v>
      </c>
      <c r="D41" s="113">
        <v>0</v>
      </c>
      <c r="E41" s="113">
        <v>0</v>
      </c>
      <c r="F41" s="113">
        <v>0</v>
      </c>
      <c r="G41" s="113">
        <v>0</v>
      </c>
      <c r="H41" s="387">
        <v>0</v>
      </c>
      <c r="I41" s="387">
        <v>0</v>
      </c>
      <c r="J41" s="387">
        <v>0</v>
      </c>
      <c r="K41" s="387">
        <v>0</v>
      </c>
      <c r="L41" s="387">
        <v>0</v>
      </c>
      <c r="M41" s="387">
        <v>0</v>
      </c>
      <c r="N41" s="387">
        <v>0</v>
      </c>
      <c r="O41" s="367">
        <f t="shared" si="6"/>
        <v>0</v>
      </c>
    </row>
    <row r="42" spans="1:15" x14ac:dyDescent="0.3">
      <c r="A42" s="102" t="s">
        <v>204</v>
      </c>
      <c r="B42" s="102" t="s">
        <v>205</v>
      </c>
      <c r="C42" s="103">
        <v>0</v>
      </c>
      <c r="D42" s="103">
        <v>0</v>
      </c>
      <c r="E42" s="103">
        <v>0</v>
      </c>
      <c r="F42" s="103">
        <v>0</v>
      </c>
      <c r="G42" s="103">
        <v>0</v>
      </c>
      <c r="H42" s="372">
        <v>0</v>
      </c>
      <c r="I42" s="372">
        <v>0</v>
      </c>
      <c r="J42" s="372">
        <v>0</v>
      </c>
      <c r="K42" s="372">
        <v>0</v>
      </c>
      <c r="L42" s="372">
        <v>0</v>
      </c>
      <c r="M42" s="372">
        <v>0</v>
      </c>
      <c r="N42" s="372">
        <v>0</v>
      </c>
      <c r="O42" s="367">
        <f t="shared" si="6"/>
        <v>0</v>
      </c>
    </row>
    <row r="43" spans="1:15" x14ac:dyDescent="0.3">
      <c r="A43" s="102" t="s">
        <v>206</v>
      </c>
      <c r="B43" s="102" t="s">
        <v>207</v>
      </c>
      <c r="C43" s="103">
        <v>0</v>
      </c>
      <c r="D43" s="103">
        <v>0</v>
      </c>
      <c r="E43" s="103">
        <v>0</v>
      </c>
      <c r="F43" s="103">
        <v>0</v>
      </c>
      <c r="G43" s="103">
        <v>0</v>
      </c>
      <c r="H43" s="372">
        <v>0</v>
      </c>
      <c r="I43" s="372">
        <v>0</v>
      </c>
      <c r="J43" s="372">
        <v>0</v>
      </c>
      <c r="K43" s="372">
        <v>0</v>
      </c>
      <c r="L43" s="372">
        <v>0</v>
      </c>
      <c r="M43" s="372">
        <v>0</v>
      </c>
      <c r="N43" s="372">
        <v>0</v>
      </c>
      <c r="O43" s="367">
        <f t="shared" si="6"/>
        <v>0</v>
      </c>
    </row>
    <row r="44" spans="1:15" x14ac:dyDescent="0.3">
      <c r="A44" s="102" t="s">
        <v>208</v>
      </c>
      <c r="B44" s="102" t="s">
        <v>209</v>
      </c>
      <c r="C44" s="113">
        <v>0</v>
      </c>
      <c r="D44" s="113">
        <v>0</v>
      </c>
      <c r="E44" s="113">
        <v>0</v>
      </c>
      <c r="F44" s="113">
        <v>0</v>
      </c>
      <c r="G44" s="113">
        <v>0</v>
      </c>
      <c r="H44" s="387">
        <v>0</v>
      </c>
      <c r="I44" s="387">
        <v>0</v>
      </c>
      <c r="J44" s="387">
        <v>0</v>
      </c>
      <c r="K44" s="387">
        <v>0</v>
      </c>
      <c r="L44" s="387">
        <v>0</v>
      </c>
      <c r="M44" s="387">
        <v>0</v>
      </c>
      <c r="N44" s="387">
        <v>0</v>
      </c>
      <c r="O44" s="367">
        <f t="shared" si="6"/>
        <v>0</v>
      </c>
    </row>
    <row r="45" spans="1:15" x14ac:dyDescent="0.3">
      <c r="A45" s="102" t="s">
        <v>210</v>
      </c>
      <c r="B45" s="102" t="s">
        <v>211</v>
      </c>
      <c r="C45" s="113">
        <v>0</v>
      </c>
      <c r="D45" s="113">
        <v>0</v>
      </c>
      <c r="E45" s="113">
        <v>0</v>
      </c>
      <c r="F45" s="113">
        <v>0</v>
      </c>
      <c r="G45" s="113">
        <v>0</v>
      </c>
      <c r="H45" s="387">
        <v>0</v>
      </c>
      <c r="I45" s="387">
        <v>0</v>
      </c>
      <c r="J45" s="387">
        <v>0</v>
      </c>
      <c r="K45" s="387">
        <v>0</v>
      </c>
      <c r="L45" s="387">
        <v>0</v>
      </c>
      <c r="M45" s="387">
        <v>0</v>
      </c>
      <c r="N45" s="387">
        <v>0</v>
      </c>
      <c r="O45" s="367">
        <f t="shared" si="6"/>
        <v>0</v>
      </c>
    </row>
    <row r="46" spans="1:15" x14ac:dyDescent="0.3">
      <c r="A46" s="102" t="s">
        <v>212</v>
      </c>
      <c r="B46" s="102" t="s">
        <v>213</v>
      </c>
      <c r="C46" s="113">
        <v>0</v>
      </c>
      <c r="D46" s="113">
        <v>0</v>
      </c>
      <c r="E46" s="113">
        <v>0</v>
      </c>
      <c r="F46" s="113">
        <v>0</v>
      </c>
      <c r="G46" s="113">
        <v>0</v>
      </c>
      <c r="H46" s="387">
        <v>0</v>
      </c>
      <c r="I46" s="387">
        <v>0</v>
      </c>
      <c r="J46" s="387">
        <v>0</v>
      </c>
      <c r="K46" s="387" t="s">
        <v>0</v>
      </c>
      <c r="L46" s="387">
        <v>0</v>
      </c>
      <c r="M46" s="387">
        <v>0</v>
      </c>
      <c r="N46" s="387">
        <v>0</v>
      </c>
      <c r="O46" s="367">
        <f t="shared" si="6"/>
        <v>0</v>
      </c>
    </row>
    <row r="47" spans="1:15" x14ac:dyDescent="0.3">
      <c r="A47" s="102" t="s">
        <v>214</v>
      </c>
      <c r="B47" s="102" t="s">
        <v>215</v>
      </c>
      <c r="C47" s="113">
        <v>0</v>
      </c>
      <c r="D47" s="113">
        <v>0</v>
      </c>
      <c r="E47" s="113">
        <v>0</v>
      </c>
      <c r="F47" s="113">
        <v>0</v>
      </c>
      <c r="G47" s="113">
        <v>0</v>
      </c>
      <c r="H47" s="387">
        <v>0</v>
      </c>
      <c r="I47" s="387">
        <v>0</v>
      </c>
      <c r="J47" s="387">
        <v>0</v>
      </c>
      <c r="K47" s="387">
        <v>0</v>
      </c>
      <c r="L47" s="387">
        <v>0</v>
      </c>
      <c r="M47" s="387">
        <v>0</v>
      </c>
      <c r="N47" s="387">
        <v>0</v>
      </c>
      <c r="O47" s="367">
        <f t="shared" si="6"/>
        <v>0</v>
      </c>
    </row>
    <row r="48" spans="1:15" x14ac:dyDescent="0.3">
      <c r="A48" s="102" t="s">
        <v>216</v>
      </c>
      <c r="B48" s="102" t="s">
        <v>217</v>
      </c>
      <c r="C48" s="113">
        <v>0</v>
      </c>
      <c r="D48" s="113">
        <v>0</v>
      </c>
      <c r="E48" s="113">
        <v>0</v>
      </c>
      <c r="F48" s="113">
        <v>0</v>
      </c>
      <c r="G48" s="113">
        <v>0</v>
      </c>
      <c r="H48" s="387">
        <v>0</v>
      </c>
      <c r="I48" s="387">
        <v>0</v>
      </c>
      <c r="J48" s="387">
        <v>0</v>
      </c>
      <c r="K48" s="382"/>
      <c r="L48" s="387">
        <v>0</v>
      </c>
      <c r="M48" s="387">
        <v>0</v>
      </c>
      <c r="N48" s="387">
        <v>0</v>
      </c>
      <c r="O48" s="367">
        <f t="shared" si="6"/>
        <v>0</v>
      </c>
    </row>
    <row r="49" spans="1:15" x14ac:dyDescent="0.3">
      <c r="A49" s="102" t="s">
        <v>218</v>
      </c>
      <c r="B49" s="102" t="s">
        <v>219</v>
      </c>
      <c r="C49" s="113">
        <v>0</v>
      </c>
      <c r="D49" s="113">
        <v>0</v>
      </c>
      <c r="E49" s="113">
        <v>0</v>
      </c>
      <c r="F49" s="113">
        <v>0</v>
      </c>
      <c r="G49" s="113">
        <v>0</v>
      </c>
      <c r="H49" s="387">
        <v>0</v>
      </c>
      <c r="I49" s="387">
        <v>0</v>
      </c>
      <c r="J49" s="387">
        <v>0</v>
      </c>
      <c r="K49" s="387">
        <v>0</v>
      </c>
      <c r="L49" s="387">
        <v>0</v>
      </c>
      <c r="M49" s="387">
        <v>0</v>
      </c>
      <c r="N49" s="387">
        <v>0</v>
      </c>
      <c r="O49" s="367">
        <f t="shared" si="6"/>
        <v>0</v>
      </c>
    </row>
    <row r="50" spans="1:15" x14ac:dyDescent="0.3">
      <c r="A50" s="102" t="s">
        <v>220</v>
      </c>
      <c r="B50" s="102" t="s">
        <v>221</v>
      </c>
      <c r="C50" s="113">
        <v>0</v>
      </c>
      <c r="D50" s="113">
        <v>0</v>
      </c>
      <c r="E50" s="113">
        <v>0</v>
      </c>
      <c r="F50" s="113">
        <v>0</v>
      </c>
      <c r="G50" s="113">
        <v>0</v>
      </c>
      <c r="H50" s="387">
        <v>0</v>
      </c>
      <c r="I50" s="387">
        <v>0</v>
      </c>
      <c r="J50" s="387">
        <v>0</v>
      </c>
      <c r="K50" s="387">
        <v>0</v>
      </c>
      <c r="L50" s="387">
        <v>0</v>
      </c>
      <c r="M50" s="387">
        <v>0</v>
      </c>
      <c r="N50" s="387">
        <v>0</v>
      </c>
      <c r="O50" s="367">
        <f t="shared" si="6"/>
        <v>0</v>
      </c>
    </row>
    <row r="51" spans="1:15" x14ac:dyDescent="0.3">
      <c r="A51" s="107" t="s">
        <v>222</v>
      </c>
      <c r="B51" s="107" t="s">
        <v>223</v>
      </c>
      <c r="C51" s="103">
        <v>0</v>
      </c>
      <c r="D51" s="103">
        <v>0</v>
      </c>
      <c r="E51" s="103">
        <v>0</v>
      </c>
      <c r="F51" s="103">
        <v>0</v>
      </c>
      <c r="G51" s="103">
        <v>0</v>
      </c>
      <c r="H51" s="372">
        <v>0</v>
      </c>
      <c r="I51" s="372">
        <v>0</v>
      </c>
      <c r="J51" s="372">
        <v>0</v>
      </c>
      <c r="K51" s="372">
        <v>0</v>
      </c>
      <c r="L51" s="372">
        <v>0</v>
      </c>
      <c r="M51" s="372">
        <v>0</v>
      </c>
      <c r="N51" s="372">
        <v>0</v>
      </c>
      <c r="O51" s="367">
        <f t="shared" si="6"/>
        <v>0</v>
      </c>
    </row>
    <row r="52" spans="1:15" x14ac:dyDescent="0.3">
      <c r="A52" s="108"/>
      <c r="B52" s="109" t="s">
        <v>224</v>
      </c>
      <c r="C52" s="369">
        <f>SUM(C30:C51)</f>
        <v>0</v>
      </c>
      <c r="D52" s="369">
        <f t="shared" ref="D52:N52" si="7">SUM(D30:D51)</f>
        <v>0</v>
      </c>
      <c r="E52" s="369">
        <f t="shared" si="7"/>
        <v>0</v>
      </c>
      <c r="F52" s="369">
        <f t="shared" si="7"/>
        <v>0</v>
      </c>
      <c r="G52" s="369">
        <f t="shared" si="7"/>
        <v>0</v>
      </c>
      <c r="H52" s="390">
        <f t="shared" si="7"/>
        <v>0</v>
      </c>
      <c r="I52" s="390">
        <f t="shared" si="7"/>
        <v>0</v>
      </c>
      <c r="J52" s="390">
        <f t="shared" si="7"/>
        <v>0</v>
      </c>
      <c r="K52" s="390">
        <f t="shared" si="7"/>
        <v>0</v>
      </c>
      <c r="L52" s="390">
        <f t="shared" si="7"/>
        <v>0</v>
      </c>
      <c r="M52" s="390">
        <f t="shared" si="7"/>
        <v>0</v>
      </c>
      <c r="N52" s="390">
        <f t="shared" si="7"/>
        <v>0</v>
      </c>
      <c r="O52" s="396">
        <f t="shared" ref="O52" si="8">SUM(E52:N52)</f>
        <v>0</v>
      </c>
    </row>
    <row r="53" spans="1:15" x14ac:dyDescent="0.3">
      <c r="A53" s="114"/>
      <c r="B53" s="105" t="s">
        <v>225</v>
      </c>
      <c r="C53" s="415">
        <f t="shared" ref="C53:O53" si="9">C52+C29</f>
        <v>0</v>
      </c>
      <c r="D53" s="369">
        <f t="shared" si="9"/>
        <v>0</v>
      </c>
      <c r="E53" s="369">
        <f t="shared" si="9"/>
        <v>0</v>
      </c>
      <c r="F53" s="369">
        <f t="shared" si="9"/>
        <v>0</v>
      </c>
      <c r="G53" s="369">
        <f t="shared" si="9"/>
        <v>0</v>
      </c>
      <c r="H53" s="390">
        <f t="shared" si="9"/>
        <v>0</v>
      </c>
      <c r="I53" s="390">
        <f t="shared" si="9"/>
        <v>0</v>
      </c>
      <c r="J53" s="390">
        <f t="shared" si="9"/>
        <v>0</v>
      </c>
      <c r="K53" s="390">
        <f t="shared" si="9"/>
        <v>0</v>
      </c>
      <c r="L53" s="390">
        <f t="shared" si="9"/>
        <v>0</v>
      </c>
      <c r="M53" s="390">
        <f t="shared" si="9"/>
        <v>0</v>
      </c>
      <c r="N53" s="390">
        <f t="shared" si="9"/>
        <v>0</v>
      </c>
      <c r="O53" s="416">
        <f t="shared" si="9"/>
        <v>0</v>
      </c>
    </row>
    <row r="54" spans="1:15" x14ac:dyDescent="0.3">
      <c r="A54" s="102" t="s">
        <v>226</v>
      </c>
      <c r="B54" s="102" t="s">
        <v>227</v>
      </c>
      <c r="C54" s="113">
        <v>0</v>
      </c>
      <c r="D54" s="113">
        <v>0</v>
      </c>
      <c r="E54" s="113">
        <v>0</v>
      </c>
      <c r="F54" s="113">
        <v>0</v>
      </c>
      <c r="G54" s="113">
        <v>0</v>
      </c>
      <c r="H54" s="387">
        <v>0</v>
      </c>
      <c r="I54" s="387">
        <v>0</v>
      </c>
      <c r="J54" s="387">
        <v>0</v>
      </c>
      <c r="K54" s="387">
        <v>0</v>
      </c>
      <c r="L54" s="387">
        <v>0</v>
      </c>
      <c r="M54" s="387">
        <v>0</v>
      </c>
      <c r="N54" s="387">
        <v>0</v>
      </c>
      <c r="O54" s="142">
        <f>SUM(C54:N54)</f>
        <v>0</v>
      </c>
    </row>
    <row r="55" spans="1:15" x14ac:dyDescent="0.3">
      <c r="A55" s="102" t="s">
        <v>228</v>
      </c>
      <c r="B55" s="102" t="s">
        <v>229</v>
      </c>
      <c r="C55" s="113">
        <f>C54*0.09</f>
        <v>0</v>
      </c>
      <c r="D55" s="113">
        <f t="shared" ref="D55:N55" si="10">D54*0.09</f>
        <v>0</v>
      </c>
      <c r="E55" s="113">
        <f t="shared" si="10"/>
        <v>0</v>
      </c>
      <c r="F55" s="113">
        <f t="shared" si="10"/>
        <v>0</v>
      </c>
      <c r="G55" s="113">
        <f t="shared" si="10"/>
        <v>0</v>
      </c>
      <c r="H55" s="387">
        <f t="shared" si="10"/>
        <v>0</v>
      </c>
      <c r="I55" s="387">
        <f t="shared" si="10"/>
        <v>0</v>
      </c>
      <c r="J55" s="387">
        <f t="shared" si="10"/>
        <v>0</v>
      </c>
      <c r="K55" s="387">
        <f t="shared" si="10"/>
        <v>0</v>
      </c>
      <c r="L55" s="387">
        <f t="shared" si="10"/>
        <v>0</v>
      </c>
      <c r="M55" s="387">
        <f t="shared" si="10"/>
        <v>0</v>
      </c>
      <c r="N55" s="387">
        <f t="shared" si="10"/>
        <v>0</v>
      </c>
      <c r="O55" s="142">
        <f t="shared" ref="O55:O104" si="11">SUM(C55:N55)</f>
        <v>0</v>
      </c>
    </row>
    <row r="56" spans="1:15" x14ac:dyDescent="0.3">
      <c r="A56" s="102" t="s">
        <v>230</v>
      </c>
      <c r="B56" s="102" t="s">
        <v>231</v>
      </c>
      <c r="C56" s="113">
        <v>0</v>
      </c>
      <c r="D56" s="113">
        <v>0</v>
      </c>
      <c r="E56" s="113">
        <v>0</v>
      </c>
      <c r="F56" s="113">
        <v>0</v>
      </c>
      <c r="G56" s="113">
        <v>0</v>
      </c>
      <c r="H56" s="387">
        <v>0</v>
      </c>
      <c r="I56" s="387">
        <v>0</v>
      </c>
      <c r="J56" s="387">
        <v>0</v>
      </c>
      <c r="K56" s="387">
        <v>0</v>
      </c>
      <c r="L56" s="387">
        <v>0</v>
      </c>
      <c r="M56" s="387">
        <v>0</v>
      </c>
      <c r="N56" s="387">
        <v>0</v>
      </c>
      <c r="O56" s="142">
        <f t="shared" si="11"/>
        <v>0</v>
      </c>
    </row>
    <row r="57" spans="1:15" x14ac:dyDescent="0.3">
      <c r="A57" s="102" t="s">
        <v>232</v>
      </c>
      <c r="B57" s="102" t="s">
        <v>233</v>
      </c>
      <c r="C57" s="103">
        <v>0</v>
      </c>
      <c r="D57" s="103">
        <v>0</v>
      </c>
      <c r="E57" s="103">
        <v>0</v>
      </c>
      <c r="F57" s="103">
        <v>0</v>
      </c>
      <c r="G57" s="103">
        <v>0</v>
      </c>
      <c r="H57" s="372">
        <v>0</v>
      </c>
      <c r="I57" s="372">
        <v>0</v>
      </c>
      <c r="J57" s="372">
        <v>0</v>
      </c>
      <c r="K57" s="372">
        <v>0</v>
      </c>
      <c r="L57" s="372">
        <v>0</v>
      </c>
      <c r="M57" s="372">
        <v>0</v>
      </c>
      <c r="N57" s="372">
        <v>0</v>
      </c>
      <c r="O57" s="142">
        <f t="shared" si="11"/>
        <v>0</v>
      </c>
    </row>
    <row r="58" spans="1:15" x14ac:dyDescent="0.3">
      <c r="A58" s="102" t="s">
        <v>234</v>
      </c>
      <c r="B58" s="102" t="s">
        <v>235</v>
      </c>
      <c r="C58" s="113">
        <v>0</v>
      </c>
      <c r="D58" s="113">
        <v>0</v>
      </c>
      <c r="E58" s="113">
        <v>0</v>
      </c>
      <c r="F58" s="113">
        <v>0</v>
      </c>
      <c r="G58" s="113">
        <v>0</v>
      </c>
      <c r="H58" s="387">
        <v>0</v>
      </c>
      <c r="I58" s="387">
        <v>0</v>
      </c>
      <c r="J58" s="387">
        <v>0</v>
      </c>
      <c r="K58" s="387">
        <v>0</v>
      </c>
      <c r="L58" s="387">
        <v>0</v>
      </c>
      <c r="M58" s="387">
        <v>0</v>
      </c>
      <c r="N58" s="387">
        <v>0</v>
      </c>
      <c r="O58" s="142">
        <f t="shared" si="11"/>
        <v>0</v>
      </c>
    </row>
    <row r="59" spans="1:15" x14ac:dyDescent="0.3">
      <c r="A59" s="102" t="s">
        <v>236</v>
      </c>
      <c r="B59" s="102" t="s">
        <v>237</v>
      </c>
      <c r="C59" s="113">
        <v>0</v>
      </c>
      <c r="D59" s="113">
        <v>0</v>
      </c>
      <c r="E59" s="113">
        <v>0</v>
      </c>
      <c r="F59" s="113">
        <v>0</v>
      </c>
      <c r="G59" s="113">
        <v>0</v>
      </c>
      <c r="H59" s="387">
        <v>0</v>
      </c>
      <c r="I59" s="387">
        <v>0</v>
      </c>
      <c r="J59" s="387">
        <v>0</v>
      </c>
      <c r="K59" s="387">
        <v>0</v>
      </c>
      <c r="L59" s="387">
        <v>0</v>
      </c>
      <c r="M59" s="387">
        <v>0</v>
      </c>
      <c r="N59" s="387">
        <v>0</v>
      </c>
      <c r="O59" s="142">
        <f t="shared" si="11"/>
        <v>0</v>
      </c>
    </row>
    <row r="60" spans="1:15" x14ac:dyDescent="0.3">
      <c r="A60" s="102" t="s">
        <v>238</v>
      </c>
      <c r="B60" s="102" t="s">
        <v>239</v>
      </c>
      <c r="C60" s="103">
        <v>0</v>
      </c>
      <c r="D60" s="103">
        <v>0</v>
      </c>
      <c r="E60" s="103">
        <v>0</v>
      </c>
      <c r="F60" s="103">
        <v>0</v>
      </c>
      <c r="G60" s="103">
        <v>0</v>
      </c>
      <c r="H60" s="372">
        <v>0</v>
      </c>
      <c r="I60" s="372">
        <v>0</v>
      </c>
      <c r="J60" s="372">
        <v>0</v>
      </c>
      <c r="K60" s="372">
        <v>0</v>
      </c>
      <c r="L60" s="372">
        <v>0</v>
      </c>
      <c r="M60" s="372">
        <v>0</v>
      </c>
      <c r="N60" s="372">
        <v>0</v>
      </c>
      <c r="O60" s="142">
        <f t="shared" si="11"/>
        <v>0</v>
      </c>
    </row>
    <row r="61" spans="1:15" x14ac:dyDescent="0.3">
      <c r="A61" s="102" t="s">
        <v>240</v>
      </c>
      <c r="B61" s="102" t="s">
        <v>241</v>
      </c>
      <c r="C61" s="113">
        <v>0</v>
      </c>
      <c r="D61" s="113">
        <v>0</v>
      </c>
      <c r="E61" s="113">
        <v>0</v>
      </c>
      <c r="F61" s="113">
        <v>0</v>
      </c>
      <c r="G61" s="113">
        <v>0</v>
      </c>
      <c r="H61" s="387">
        <v>0</v>
      </c>
      <c r="I61" s="387">
        <v>0</v>
      </c>
      <c r="J61" s="387">
        <v>0</v>
      </c>
      <c r="K61" s="387">
        <v>0</v>
      </c>
      <c r="L61" s="387">
        <v>0</v>
      </c>
      <c r="M61" s="387">
        <v>0</v>
      </c>
      <c r="N61" s="387">
        <v>0</v>
      </c>
      <c r="O61" s="142">
        <f t="shared" si="11"/>
        <v>0</v>
      </c>
    </row>
    <row r="62" spans="1:15" x14ac:dyDescent="0.3">
      <c r="A62" s="102" t="s">
        <v>242</v>
      </c>
      <c r="B62" s="102" t="s">
        <v>243</v>
      </c>
      <c r="C62" s="113">
        <f>C61*0.09</f>
        <v>0</v>
      </c>
      <c r="D62" s="113">
        <f t="shared" ref="D62:N62" si="12">D61*0.09</f>
        <v>0</v>
      </c>
      <c r="E62" s="113">
        <f t="shared" si="12"/>
        <v>0</v>
      </c>
      <c r="F62" s="113">
        <f t="shared" si="12"/>
        <v>0</v>
      </c>
      <c r="G62" s="113">
        <f t="shared" si="12"/>
        <v>0</v>
      </c>
      <c r="H62" s="387">
        <f t="shared" si="12"/>
        <v>0</v>
      </c>
      <c r="I62" s="387">
        <f t="shared" si="12"/>
        <v>0</v>
      </c>
      <c r="J62" s="387">
        <f t="shared" si="12"/>
        <v>0</v>
      </c>
      <c r="K62" s="387">
        <f t="shared" si="12"/>
        <v>0</v>
      </c>
      <c r="L62" s="387">
        <f t="shared" si="12"/>
        <v>0</v>
      </c>
      <c r="M62" s="387">
        <f t="shared" si="12"/>
        <v>0</v>
      </c>
      <c r="N62" s="387">
        <f t="shared" si="12"/>
        <v>0</v>
      </c>
      <c r="O62" s="142">
        <f t="shared" si="11"/>
        <v>0</v>
      </c>
    </row>
    <row r="63" spans="1:15" x14ac:dyDescent="0.3">
      <c r="A63" s="102" t="s">
        <v>244</v>
      </c>
      <c r="B63" s="102" t="s">
        <v>245</v>
      </c>
      <c r="C63" s="113">
        <v>0</v>
      </c>
      <c r="D63" s="113">
        <v>0</v>
      </c>
      <c r="E63" s="113">
        <v>0</v>
      </c>
      <c r="F63" s="113">
        <v>0</v>
      </c>
      <c r="G63" s="113">
        <v>0</v>
      </c>
      <c r="H63" s="387">
        <v>0</v>
      </c>
      <c r="I63" s="387">
        <v>0</v>
      </c>
      <c r="J63" s="387">
        <v>0</v>
      </c>
      <c r="K63" s="387">
        <v>0</v>
      </c>
      <c r="L63" s="387">
        <v>0</v>
      </c>
      <c r="M63" s="387">
        <v>0</v>
      </c>
      <c r="N63" s="387">
        <v>0</v>
      </c>
      <c r="O63" s="142">
        <f t="shared" si="11"/>
        <v>0</v>
      </c>
    </row>
    <row r="64" spans="1:15" x14ac:dyDescent="0.3">
      <c r="A64" s="102" t="s">
        <v>246</v>
      </c>
      <c r="B64" s="102" t="s">
        <v>247</v>
      </c>
      <c r="C64" s="113">
        <v>0</v>
      </c>
      <c r="D64" s="113">
        <v>0</v>
      </c>
      <c r="E64" s="113">
        <v>0</v>
      </c>
      <c r="F64" s="113">
        <v>0</v>
      </c>
      <c r="G64" s="113">
        <v>0</v>
      </c>
      <c r="H64" s="387">
        <v>0</v>
      </c>
      <c r="I64" s="387">
        <v>0</v>
      </c>
      <c r="J64" s="387">
        <v>0</v>
      </c>
      <c r="K64" s="387">
        <v>0</v>
      </c>
      <c r="L64" s="387">
        <v>0</v>
      </c>
      <c r="M64" s="387">
        <v>0</v>
      </c>
      <c r="N64" s="387">
        <v>0</v>
      </c>
      <c r="O64" s="142">
        <f t="shared" si="11"/>
        <v>0</v>
      </c>
    </row>
    <row r="65" spans="1:15" x14ac:dyDescent="0.3">
      <c r="A65" s="102" t="s">
        <v>248</v>
      </c>
      <c r="B65" s="102" t="s">
        <v>249</v>
      </c>
      <c r="C65" s="113">
        <f>C64*0.09</f>
        <v>0</v>
      </c>
      <c r="D65" s="113">
        <f t="shared" ref="D65:N65" si="13">D64*0.09</f>
        <v>0</v>
      </c>
      <c r="E65" s="113">
        <f t="shared" si="13"/>
        <v>0</v>
      </c>
      <c r="F65" s="113">
        <f t="shared" si="13"/>
        <v>0</v>
      </c>
      <c r="G65" s="113">
        <f t="shared" si="13"/>
        <v>0</v>
      </c>
      <c r="H65" s="387">
        <f t="shared" si="13"/>
        <v>0</v>
      </c>
      <c r="I65" s="387">
        <f t="shared" si="13"/>
        <v>0</v>
      </c>
      <c r="J65" s="387">
        <f t="shared" si="13"/>
        <v>0</v>
      </c>
      <c r="K65" s="387">
        <f t="shared" si="13"/>
        <v>0</v>
      </c>
      <c r="L65" s="387">
        <f t="shared" si="13"/>
        <v>0</v>
      </c>
      <c r="M65" s="387">
        <f t="shared" si="13"/>
        <v>0</v>
      </c>
      <c r="N65" s="387">
        <f t="shared" si="13"/>
        <v>0</v>
      </c>
      <c r="O65" s="142">
        <f t="shared" si="11"/>
        <v>0</v>
      </c>
    </row>
    <row r="66" spans="1:15" x14ac:dyDescent="0.3">
      <c r="A66" s="102" t="s">
        <v>250</v>
      </c>
      <c r="B66" s="102" t="s">
        <v>251</v>
      </c>
      <c r="C66" s="113">
        <v>0</v>
      </c>
      <c r="D66" s="113">
        <v>0</v>
      </c>
      <c r="E66" s="113">
        <v>0</v>
      </c>
      <c r="F66" s="113">
        <v>0</v>
      </c>
      <c r="G66" s="113">
        <v>0</v>
      </c>
      <c r="H66" s="387">
        <v>0</v>
      </c>
      <c r="I66" s="387">
        <v>0</v>
      </c>
      <c r="J66" s="387">
        <v>0</v>
      </c>
      <c r="K66" s="387">
        <v>0</v>
      </c>
      <c r="L66" s="387">
        <v>0</v>
      </c>
      <c r="M66" s="387">
        <v>0</v>
      </c>
      <c r="N66" s="387">
        <v>0</v>
      </c>
      <c r="O66" s="142">
        <f t="shared" si="11"/>
        <v>0</v>
      </c>
    </row>
    <row r="67" spans="1:15" x14ac:dyDescent="0.3">
      <c r="A67" s="102" t="s">
        <v>252</v>
      </c>
      <c r="B67" s="102" t="s">
        <v>253</v>
      </c>
      <c r="C67" s="103">
        <v>0</v>
      </c>
      <c r="D67" s="103">
        <v>0</v>
      </c>
      <c r="E67" s="103">
        <v>0</v>
      </c>
      <c r="F67" s="103">
        <v>0</v>
      </c>
      <c r="G67" s="103">
        <v>0</v>
      </c>
      <c r="H67" s="372">
        <v>0</v>
      </c>
      <c r="I67" s="372">
        <v>0</v>
      </c>
      <c r="J67" s="372">
        <v>0</v>
      </c>
      <c r="K67" s="372">
        <v>0</v>
      </c>
      <c r="L67" s="372">
        <v>0</v>
      </c>
      <c r="M67" s="372">
        <v>0</v>
      </c>
      <c r="N67" s="372">
        <v>0</v>
      </c>
      <c r="O67" s="142">
        <f t="shared" si="11"/>
        <v>0</v>
      </c>
    </row>
    <row r="68" spans="1:15" x14ac:dyDescent="0.3">
      <c r="A68" s="102" t="s">
        <v>254</v>
      </c>
      <c r="B68" s="102" t="s">
        <v>255</v>
      </c>
      <c r="C68" s="113">
        <v>0</v>
      </c>
      <c r="D68" s="113">
        <v>0</v>
      </c>
      <c r="E68" s="113">
        <v>0</v>
      </c>
      <c r="F68" s="113">
        <v>0</v>
      </c>
      <c r="G68" s="113">
        <v>0</v>
      </c>
      <c r="H68" s="387">
        <v>0</v>
      </c>
      <c r="I68" s="387">
        <v>0</v>
      </c>
      <c r="J68" s="387">
        <v>0</v>
      </c>
      <c r="K68" s="387">
        <v>0</v>
      </c>
      <c r="L68" s="387">
        <v>0</v>
      </c>
      <c r="M68" s="387">
        <v>0</v>
      </c>
      <c r="N68" s="387">
        <v>0</v>
      </c>
      <c r="O68" s="142">
        <f t="shared" si="11"/>
        <v>0</v>
      </c>
    </row>
    <row r="69" spans="1:15" x14ac:dyDescent="0.3">
      <c r="A69" s="102" t="s">
        <v>256</v>
      </c>
      <c r="B69" s="102" t="s">
        <v>257</v>
      </c>
      <c r="C69" s="113">
        <v>0</v>
      </c>
      <c r="D69" s="113">
        <v>0</v>
      </c>
      <c r="E69" s="113">
        <v>0</v>
      </c>
      <c r="F69" s="113">
        <v>0</v>
      </c>
      <c r="G69" s="113">
        <v>0</v>
      </c>
      <c r="H69" s="387">
        <v>0</v>
      </c>
      <c r="I69" s="387">
        <v>0</v>
      </c>
      <c r="J69" s="387">
        <v>0</v>
      </c>
      <c r="K69" s="387">
        <v>0</v>
      </c>
      <c r="L69" s="387">
        <v>0</v>
      </c>
      <c r="M69" s="387">
        <v>0</v>
      </c>
      <c r="N69" s="387">
        <v>0</v>
      </c>
      <c r="O69" s="142">
        <f t="shared" si="11"/>
        <v>0</v>
      </c>
    </row>
    <row r="70" spans="1:15" x14ac:dyDescent="0.3">
      <c r="A70" s="102" t="s">
        <v>258</v>
      </c>
      <c r="B70" s="102" t="s">
        <v>259</v>
      </c>
      <c r="C70" s="103">
        <v>0</v>
      </c>
      <c r="D70" s="103">
        <v>0</v>
      </c>
      <c r="E70" s="103">
        <v>0</v>
      </c>
      <c r="F70" s="103">
        <v>0</v>
      </c>
      <c r="G70" s="103">
        <v>0</v>
      </c>
      <c r="H70" s="372">
        <v>0</v>
      </c>
      <c r="I70" s="372">
        <v>0</v>
      </c>
      <c r="J70" s="372">
        <v>0</v>
      </c>
      <c r="K70" s="372">
        <v>0</v>
      </c>
      <c r="L70" s="372">
        <v>0</v>
      </c>
      <c r="M70" s="372">
        <v>0</v>
      </c>
      <c r="N70" s="372">
        <v>0</v>
      </c>
      <c r="O70" s="142">
        <f t="shared" si="11"/>
        <v>0</v>
      </c>
    </row>
    <row r="71" spans="1:15" x14ac:dyDescent="0.3">
      <c r="A71" s="102" t="s">
        <v>260</v>
      </c>
      <c r="B71" s="102" t="s">
        <v>261</v>
      </c>
      <c r="C71" s="103">
        <v>150</v>
      </c>
      <c r="D71" s="103">
        <v>150</v>
      </c>
      <c r="E71" s="103">
        <v>150</v>
      </c>
      <c r="F71" s="103">
        <v>150</v>
      </c>
      <c r="G71" s="103">
        <v>150</v>
      </c>
      <c r="H71" s="372">
        <v>150</v>
      </c>
      <c r="I71" s="372">
        <v>150</v>
      </c>
      <c r="J71" s="372">
        <v>150</v>
      </c>
      <c r="K71" s="372">
        <v>150</v>
      </c>
      <c r="L71" s="372">
        <v>150</v>
      </c>
      <c r="M71" s="372">
        <v>150</v>
      </c>
      <c r="N71" s="372">
        <v>150</v>
      </c>
      <c r="O71" s="142">
        <f t="shared" si="11"/>
        <v>1800</v>
      </c>
    </row>
    <row r="72" spans="1:15" x14ac:dyDescent="0.3">
      <c r="A72" s="102" t="s">
        <v>262</v>
      </c>
      <c r="B72" s="102" t="s">
        <v>263</v>
      </c>
      <c r="C72" s="103">
        <v>0</v>
      </c>
      <c r="D72" s="103">
        <v>0</v>
      </c>
      <c r="E72" s="103">
        <v>0</v>
      </c>
      <c r="F72" s="103">
        <v>0</v>
      </c>
      <c r="G72" s="103">
        <v>0</v>
      </c>
      <c r="H72" s="372">
        <v>0</v>
      </c>
      <c r="I72" s="372">
        <v>0</v>
      </c>
      <c r="J72" s="372">
        <v>0</v>
      </c>
      <c r="K72" s="372">
        <v>0</v>
      </c>
      <c r="L72" s="372">
        <v>0</v>
      </c>
      <c r="M72" s="372">
        <v>0</v>
      </c>
      <c r="N72" s="372">
        <v>0</v>
      </c>
      <c r="O72" s="142">
        <f t="shared" si="11"/>
        <v>0</v>
      </c>
    </row>
    <row r="73" spans="1:15" x14ac:dyDescent="0.3">
      <c r="A73" s="102" t="s">
        <v>264</v>
      </c>
      <c r="B73" s="102" t="s">
        <v>265</v>
      </c>
      <c r="C73" s="103">
        <v>0</v>
      </c>
      <c r="D73" s="103">
        <v>0</v>
      </c>
      <c r="E73" s="103">
        <v>0</v>
      </c>
      <c r="F73" s="103">
        <v>0</v>
      </c>
      <c r="G73" s="103">
        <v>0</v>
      </c>
      <c r="H73" s="372">
        <v>0</v>
      </c>
      <c r="I73" s="372">
        <v>0</v>
      </c>
      <c r="J73" s="372">
        <v>0</v>
      </c>
      <c r="K73" s="372">
        <v>0</v>
      </c>
      <c r="L73" s="372">
        <v>0</v>
      </c>
      <c r="M73" s="372">
        <v>0</v>
      </c>
      <c r="N73" s="372">
        <v>0</v>
      </c>
      <c r="O73" s="142">
        <f t="shared" si="11"/>
        <v>0</v>
      </c>
    </row>
    <row r="74" spans="1:15" x14ac:dyDescent="0.3">
      <c r="A74" s="102" t="s">
        <v>266</v>
      </c>
      <c r="B74" s="102" t="s">
        <v>267</v>
      </c>
      <c r="C74" s="103">
        <v>0</v>
      </c>
      <c r="D74" s="103">
        <v>0</v>
      </c>
      <c r="E74" s="113">
        <v>3000</v>
      </c>
      <c r="F74" s="103">
        <v>1500</v>
      </c>
      <c r="G74" s="103">
        <v>0</v>
      </c>
      <c r="H74" s="372">
        <v>0</v>
      </c>
      <c r="I74" s="372">
        <v>0</v>
      </c>
      <c r="J74" s="395">
        <v>2000</v>
      </c>
      <c r="K74" s="387">
        <v>3000</v>
      </c>
      <c r="L74" s="387">
        <v>3000</v>
      </c>
      <c r="M74" s="387">
        <v>2000</v>
      </c>
      <c r="N74" s="387">
        <v>0</v>
      </c>
      <c r="O74" s="142">
        <f t="shared" si="11"/>
        <v>14500</v>
      </c>
    </row>
    <row r="75" spans="1:15" x14ac:dyDescent="0.3">
      <c r="A75" s="102" t="s">
        <v>268</v>
      </c>
      <c r="B75" s="102" t="s">
        <v>269</v>
      </c>
      <c r="C75" s="103">
        <v>0</v>
      </c>
      <c r="D75" s="103">
        <v>0</v>
      </c>
      <c r="E75" s="113">
        <f>50*25</f>
        <v>1250</v>
      </c>
      <c r="F75" s="103">
        <f>50*7</f>
        <v>350</v>
      </c>
      <c r="G75" s="103">
        <v>0</v>
      </c>
      <c r="H75" s="372">
        <v>0</v>
      </c>
      <c r="I75" s="372">
        <v>0</v>
      </c>
      <c r="J75" s="387">
        <f>50*7</f>
        <v>350</v>
      </c>
      <c r="K75" s="387">
        <f>50*25</f>
        <v>1250</v>
      </c>
      <c r="L75" s="387">
        <f>50*14</f>
        <v>700</v>
      </c>
      <c r="M75" s="387">
        <f>50*14</f>
        <v>700</v>
      </c>
      <c r="N75" s="387">
        <v>0</v>
      </c>
      <c r="O75" s="142">
        <f t="shared" si="11"/>
        <v>4600</v>
      </c>
    </row>
    <row r="76" spans="1:15" x14ac:dyDescent="0.3">
      <c r="A76" s="102" t="s">
        <v>270</v>
      </c>
      <c r="B76" s="102" t="s">
        <v>271</v>
      </c>
      <c r="C76" s="103">
        <v>0</v>
      </c>
      <c r="D76" s="103">
        <v>0</v>
      </c>
      <c r="E76" s="113">
        <f>150*25</f>
        <v>3750</v>
      </c>
      <c r="F76" s="103">
        <f>200*7</f>
        <v>1400</v>
      </c>
      <c r="G76" s="103">
        <v>0</v>
      </c>
      <c r="H76" s="372">
        <v>0</v>
      </c>
      <c r="I76" s="372">
        <v>0</v>
      </c>
      <c r="J76" s="387">
        <f>200*7</f>
        <v>1400</v>
      </c>
      <c r="K76" s="387">
        <f>150*25</f>
        <v>3750</v>
      </c>
      <c r="L76" s="387">
        <f>200*14</f>
        <v>2800</v>
      </c>
      <c r="M76" s="387">
        <f>200*14</f>
        <v>2800</v>
      </c>
      <c r="N76" s="387">
        <v>0</v>
      </c>
      <c r="O76" s="142">
        <f t="shared" si="11"/>
        <v>15900</v>
      </c>
    </row>
    <row r="77" spans="1:15" x14ac:dyDescent="0.3">
      <c r="A77" s="102" t="s">
        <v>272</v>
      </c>
      <c r="B77" s="102" t="s">
        <v>273</v>
      </c>
      <c r="C77" s="103">
        <v>0</v>
      </c>
      <c r="D77" s="103">
        <v>0</v>
      </c>
      <c r="E77" s="103">
        <v>0</v>
      </c>
      <c r="F77" s="103">
        <v>0</v>
      </c>
      <c r="G77" s="103">
        <v>0</v>
      </c>
      <c r="H77" s="372">
        <v>0</v>
      </c>
      <c r="I77" s="372">
        <v>0</v>
      </c>
      <c r="J77" s="372">
        <v>0</v>
      </c>
      <c r="K77" s="372">
        <v>0</v>
      </c>
      <c r="L77" s="372">
        <v>0</v>
      </c>
      <c r="M77" s="372">
        <v>0</v>
      </c>
      <c r="N77" s="387">
        <v>0</v>
      </c>
      <c r="O77" s="142">
        <f t="shared" si="11"/>
        <v>0</v>
      </c>
    </row>
    <row r="78" spans="1:15" x14ac:dyDescent="0.3">
      <c r="A78" s="102" t="s">
        <v>274</v>
      </c>
      <c r="B78" s="102" t="s">
        <v>275</v>
      </c>
      <c r="C78" s="103">
        <v>0</v>
      </c>
      <c r="D78" s="103">
        <v>0</v>
      </c>
      <c r="E78" s="113">
        <f>75*25</f>
        <v>1875</v>
      </c>
      <c r="F78" s="103">
        <f>75*7</f>
        <v>525</v>
      </c>
      <c r="G78" s="103">
        <v>0</v>
      </c>
      <c r="H78" s="372">
        <v>0</v>
      </c>
      <c r="I78" s="372">
        <v>0</v>
      </c>
      <c r="J78" s="387">
        <f>75*7</f>
        <v>525</v>
      </c>
      <c r="K78" s="387">
        <f>75*25</f>
        <v>1875</v>
      </c>
      <c r="L78" s="387">
        <f>75*14</f>
        <v>1050</v>
      </c>
      <c r="M78" s="387">
        <f>75*14</f>
        <v>1050</v>
      </c>
      <c r="N78" s="387">
        <v>0</v>
      </c>
      <c r="O78" s="142">
        <f t="shared" si="11"/>
        <v>6900</v>
      </c>
    </row>
    <row r="79" spans="1:15" x14ac:dyDescent="0.3">
      <c r="A79" s="102" t="s">
        <v>276</v>
      </c>
      <c r="B79" s="102" t="s">
        <v>277</v>
      </c>
      <c r="C79" s="103">
        <v>0</v>
      </c>
      <c r="D79" s="103">
        <v>0</v>
      </c>
      <c r="E79" s="103">
        <f>100*6</f>
        <v>600</v>
      </c>
      <c r="F79" s="103">
        <f>200*1</f>
        <v>200</v>
      </c>
      <c r="G79" s="103">
        <v>0</v>
      </c>
      <c r="H79" s="372">
        <v>0</v>
      </c>
      <c r="I79" s="372">
        <v>0</v>
      </c>
      <c r="J79" s="372">
        <f>200*1</f>
        <v>200</v>
      </c>
      <c r="K79" s="372">
        <f>200*3</f>
        <v>600</v>
      </c>
      <c r="L79" s="372">
        <f>200*2</f>
        <v>400</v>
      </c>
      <c r="M79" s="372">
        <f>200*2</f>
        <v>400</v>
      </c>
      <c r="N79" s="387">
        <v>0</v>
      </c>
      <c r="O79" s="142">
        <f t="shared" si="11"/>
        <v>2400</v>
      </c>
    </row>
    <row r="80" spans="1:15" x14ac:dyDescent="0.3">
      <c r="A80" s="102" t="s">
        <v>278</v>
      </c>
      <c r="B80" s="102" t="s">
        <v>279</v>
      </c>
      <c r="C80" s="103">
        <v>0</v>
      </c>
      <c r="D80" s="103">
        <v>0</v>
      </c>
      <c r="E80" s="103">
        <v>0</v>
      </c>
      <c r="F80" s="103">
        <v>0</v>
      </c>
      <c r="G80" s="103">
        <v>0</v>
      </c>
      <c r="H80" s="372">
        <v>0</v>
      </c>
      <c r="I80" s="372">
        <v>0</v>
      </c>
      <c r="J80" s="372">
        <v>0</v>
      </c>
      <c r="K80" s="372">
        <v>0</v>
      </c>
      <c r="L80" s="372">
        <v>0</v>
      </c>
      <c r="M80" s="372">
        <v>0</v>
      </c>
      <c r="N80" s="387">
        <v>0</v>
      </c>
      <c r="O80" s="142">
        <f t="shared" si="11"/>
        <v>0</v>
      </c>
    </row>
    <row r="81" spans="1:15" x14ac:dyDescent="0.3">
      <c r="A81" s="102" t="s">
        <v>280</v>
      </c>
      <c r="B81" s="102" t="s">
        <v>281</v>
      </c>
      <c r="C81" s="113">
        <v>0</v>
      </c>
      <c r="D81" s="113">
        <v>0</v>
      </c>
      <c r="E81" s="113">
        <v>0</v>
      </c>
      <c r="F81" s="113">
        <v>0</v>
      </c>
      <c r="G81" s="113">
        <v>0</v>
      </c>
      <c r="H81" s="387">
        <v>0</v>
      </c>
      <c r="I81" s="387">
        <v>0</v>
      </c>
      <c r="J81" s="387">
        <v>0</v>
      </c>
      <c r="K81" s="387">
        <v>0</v>
      </c>
      <c r="L81" s="387">
        <v>0</v>
      </c>
      <c r="M81" s="387">
        <v>0</v>
      </c>
      <c r="N81" s="387">
        <v>0</v>
      </c>
      <c r="O81" s="142">
        <f t="shared" si="11"/>
        <v>0</v>
      </c>
    </row>
    <row r="82" spans="1:15" x14ac:dyDescent="0.3">
      <c r="A82" s="102" t="s">
        <v>282</v>
      </c>
      <c r="B82" s="102" t="s">
        <v>283</v>
      </c>
      <c r="C82" s="113">
        <v>0</v>
      </c>
      <c r="D82" s="113">
        <v>0</v>
      </c>
      <c r="E82" s="113">
        <v>0</v>
      </c>
      <c r="F82" s="113">
        <v>0</v>
      </c>
      <c r="G82" s="113">
        <v>0</v>
      </c>
      <c r="H82" s="387">
        <v>0</v>
      </c>
      <c r="I82" s="387">
        <v>0</v>
      </c>
      <c r="J82" s="387">
        <v>0</v>
      </c>
      <c r="K82" s="387">
        <v>0</v>
      </c>
      <c r="L82" s="387">
        <v>0</v>
      </c>
      <c r="M82" s="387">
        <v>0</v>
      </c>
      <c r="N82" s="387">
        <v>0</v>
      </c>
      <c r="O82" s="142">
        <f t="shared" si="11"/>
        <v>0</v>
      </c>
    </row>
    <row r="83" spans="1:15" x14ac:dyDescent="0.3">
      <c r="A83" s="102" t="s">
        <v>284</v>
      </c>
      <c r="B83" s="102" t="s">
        <v>285</v>
      </c>
      <c r="C83" s="113">
        <v>0</v>
      </c>
      <c r="D83" s="113">
        <v>0</v>
      </c>
      <c r="E83" s="113">
        <v>0</v>
      </c>
      <c r="F83" s="113">
        <v>0</v>
      </c>
      <c r="G83" s="113">
        <v>0</v>
      </c>
      <c r="H83" s="387">
        <v>0</v>
      </c>
      <c r="I83" s="387">
        <v>0</v>
      </c>
      <c r="J83" s="387">
        <v>0</v>
      </c>
      <c r="K83" s="387">
        <v>0</v>
      </c>
      <c r="L83" s="387">
        <v>0</v>
      </c>
      <c r="M83" s="387">
        <v>0</v>
      </c>
      <c r="N83" s="387">
        <v>0</v>
      </c>
      <c r="O83" s="142">
        <f t="shared" si="11"/>
        <v>0</v>
      </c>
    </row>
    <row r="84" spans="1:15" x14ac:dyDescent="0.3">
      <c r="A84" s="102" t="s">
        <v>286</v>
      </c>
      <c r="B84" s="102" t="s">
        <v>287</v>
      </c>
      <c r="C84" s="113">
        <v>0</v>
      </c>
      <c r="D84" s="113">
        <v>0</v>
      </c>
      <c r="E84" s="113">
        <v>0</v>
      </c>
      <c r="F84" s="113">
        <v>0</v>
      </c>
      <c r="G84" s="113">
        <v>0</v>
      </c>
      <c r="H84" s="387">
        <v>0</v>
      </c>
      <c r="I84" s="387">
        <v>0</v>
      </c>
      <c r="J84" s="387">
        <v>0</v>
      </c>
      <c r="K84" s="387">
        <v>0</v>
      </c>
      <c r="L84" s="387">
        <v>0</v>
      </c>
      <c r="M84" s="387">
        <v>0</v>
      </c>
      <c r="N84" s="387">
        <v>0</v>
      </c>
      <c r="O84" s="142">
        <f t="shared" si="11"/>
        <v>0</v>
      </c>
    </row>
    <row r="85" spans="1:15" x14ac:dyDescent="0.3">
      <c r="A85" s="102" t="s">
        <v>288</v>
      </c>
      <c r="B85" s="102" t="s">
        <v>289</v>
      </c>
      <c r="C85" s="113">
        <v>0</v>
      </c>
      <c r="D85" s="113">
        <v>0</v>
      </c>
      <c r="E85" s="113">
        <v>0</v>
      </c>
      <c r="F85" s="113">
        <v>0</v>
      </c>
      <c r="G85" s="113">
        <v>0</v>
      </c>
      <c r="H85" s="387">
        <v>0</v>
      </c>
      <c r="I85" s="387">
        <v>0</v>
      </c>
      <c r="J85" s="387">
        <v>0</v>
      </c>
      <c r="K85" s="387">
        <v>0</v>
      </c>
      <c r="L85" s="387">
        <v>0</v>
      </c>
      <c r="M85" s="387">
        <v>0</v>
      </c>
      <c r="N85" s="387">
        <v>0</v>
      </c>
      <c r="O85" s="142">
        <f t="shared" si="11"/>
        <v>0</v>
      </c>
    </row>
    <row r="86" spans="1:15" x14ac:dyDescent="0.3">
      <c r="A86" s="102" t="s">
        <v>290</v>
      </c>
      <c r="B86" s="102" t="s">
        <v>291</v>
      </c>
      <c r="C86" s="113">
        <v>0</v>
      </c>
      <c r="D86" s="113">
        <v>0</v>
      </c>
      <c r="E86" s="113">
        <v>0</v>
      </c>
      <c r="F86" s="113">
        <v>0</v>
      </c>
      <c r="G86" s="113">
        <v>0</v>
      </c>
      <c r="H86" s="387">
        <v>0</v>
      </c>
      <c r="I86" s="387">
        <v>0</v>
      </c>
      <c r="J86" s="387">
        <v>0</v>
      </c>
      <c r="K86" s="387">
        <v>0</v>
      </c>
      <c r="L86" s="387">
        <v>0</v>
      </c>
      <c r="M86" s="387">
        <v>0</v>
      </c>
      <c r="N86" s="387">
        <v>0</v>
      </c>
      <c r="O86" s="142">
        <f t="shared" si="11"/>
        <v>0</v>
      </c>
    </row>
    <row r="87" spans="1:15" x14ac:dyDescent="0.3">
      <c r="A87" s="102" t="s">
        <v>292</v>
      </c>
      <c r="B87" s="102" t="s">
        <v>293</v>
      </c>
      <c r="C87" s="113">
        <v>0</v>
      </c>
      <c r="D87" s="113">
        <v>0</v>
      </c>
      <c r="E87" s="113">
        <v>0</v>
      </c>
      <c r="F87" s="113">
        <v>0</v>
      </c>
      <c r="G87" s="113">
        <v>0</v>
      </c>
      <c r="H87" s="387">
        <v>0</v>
      </c>
      <c r="I87" s="387">
        <v>0</v>
      </c>
      <c r="J87" s="387">
        <v>0</v>
      </c>
      <c r="K87" s="387">
        <v>0</v>
      </c>
      <c r="L87" s="387">
        <v>0</v>
      </c>
      <c r="M87" s="387">
        <v>0</v>
      </c>
      <c r="N87" s="387">
        <v>0</v>
      </c>
      <c r="O87" s="142">
        <f t="shared" si="11"/>
        <v>0</v>
      </c>
    </row>
    <row r="88" spans="1:15" x14ac:dyDescent="0.3">
      <c r="A88" s="102" t="s">
        <v>294</v>
      </c>
      <c r="B88" s="102" t="s">
        <v>295</v>
      </c>
      <c r="C88" s="113">
        <v>0</v>
      </c>
      <c r="D88" s="113">
        <v>0</v>
      </c>
      <c r="E88" s="113">
        <v>0</v>
      </c>
      <c r="F88" s="113">
        <v>0</v>
      </c>
      <c r="G88" s="113">
        <v>0</v>
      </c>
      <c r="H88" s="387">
        <v>0</v>
      </c>
      <c r="I88" s="387">
        <v>0</v>
      </c>
      <c r="J88" s="387">
        <v>0</v>
      </c>
      <c r="K88" s="387">
        <v>0</v>
      </c>
      <c r="L88" s="387">
        <v>0</v>
      </c>
      <c r="M88" s="387">
        <v>0</v>
      </c>
      <c r="N88" s="387">
        <v>0</v>
      </c>
      <c r="O88" s="142">
        <f t="shared" si="11"/>
        <v>0</v>
      </c>
    </row>
    <row r="89" spans="1:15" x14ac:dyDescent="0.3">
      <c r="A89" s="102" t="s">
        <v>296</v>
      </c>
      <c r="B89" s="102" t="s">
        <v>297</v>
      </c>
      <c r="C89" s="113">
        <v>0</v>
      </c>
      <c r="D89" s="113">
        <v>0</v>
      </c>
      <c r="E89" s="113">
        <v>0</v>
      </c>
      <c r="F89" s="113">
        <v>0</v>
      </c>
      <c r="G89" s="113">
        <v>0</v>
      </c>
      <c r="H89" s="387">
        <v>0</v>
      </c>
      <c r="I89" s="387">
        <v>0</v>
      </c>
      <c r="J89" s="387">
        <v>0</v>
      </c>
      <c r="K89" s="387">
        <v>0</v>
      </c>
      <c r="L89" s="387">
        <v>0</v>
      </c>
      <c r="M89" s="387">
        <v>0</v>
      </c>
      <c r="N89" s="387">
        <v>0</v>
      </c>
      <c r="O89" s="142">
        <f t="shared" si="11"/>
        <v>0</v>
      </c>
    </row>
    <row r="90" spans="1:15" x14ac:dyDescent="0.3">
      <c r="A90" s="102" t="s">
        <v>298</v>
      </c>
      <c r="B90" s="102" t="s">
        <v>299</v>
      </c>
      <c r="C90" s="103">
        <v>0</v>
      </c>
      <c r="D90" s="103">
        <v>0</v>
      </c>
      <c r="E90" s="103">
        <v>0</v>
      </c>
      <c r="F90" s="103">
        <v>0</v>
      </c>
      <c r="G90" s="103">
        <v>0</v>
      </c>
      <c r="H90" s="372">
        <v>0</v>
      </c>
      <c r="I90" s="372">
        <v>0</v>
      </c>
      <c r="J90" s="372">
        <v>0</v>
      </c>
      <c r="K90" s="372">
        <v>0</v>
      </c>
      <c r="L90" s="372">
        <v>0</v>
      </c>
      <c r="M90" s="372">
        <v>0</v>
      </c>
      <c r="N90" s="372">
        <v>0</v>
      </c>
      <c r="O90" s="142">
        <f t="shared" si="11"/>
        <v>0</v>
      </c>
    </row>
    <row r="91" spans="1:15" x14ac:dyDescent="0.3">
      <c r="A91" s="102" t="s">
        <v>300</v>
      </c>
      <c r="B91" s="102" t="s">
        <v>301</v>
      </c>
      <c r="C91" s="113">
        <v>0</v>
      </c>
      <c r="D91" s="113">
        <v>0</v>
      </c>
      <c r="E91" s="113">
        <v>0</v>
      </c>
      <c r="F91" s="113">
        <v>0</v>
      </c>
      <c r="G91" s="113">
        <v>0</v>
      </c>
      <c r="H91" s="387">
        <v>0</v>
      </c>
      <c r="I91" s="387">
        <v>0</v>
      </c>
      <c r="J91" s="387">
        <v>0</v>
      </c>
      <c r="K91" s="387">
        <v>0</v>
      </c>
      <c r="L91" s="387">
        <v>0</v>
      </c>
      <c r="M91" s="387">
        <v>0</v>
      </c>
      <c r="N91" s="387">
        <v>0</v>
      </c>
      <c r="O91" s="142">
        <f t="shared" si="11"/>
        <v>0</v>
      </c>
    </row>
    <row r="92" spans="1:15" x14ac:dyDescent="0.3">
      <c r="A92" s="102" t="s">
        <v>302</v>
      </c>
      <c r="B92" s="102" t="s">
        <v>303</v>
      </c>
      <c r="C92" s="113">
        <v>0</v>
      </c>
      <c r="D92" s="113">
        <v>0</v>
      </c>
      <c r="E92" s="113">
        <v>0</v>
      </c>
      <c r="F92" s="113">
        <v>0</v>
      </c>
      <c r="G92" s="113">
        <v>0</v>
      </c>
      <c r="H92" s="387">
        <v>0</v>
      </c>
      <c r="I92" s="387">
        <v>0</v>
      </c>
      <c r="J92" s="387">
        <v>0</v>
      </c>
      <c r="K92" s="387">
        <v>0</v>
      </c>
      <c r="L92" s="387">
        <v>0</v>
      </c>
      <c r="M92" s="387">
        <v>0</v>
      </c>
      <c r="N92" s="387">
        <v>0</v>
      </c>
      <c r="O92" s="142">
        <f t="shared" si="11"/>
        <v>0</v>
      </c>
    </row>
    <row r="93" spans="1:15" x14ac:dyDescent="0.3">
      <c r="A93" s="102" t="s">
        <v>304</v>
      </c>
      <c r="B93" s="102" t="s">
        <v>305</v>
      </c>
      <c r="C93" s="113">
        <v>0</v>
      </c>
      <c r="D93" s="113">
        <v>0</v>
      </c>
      <c r="E93" s="113">
        <v>0</v>
      </c>
      <c r="F93" s="113">
        <v>0</v>
      </c>
      <c r="G93" s="113">
        <v>0</v>
      </c>
      <c r="H93" s="387">
        <v>0</v>
      </c>
      <c r="I93" s="387">
        <v>0</v>
      </c>
      <c r="J93" s="387">
        <v>0</v>
      </c>
      <c r="K93" s="387">
        <v>0</v>
      </c>
      <c r="L93" s="387">
        <v>0</v>
      </c>
      <c r="M93" s="387">
        <v>0</v>
      </c>
      <c r="N93" s="387">
        <v>0</v>
      </c>
      <c r="O93" s="142">
        <f t="shared" si="11"/>
        <v>0</v>
      </c>
    </row>
    <row r="94" spans="1:15" x14ac:dyDescent="0.3">
      <c r="A94" s="102" t="s">
        <v>306</v>
      </c>
      <c r="B94" s="102" t="s">
        <v>307</v>
      </c>
      <c r="C94" s="113">
        <v>0</v>
      </c>
      <c r="D94" s="113">
        <v>0</v>
      </c>
      <c r="E94" s="113">
        <v>0</v>
      </c>
      <c r="F94" s="113">
        <v>0</v>
      </c>
      <c r="G94" s="113">
        <v>0</v>
      </c>
      <c r="H94" s="387">
        <v>0</v>
      </c>
      <c r="I94" s="387">
        <v>0</v>
      </c>
      <c r="J94" s="387">
        <v>0</v>
      </c>
      <c r="K94" s="387">
        <v>0</v>
      </c>
      <c r="L94" s="387">
        <v>0</v>
      </c>
      <c r="M94" s="387">
        <v>0</v>
      </c>
      <c r="N94" s="387">
        <v>0</v>
      </c>
      <c r="O94" s="142">
        <f t="shared" si="11"/>
        <v>0</v>
      </c>
    </row>
    <row r="95" spans="1:15" x14ac:dyDescent="0.3">
      <c r="A95" s="102" t="s">
        <v>308</v>
      </c>
      <c r="B95" s="102" t="s">
        <v>309</v>
      </c>
      <c r="C95" s="113">
        <v>0</v>
      </c>
      <c r="D95" s="113">
        <v>0</v>
      </c>
      <c r="E95" s="113">
        <v>0</v>
      </c>
      <c r="F95" s="113">
        <v>0</v>
      </c>
      <c r="G95" s="113">
        <v>0</v>
      </c>
      <c r="H95" s="387">
        <v>0</v>
      </c>
      <c r="I95" s="387">
        <v>0</v>
      </c>
      <c r="J95" s="387">
        <v>0</v>
      </c>
      <c r="K95" s="387">
        <v>0</v>
      </c>
      <c r="L95" s="387">
        <v>0</v>
      </c>
      <c r="M95" s="387">
        <v>0</v>
      </c>
      <c r="N95" s="387">
        <v>0</v>
      </c>
      <c r="O95" s="142">
        <f t="shared" si="11"/>
        <v>0</v>
      </c>
    </row>
    <row r="96" spans="1:15" x14ac:dyDescent="0.3">
      <c r="A96" s="102" t="s">
        <v>310</v>
      </c>
      <c r="B96" s="102" t="s">
        <v>311</v>
      </c>
      <c r="C96" s="113">
        <v>0</v>
      </c>
      <c r="D96" s="113">
        <v>0</v>
      </c>
      <c r="E96" s="113">
        <v>0</v>
      </c>
      <c r="F96" s="113">
        <v>0</v>
      </c>
      <c r="G96" s="113">
        <v>0</v>
      </c>
      <c r="H96" s="387">
        <v>0</v>
      </c>
      <c r="I96" s="387">
        <v>0</v>
      </c>
      <c r="J96" s="387">
        <v>0</v>
      </c>
      <c r="K96" s="387">
        <v>0</v>
      </c>
      <c r="L96" s="387">
        <v>0</v>
      </c>
      <c r="M96" s="387">
        <v>0</v>
      </c>
      <c r="N96" s="387">
        <v>0</v>
      </c>
      <c r="O96" s="142">
        <f t="shared" si="11"/>
        <v>0</v>
      </c>
    </row>
    <row r="97" spans="1:15" x14ac:dyDescent="0.3">
      <c r="A97" s="102" t="s">
        <v>312</v>
      </c>
      <c r="B97" s="102" t="s">
        <v>313</v>
      </c>
      <c r="C97" s="113">
        <v>0</v>
      </c>
      <c r="D97" s="113">
        <v>0</v>
      </c>
      <c r="E97" s="113">
        <v>0</v>
      </c>
      <c r="F97" s="113">
        <v>0</v>
      </c>
      <c r="G97" s="113">
        <v>0</v>
      </c>
      <c r="H97" s="387">
        <v>0</v>
      </c>
      <c r="I97" s="387">
        <v>0</v>
      </c>
      <c r="J97" s="387">
        <v>0</v>
      </c>
      <c r="K97" s="387">
        <v>0</v>
      </c>
      <c r="L97" s="387">
        <v>0</v>
      </c>
      <c r="M97" s="387">
        <v>0</v>
      </c>
      <c r="N97" s="387">
        <v>0</v>
      </c>
      <c r="O97" s="142">
        <f t="shared" si="11"/>
        <v>0</v>
      </c>
    </row>
    <row r="98" spans="1:15" x14ac:dyDescent="0.3">
      <c r="A98" s="102" t="s">
        <v>314</v>
      </c>
      <c r="B98" s="102" t="s">
        <v>315</v>
      </c>
      <c r="C98" s="103">
        <v>0</v>
      </c>
      <c r="D98" s="103">
        <v>0</v>
      </c>
      <c r="E98" s="103">
        <v>0</v>
      </c>
      <c r="F98" s="103">
        <v>0</v>
      </c>
      <c r="G98" s="103">
        <v>0</v>
      </c>
      <c r="H98" s="372">
        <v>0</v>
      </c>
      <c r="I98" s="372">
        <v>0</v>
      </c>
      <c r="J98" s="372">
        <v>0</v>
      </c>
      <c r="K98" s="372">
        <v>0</v>
      </c>
      <c r="L98" s="372">
        <v>0</v>
      </c>
      <c r="M98" s="372">
        <v>0</v>
      </c>
      <c r="N98" s="372">
        <v>0</v>
      </c>
      <c r="O98" s="142">
        <f t="shared" si="11"/>
        <v>0</v>
      </c>
    </row>
    <row r="99" spans="1:15" x14ac:dyDescent="0.3">
      <c r="A99" s="102" t="s">
        <v>316</v>
      </c>
      <c r="B99" s="102" t="s">
        <v>317</v>
      </c>
      <c r="C99" s="113">
        <v>0</v>
      </c>
      <c r="D99" s="113">
        <v>0</v>
      </c>
      <c r="E99" s="113">
        <v>0</v>
      </c>
      <c r="F99" s="113">
        <v>0</v>
      </c>
      <c r="G99" s="113">
        <v>0</v>
      </c>
      <c r="H99" s="387">
        <v>0</v>
      </c>
      <c r="I99" s="387">
        <v>0</v>
      </c>
      <c r="J99" s="387">
        <v>0</v>
      </c>
      <c r="K99" s="387">
        <v>0</v>
      </c>
      <c r="L99" s="387">
        <v>0</v>
      </c>
      <c r="M99" s="387">
        <v>0</v>
      </c>
      <c r="N99" s="387">
        <v>0</v>
      </c>
      <c r="O99" s="142">
        <f t="shared" si="11"/>
        <v>0</v>
      </c>
    </row>
    <row r="100" spans="1:15" x14ac:dyDescent="0.3">
      <c r="A100" s="102" t="s">
        <v>318</v>
      </c>
      <c r="B100" s="102" t="s">
        <v>319</v>
      </c>
      <c r="C100" s="103">
        <v>0</v>
      </c>
      <c r="D100" s="103">
        <v>0</v>
      </c>
      <c r="E100" s="103">
        <v>0</v>
      </c>
      <c r="F100" s="103">
        <v>0</v>
      </c>
      <c r="G100" s="103">
        <v>0</v>
      </c>
      <c r="H100" s="372">
        <v>0</v>
      </c>
      <c r="I100" s="372">
        <v>0</v>
      </c>
      <c r="J100" s="372">
        <v>0</v>
      </c>
      <c r="K100" s="372">
        <v>0</v>
      </c>
      <c r="L100" s="372">
        <v>0</v>
      </c>
      <c r="M100" s="372">
        <v>0</v>
      </c>
      <c r="N100" s="372">
        <v>0</v>
      </c>
      <c r="O100" s="142">
        <f t="shared" si="11"/>
        <v>0</v>
      </c>
    </row>
    <row r="101" spans="1:15" x14ac:dyDescent="0.3">
      <c r="A101" s="102" t="s">
        <v>320</v>
      </c>
      <c r="B101" s="102" t="s">
        <v>321</v>
      </c>
      <c r="C101" s="103">
        <v>0</v>
      </c>
      <c r="D101" s="103">
        <v>0</v>
      </c>
      <c r="E101" s="103">
        <v>0</v>
      </c>
      <c r="F101" s="103">
        <v>0</v>
      </c>
      <c r="G101" s="103">
        <v>0</v>
      </c>
      <c r="H101" s="372">
        <v>0</v>
      </c>
      <c r="I101" s="372">
        <v>0</v>
      </c>
      <c r="J101" s="372">
        <v>0</v>
      </c>
      <c r="K101" s="372">
        <v>0</v>
      </c>
      <c r="L101" s="372">
        <v>0</v>
      </c>
      <c r="M101" s="372">
        <v>0</v>
      </c>
      <c r="N101" s="372">
        <v>0</v>
      </c>
      <c r="O101" s="142">
        <f t="shared" si="11"/>
        <v>0</v>
      </c>
    </row>
    <row r="102" spans="1:15" x14ac:dyDescent="0.3">
      <c r="A102" s="102" t="s">
        <v>322</v>
      </c>
      <c r="B102" s="102" t="s">
        <v>323</v>
      </c>
      <c r="C102" s="103">
        <v>0</v>
      </c>
      <c r="D102" s="103">
        <v>0</v>
      </c>
      <c r="E102" s="103">
        <v>0</v>
      </c>
      <c r="F102" s="103">
        <v>0</v>
      </c>
      <c r="G102" s="103">
        <v>0</v>
      </c>
      <c r="H102" s="372">
        <v>0</v>
      </c>
      <c r="I102" s="372">
        <v>0</v>
      </c>
      <c r="J102" s="372">
        <v>0</v>
      </c>
      <c r="K102" s="372">
        <v>0</v>
      </c>
      <c r="L102" s="372">
        <v>0</v>
      </c>
      <c r="M102" s="372">
        <v>0</v>
      </c>
      <c r="N102" s="372">
        <v>0</v>
      </c>
      <c r="O102" s="142">
        <f t="shared" si="11"/>
        <v>0</v>
      </c>
    </row>
    <row r="103" spans="1:15" x14ac:dyDescent="0.3">
      <c r="A103" s="102" t="s">
        <v>324</v>
      </c>
      <c r="B103" s="102" t="s">
        <v>325</v>
      </c>
      <c r="C103" s="103">
        <v>0</v>
      </c>
      <c r="D103" s="103">
        <v>0</v>
      </c>
      <c r="E103" s="103">
        <v>0</v>
      </c>
      <c r="F103" s="103">
        <v>0</v>
      </c>
      <c r="G103" s="103">
        <v>0</v>
      </c>
      <c r="H103" s="372">
        <v>0</v>
      </c>
      <c r="I103" s="372">
        <v>0</v>
      </c>
      <c r="J103" s="372">
        <v>0</v>
      </c>
      <c r="K103" s="372">
        <v>0</v>
      </c>
      <c r="L103" s="372">
        <v>0</v>
      </c>
      <c r="M103" s="372">
        <v>0</v>
      </c>
      <c r="N103" s="372">
        <v>0</v>
      </c>
      <c r="O103" s="142">
        <f t="shared" si="11"/>
        <v>0</v>
      </c>
    </row>
    <row r="104" spans="1:15" x14ac:dyDescent="0.3">
      <c r="A104" s="105" t="s">
        <v>326</v>
      </c>
      <c r="B104" s="105" t="s">
        <v>327</v>
      </c>
      <c r="C104" s="103">
        <v>0</v>
      </c>
      <c r="D104" s="103">
        <v>0</v>
      </c>
      <c r="E104" s="103">
        <v>0</v>
      </c>
      <c r="F104" s="103">
        <v>0</v>
      </c>
      <c r="G104" s="103">
        <v>0</v>
      </c>
      <c r="H104" s="372">
        <v>0</v>
      </c>
      <c r="I104" s="372">
        <v>0</v>
      </c>
      <c r="J104" s="372">
        <v>0</v>
      </c>
      <c r="K104" s="372">
        <v>0</v>
      </c>
      <c r="L104" s="372">
        <v>0</v>
      </c>
      <c r="M104" s="372">
        <v>0</v>
      </c>
      <c r="N104" s="372">
        <v>0</v>
      </c>
      <c r="O104" s="142">
        <f t="shared" si="11"/>
        <v>0</v>
      </c>
    </row>
    <row r="105" spans="1:15" x14ac:dyDescent="0.3">
      <c r="A105" s="105"/>
      <c r="B105" s="300" t="s">
        <v>382</v>
      </c>
      <c r="C105" s="103"/>
      <c r="D105" s="103"/>
      <c r="E105" s="103"/>
      <c r="F105" s="103"/>
      <c r="G105" s="103"/>
      <c r="H105" s="372"/>
      <c r="I105" s="372"/>
      <c r="J105" s="372"/>
      <c r="K105" s="372"/>
      <c r="L105" s="372"/>
      <c r="M105" s="372"/>
      <c r="N105" s="372"/>
      <c r="O105" s="142"/>
    </row>
    <row r="106" spans="1:15" x14ac:dyDescent="0.3">
      <c r="A106" s="104"/>
      <c r="B106" s="105" t="s">
        <v>328</v>
      </c>
      <c r="C106" s="115">
        <f>SUM(C54:C104)</f>
        <v>150</v>
      </c>
      <c r="D106" s="110">
        <f t="shared" ref="D106:F106" si="14">SUM(D54:D104)</f>
        <v>150</v>
      </c>
      <c r="E106" s="110">
        <f t="shared" si="14"/>
        <v>10625</v>
      </c>
      <c r="F106" s="110">
        <f t="shared" si="14"/>
        <v>4125</v>
      </c>
      <c r="G106" s="110">
        <f>SUM(G53:G104)</f>
        <v>150</v>
      </c>
      <c r="H106" s="388">
        <f>SUM(H53:H104)</f>
        <v>150</v>
      </c>
      <c r="I106" s="388">
        <f t="shared" ref="I106:N106" si="15">SUM(I53:I104)</f>
        <v>150</v>
      </c>
      <c r="J106" s="388">
        <f>SUM(J53:J104)</f>
        <v>4625</v>
      </c>
      <c r="K106" s="388">
        <f t="shared" si="15"/>
        <v>10625</v>
      </c>
      <c r="L106" s="388">
        <f t="shared" si="15"/>
        <v>8100</v>
      </c>
      <c r="M106" s="388">
        <f t="shared" si="15"/>
        <v>7100</v>
      </c>
      <c r="N106" s="388">
        <f t="shared" si="15"/>
        <v>150</v>
      </c>
      <c r="O106" s="118">
        <f t="shared" ref="O106" si="16">SUM(C106:N106)</f>
        <v>46100</v>
      </c>
    </row>
    <row r="107" spans="1:15" x14ac:dyDescent="0.3">
      <c r="A107" s="104"/>
      <c r="B107" s="104"/>
      <c r="C107" s="111"/>
      <c r="D107" s="111"/>
      <c r="E107" s="111"/>
      <c r="F107" s="111"/>
      <c r="G107" s="111"/>
      <c r="H107" s="393"/>
      <c r="I107" s="386"/>
      <c r="J107" s="386"/>
      <c r="K107" s="393"/>
      <c r="L107" s="393"/>
      <c r="M107" s="393"/>
      <c r="N107" s="393"/>
      <c r="O107" s="145"/>
    </row>
    <row r="108" spans="1:15" s="165" customFormat="1" ht="15" thickBot="1" x14ac:dyDescent="0.35">
      <c r="A108" s="162" t="s">
        <v>0</v>
      </c>
      <c r="B108" s="162" t="s">
        <v>329</v>
      </c>
      <c r="C108" s="417">
        <f>C24-(C106+C53)</f>
        <v>-150</v>
      </c>
      <c r="D108" s="417">
        <f t="shared" ref="D108:O108" si="17">D24-(D106+D53)</f>
        <v>-150</v>
      </c>
      <c r="E108" s="417">
        <f t="shared" si="17"/>
        <v>-10625</v>
      </c>
      <c r="F108" s="417">
        <f t="shared" si="17"/>
        <v>-4125</v>
      </c>
      <c r="G108" s="417">
        <f t="shared" si="17"/>
        <v>-150</v>
      </c>
      <c r="H108" s="418">
        <f t="shared" si="17"/>
        <v>-150</v>
      </c>
      <c r="I108" s="418">
        <f t="shared" si="17"/>
        <v>-150</v>
      </c>
      <c r="J108" s="418">
        <f t="shared" si="17"/>
        <v>-4625</v>
      </c>
      <c r="K108" s="418">
        <f t="shared" si="17"/>
        <v>-10625</v>
      </c>
      <c r="L108" s="418">
        <f t="shared" si="17"/>
        <v>-8100</v>
      </c>
      <c r="M108" s="418">
        <f t="shared" si="17"/>
        <v>-7100</v>
      </c>
      <c r="N108" s="418">
        <f t="shared" si="17"/>
        <v>-150</v>
      </c>
      <c r="O108" s="162">
        <f t="shared" si="17"/>
        <v>-46100</v>
      </c>
    </row>
    <row r="109" spans="1:15" ht="15" thickTop="1" x14ac:dyDescent="0.3">
      <c r="C109" s="116"/>
      <c r="D109" s="116"/>
      <c r="E109" s="116"/>
      <c r="F109" s="116"/>
      <c r="G109" s="116"/>
      <c r="H109" s="116"/>
      <c r="K109" s="116"/>
      <c r="L109" s="116"/>
      <c r="M109" s="116"/>
      <c r="N109" s="116"/>
    </row>
    <row r="110" spans="1:15" x14ac:dyDescent="0.3">
      <c r="O110" s="112" t="s">
        <v>0</v>
      </c>
    </row>
    <row r="111" spans="1:15" x14ac:dyDescent="0.3">
      <c r="I111" s="123" t="s">
        <v>0</v>
      </c>
      <c r="J111" s="123" t="s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3B97-F2E6-4CBA-B931-34EDB5BF47CC}">
  <sheetPr>
    <tabColor rgb="FFFFC000"/>
  </sheetPr>
  <dimension ref="A1:AF111"/>
  <sheetViews>
    <sheetView zoomScale="72" zoomScaleNormal="72" workbookViewId="0">
      <pane ySplit="1" topLeftCell="A77" activePane="bottomLeft" state="frozen"/>
      <selection pane="bottomLeft" activeCell="B105" sqref="B105"/>
    </sheetView>
  </sheetViews>
  <sheetFormatPr defaultColWidth="29" defaultRowHeight="14.4" x14ac:dyDescent="0.3"/>
  <cols>
    <col min="1" max="1" width="13" style="99" customWidth="1"/>
    <col min="2" max="2" width="29" style="99"/>
    <col min="3" max="8" width="7.6640625" style="101" customWidth="1"/>
    <col min="9" max="10" width="7.6640625" style="123" customWidth="1"/>
    <col min="11" max="11" width="7.6640625" style="101" customWidth="1"/>
    <col min="12" max="12" width="8.21875" style="101" customWidth="1"/>
    <col min="13" max="14" width="7.6640625" style="101" customWidth="1"/>
    <col min="15" max="15" width="10" style="112" customWidth="1"/>
    <col min="16" max="16384" width="29" style="99"/>
  </cols>
  <sheetData>
    <row r="1" spans="1:32" x14ac:dyDescent="0.3">
      <c r="A1" s="108"/>
      <c r="B1" s="239"/>
      <c r="C1" s="240" t="s">
        <v>123</v>
      </c>
      <c r="D1" s="240" t="s">
        <v>124</v>
      </c>
      <c r="E1" s="240" t="s">
        <v>125</v>
      </c>
      <c r="F1" s="240" t="s">
        <v>126</v>
      </c>
      <c r="G1" s="240" t="s">
        <v>127</v>
      </c>
      <c r="H1" s="380" t="s">
        <v>128</v>
      </c>
      <c r="I1" s="381" t="s">
        <v>129</v>
      </c>
      <c r="J1" s="381" t="s">
        <v>130</v>
      </c>
      <c r="K1" s="380" t="s">
        <v>131</v>
      </c>
      <c r="L1" s="380" t="s">
        <v>132</v>
      </c>
      <c r="M1" s="380" t="s">
        <v>133</v>
      </c>
      <c r="N1" s="380" t="s">
        <v>134</v>
      </c>
      <c r="O1" s="141" t="s">
        <v>10</v>
      </c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</row>
    <row r="2" spans="1:32" x14ac:dyDescent="0.3">
      <c r="A2" s="102" t="s">
        <v>135</v>
      </c>
      <c r="B2" s="102" t="s">
        <v>136</v>
      </c>
      <c r="C2" s="103">
        <v>0</v>
      </c>
      <c r="D2" s="103">
        <v>0</v>
      </c>
      <c r="E2" s="103">
        <v>0</v>
      </c>
      <c r="F2" s="103">
        <v>0</v>
      </c>
      <c r="G2" s="103">
        <v>0</v>
      </c>
      <c r="H2" s="372">
        <v>0</v>
      </c>
      <c r="I2" s="372">
        <v>0</v>
      </c>
      <c r="J2" s="372">
        <v>0</v>
      </c>
      <c r="K2" s="372">
        <v>0</v>
      </c>
      <c r="L2" s="372">
        <v>0</v>
      </c>
      <c r="M2" s="372">
        <v>0</v>
      </c>
      <c r="N2" s="372">
        <v>0</v>
      </c>
      <c r="O2" s="367">
        <f>SUM(C2:N2)</f>
        <v>0</v>
      </c>
    </row>
    <row r="3" spans="1:32" x14ac:dyDescent="0.3">
      <c r="A3" s="102" t="s">
        <v>137</v>
      </c>
      <c r="B3" s="102" t="s">
        <v>138</v>
      </c>
      <c r="C3" s="103">
        <v>0</v>
      </c>
      <c r="D3" s="103">
        <v>0</v>
      </c>
      <c r="E3" s="103">
        <v>0</v>
      </c>
      <c r="F3" s="103">
        <v>0</v>
      </c>
      <c r="G3" s="103">
        <v>0</v>
      </c>
      <c r="H3" s="372">
        <v>0</v>
      </c>
      <c r="I3" s="372">
        <v>0</v>
      </c>
      <c r="J3" s="372">
        <v>0</v>
      </c>
      <c r="K3" s="372">
        <v>0</v>
      </c>
      <c r="L3" s="372">
        <v>0</v>
      </c>
      <c r="M3" s="372">
        <v>0</v>
      </c>
      <c r="N3" s="372">
        <v>0</v>
      </c>
      <c r="O3" s="367">
        <f t="shared" ref="O3:O6" si="0">SUM(C3:N3)</f>
        <v>0</v>
      </c>
    </row>
    <row r="4" spans="1:32" x14ac:dyDescent="0.3">
      <c r="A4" s="102" t="s">
        <v>139</v>
      </c>
      <c r="B4" s="102" t="s">
        <v>140</v>
      </c>
      <c r="C4" s="103">
        <v>0</v>
      </c>
      <c r="D4" s="103">
        <v>0</v>
      </c>
      <c r="E4" s="103">
        <v>0</v>
      </c>
      <c r="F4" s="103">
        <v>0</v>
      </c>
      <c r="G4" s="103">
        <v>0</v>
      </c>
      <c r="H4" s="372">
        <v>0</v>
      </c>
      <c r="I4" s="372">
        <v>0</v>
      </c>
      <c r="J4" s="372">
        <v>0</v>
      </c>
      <c r="K4" s="372">
        <v>0</v>
      </c>
      <c r="L4" s="372">
        <v>0</v>
      </c>
      <c r="M4" s="372">
        <v>0</v>
      </c>
      <c r="N4" s="372">
        <v>0</v>
      </c>
      <c r="O4" s="367">
        <f t="shared" si="0"/>
        <v>0</v>
      </c>
    </row>
    <row r="5" spans="1:32" x14ac:dyDescent="0.3">
      <c r="A5" s="102">
        <v>408006</v>
      </c>
      <c r="B5" s="102" t="s">
        <v>141</v>
      </c>
      <c r="C5" s="103">
        <v>0</v>
      </c>
      <c r="D5" s="103">
        <v>0</v>
      </c>
      <c r="E5" s="103">
        <v>0</v>
      </c>
      <c r="F5" s="103">
        <v>0</v>
      </c>
      <c r="G5" s="103">
        <v>0</v>
      </c>
      <c r="H5" s="372">
        <v>0</v>
      </c>
      <c r="I5" s="372">
        <v>0</v>
      </c>
      <c r="J5" s="372">
        <v>0</v>
      </c>
      <c r="K5" s="372">
        <v>0</v>
      </c>
      <c r="L5" s="372">
        <v>0</v>
      </c>
      <c r="M5" s="372">
        <v>0</v>
      </c>
      <c r="N5" s="372">
        <v>0</v>
      </c>
      <c r="O5" s="367">
        <f t="shared" si="0"/>
        <v>0</v>
      </c>
    </row>
    <row r="6" spans="1:32" x14ac:dyDescent="0.3">
      <c r="A6" s="102" t="s">
        <v>142</v>
      </c>
      <c r="B6" s="102" t="s">
        <v>143</v>
      </c>
      <c r="C6" s="103">
        <v>0</v>
      </c>
      <c r="D6" s="103">
        <v>0</v>
      </c>
      <c r="E6" s="103">
        <v>0</v>
      </c>
      <c r="F6" s="103">
        <v>0</v>
      </c>
      <c r="G6" s="103">
        <v>0</v>
      </c>
      <c r="H6" s="372">
        <v>0</v>
      </c>
      <c r="I6" s="372">
        <v>0</v>
      </c>
      <c r="J6" s="372">
        <v>0</v>
      </c>
      <c r="K6" s="372">
        <v>0</v>
      </c>
      <c r="L6" s="372">
        <v>0</v>
      </c>
      <c r="M6" s="372">
        <v>0</v>
      </c>
      <c r="N6" s="372">
        <v>0</v>
      </c>
      <c r="O6" s="367">
        <f t="shared" si="0"/>
        <v>0</v>
      </c>
    </row>
    <row r="7" spans="1:32" x14ac:dyDescent="0.3">
      <c r="A7" s="108"/>
      <c r="B7" s="109" t="s">
        <v>144</v>
      </c>
      <c r="C7" s="365">
        <f>SUM(C2:C6)</f>
        <v>0</v>
      </c>
      <c r="D7" s="365">
        <f t="shared" ref="D7:N7" si="1">SUM(D2:D6)</f>
        <v>0</v>
      </c>
      <c r="E7" s="365">
        <f t="shared" si="1"/>
        <v>0</v>
      </c>
      <c r="F7" s="365">
        <f t="shared" si="1"/>
        <v>0</v>
      </c>
      <c r="G7" s="365">
        <f t="shared" si="1"/>
        <v>0</v>
      </c>
      <c r="H7" s="379">
        <f t="shared" si="1"/>
        <v>0</v>
      </c>
      <c r="I7" s="379">
        <f t="shared" si="1"/>
        <v>0</v>
      </c>
      <c r="J7" s="379">
        <f t="shared" si="1"/>
        <v>0</v>
      </c>
      <c r="K7" s="379">
        <f t="shared" si="1"/>
        <v>0</v>
      </c>
      <c r="L7" s="379">
        <f t="shared" si="1"/>
        <v>0</v>
      </c>
      <c r="M7" s="379">
        <f t="shared" si="1"/>
        <v>0</v>
      </c>
      <c r="N7" s="379">
        <f t="shared" si="1"/>
        <v>0</v>
      </c>
      <c r="O7" s="366">
        <f>SUM(O2:O6)</f>
        <v>0</v>
      </c>
    </row>
    <row r="8" spans="1:32" x14ac:dyDescent="0.3">
      <c r="A8" s="102" t="s">
        <v>145</v>
      </c>
      <c r="B8" s="102" t="s">
        <v>146</v>
      </c>
      <c r="C8" s="103">
        <v>0</v>
      </c>
      <c r="D8" s="103">
        <v>0</v>
      </c>
      <c r="E8" s="103">
        <v>0</v>
      </c>
      <c r="F8" s="103">
        <v>0</v>
      </c>
      <c r="G8" s="103">
        <v>0</v>
      </c>
      <c r="H8" s="372">
        <v>0</v>
      </c>
      <c r="I8" s="372">
        <v>0</v>
      </c>
      <c r="J8" s="372">
        <v>0</v>
      </c>
      <c r="K8" s="372">
        <v>0</v>
      </c>
      <c r="L8" s="372">
        <v>0</v>
      </c>
      <c r="M8" s="372">
        <v>0</v>
      </c>
      <c r="N8" s="372">
        <v>0</v>
      </c>
      <c r="O8" s="367">
        <f>SUM(C8:N8)</f>
        <v>0</v>
      </c>
    </row>
    <row r="9" spans="1:32" x14ac:dyDescent="0.3">
      <c r="A9" s="102">
        <v>450000</v>
      </c>
      <c r="B9" s="102" t="s">
        <v>147</v>
      </c>
      <c r="C9" s="103">
        <v>0</v>
      </c>
      <c r="D9" s="103">
        <v>0</v>
      </c>
      <c r="E9" s="103">
        <v>0</v>
      </c>
      <c r="F9" s="103">
        <v>0</v>
      </c>
      <c r="G9" s="103">
        <v>0</v>
      </c>
      <c r="H9" s="372">
        <v>0</v>
      </c>
      <c r="I9" s="372">
        <v>0</v>
      </c>
      <c r="J9" s="372">
        <v>0</v>
      </c>
      <c r="K9" s="372">
        <v>0</v>
      </c>
      <c r="L9" s="372">
        <v>0</v>
      </c>
      <c r="M9" s="372">
        <v>0</v>
      </c>
      <c r="N9" s="372">
        <v>0</v>
      </c>
      <c r="O9" s="367">
        <f t="shared" ref="O9:O22" si="2">SUM(C9:N9)</f>
        <v>0</v>
      </c>
    </row>
    <row r="10" spans="1:32" x14ac:dyDescent="0.3">
      <c r="A10" s="102" t="s">
        <v>148</v>
      </c>
      <c r="B10" s="102" t="s">
        <v>149</v>
      </c>
      <c r="C10" s="103">
        <v>0</v>
      </c>
      <c r="D10" s="103">
        <v>0</v>
      </c>
      <c r="E10" s="103">
        <v>0</v>
      </c>
      <c r="F10" s="103">
        <v>0</v>
      </c>
      <c r="G10" s="103">
        <v>0</v>
      </c>
      <c r="H10" s="372">
        <v>0</v>
      </c>
      <c r="I10" s="372">
        <v>0</v>
      </c>
      <c r="J10" s="372">
        <v>0</v>
      </c>
      <c r="K10" s="372">
        <v>0</v>
      </c>
      <c r="L10" s="372">
        <v>0</v>
      </c>
      <c r="M10" s="372">
        <v>0</v>
      </c>
      <c r="N10" s="372">
        <v>0</v>
      </c>
      <c r="O10" s="367">
        <f t="shared" si="2"/>
        <v>0</v>
      </c>
    </row>
    <row r="11" spans="1:32" x14ac:dyDescent="0.3">
      <c r="A11" s="102" t="s">
        <v>150</v>
      </c>
      <c r="B11" s="102" t="s">
        <v>151</v>
      </c>
      <c r="C11" s="103">
        <v>0</v>
      </c>
      <c r="D11" s="103">
        <v>0</v>
      </c>
      <c r="E11" s="103">
        <v>0</v>
      </c>
      <c r="F11" s="103">
        <v>0</v>
      </c>
      <c r="G11" s="103">
        <v>0</v>
      </c>
      <c r="H11" s="372">
        <v>0</v>
      </c>
      <c r="I11" s="372">
        <v>0</v>
      </c>
      <c r="J11" s="372">
        <v>0</v>
      </c>
      <c r="K11" s="372">
        <v>0</v>
      </c>
      <c r="L11" s="372">
        <v>0</v>
      </c>
      <c r="M11" s="372">
        <v>0</v>
      </c>
      <c r="N11" s="372">
        <v>0</v>
      </c>
      <c r="O11" s="367">
        <f t="shared" si="2"/>
        <v>0</v>
      </c>
    </row>
    <row r="12" spans="1:32" x14ac:dyDescent="0.3">
      <c r="A12" s="102" t="s">
        <v>152</v>
      </c>
      <c r="B12" s="102" t="s">
        <v>153</v>
      </c>
      <c r="C12" s="103">
        <v>0</v>
      </c>
      <c r="D12" s="103">
        <v>0</v>
      </c>
      <c r="E12" s="103">
        <v>0</v>
      </c>
      <c r="F12" s="103">
        <v>0</v>
      </c>
      <c r="G12" s="103">
        <v>0</v>
      </c>
      <c r="H12" s="372">
        <v>0</v>
      </c>
      <c r="I12" s="372">
        <v>0</v>
      </c>
      <c r="J12" s="372">
        <v>0</v>
      </c>
      <c r="K12" s="372">
        <v>0</v>
      </c>
      <c r="L12" s="372">
        <v>0</v>
      </c>
      <c r="M12" s="372">
        <v>0</v>
      </c>
      <c r="N12" s="372">
        <v>0</v>
      </c>
      <c r="O12" s="367">
        <f t="shared" si="2"/>
        <v>0</v>
      </c>
    </row>
    <row r="13" spans="1:32" x14ac:dyDescent="0.3">
      <c r="A13" s="102" t="s">
        <v>154</v>
      </c>
      <c r="B13" s="102" t="s">
        <v>155</v>
      </c>
      <c r="C13" s="103">
        <v>0</v>
      </c>
      <c r="D13" s="103">
        <v>0</v>
      </c>
      <c r="E13" s="103">
        <v>0</v>
      </c>
      <c r="F13" s="103">
        <v>0</v>
      </c>
      <c r="G13" s="103">
        <v>0</v>
      </c>
      <c r="H13" s="372">
        <v>0</v>
      </c>
      <c r="I13" s="372">
        <v>0</v>
      </c>
      <c r="J13" s="372">
        <v>0</v>
      </c>
      <c r="K13" s="372">
        <v>0</v>
      </c>
      <c r="L13" s="372">
        <v>0</v>
      </c>
      <c r="M13" s="372">
        <v>0</v>
      </c>
      <c r="N13" s="372">
        <v>0</v>
      </c>
      <c r="O13" s="367">
        <f t="shared" si="2"/>
        <v>0</v>
      </c>
    </row>
    <row r="14" spans="1:32" x14ac:dyDescent="0.3">
      <c r="A14" s="102" t="s">
        <v>156</v>
      </c>
      <c r="B14" s="102" t="s">
        <v>157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372">
        <v>0</v>
      </c>
      <c r="I14" s="372">
        <v>0</v>
      </c>
      <c r="J14" s="372">
        <v>0</v>
      </c>
      <c r="K14" s="372">
        <v>0</v>
      </c>
      <c r="L14" s="372">
        <v>0</v>
      </c>
      <c r="M14" s="372">
        <v>0</v>
      </c>
      <c r="N14" s="372">
        <v>0</v>
      </c>
      <c r="O14" s="367">
        <f t="shared" si="2"/>
        <v>0</v>
      </c>
    </row>
    <row r="15" spans="1:32" s="126" customFormat="1" x14ac:dyDescent="0.3">
      <c r="A15" s="124" t="s">
        <v>158</v>
      </c>
      <c r="B15" s="124" t="s">
        <v>159</v>
      </c>
      <c r="C15" s="125">
        <v>0</v>
      </c>
      <c r="D15" s="125">
        <v>0</v>
      </c>
      <c r="E15" s="125">
        <v>0</v>
      </c>
      <c r="F15" s="125">
        <v>0</v>
      </c>
      <c r="G15" s="125">
        <v>0</v>
      </c>
      <c r="H15" s="384">
        <v>0</v>
      </c>
      <c r="I15" s="384">
        <v>0</v>
      </c>
      <c r="J15" s="384">
        <v>0</v>
      </c>
      <c r="K15" s="384">
        <v>0</v>
      </c>
      <c r="L15" s="384">
        <v>0</v>
      </c>
      <c r="M15" s="384">
        <v>0</v>
      </c>
      <c r="N15" s="384">
        <v>0</v>
      </c>
      <c r="O15" s="367">
        <f t="shared" si="2"/>
        <v>0</v>
      </c>
    </row>
    <row r="16" spans="1:32" x14ac:dyDescent="0.3">
      <c r="A16" s="102" t="s">
        <v>160</v>
      </c>
      <c r="B16" s="102" t="s">
        <v>161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 s="372">
        <v>0</v>
      </c>
      <c r="I16" s="372">
        <v>0</v>
      </c>
      <c r="J16" s="372">
        <v>0</v>
      </c>
      <c r="K16" s="372">
        <v>0</v>
      </c>
      <c r="L16" s="372">
        <v>0</v>
      </c>
      <c r="M16" s="372">
        <v>0</v>
      </c>
      <c r="N16" s="372">
        <v>0</v>
      </c>
      <c r="O16" s="367">
        <f t="shared" si="2"/>
        <v>0</v>
      </c>
    </row>
    <row r="17" spans="1:15" x14ac:dyDescent="0.3">
      <c r="A17" s="102" t="s">
        <v>162</v>
      </c>
      <c r="B17" s="102" t="s">
        <v>163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372">
        <v>0</v>
      </c>
      <c r="I17" s="372">
        <v>0</v>
      </c>
      <c r="J17" s="372">
        <v>0</v>
      </c>
      <c r="K17" s="372">
        <v>0</v>
      </c>
      <c r="L17" s="372">
        <v>0</v>
      </c>
      <c r="M17" s="372">
        <v>0</v>
      </c>
      <c r="N17" s="372">
        <v>0</v>
      </c>
      <c r="O17" s="367">
        <f t="shared" si="2"/>
        <v>0</v>
      </c>
    </row>
    <row r="18" spans="1:15" x14ac:dyDescent="0.3">
      <c r="A18" s="102">
        <v>456000</v>
      </c>
      <c r="B18" s="102" t="s">
        <v>164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372">
        <v>0</v>
      </c>
      <c r="I18" s="372">
        <v>0</v>
      </c>
      <c r="J18" s="372">
        <v>0</v>
      </c>
      <c r="K18" s="372">
        <v>0</v>
      </c>
      <c r="L18" s="372">
        <v>0</v>
      </c>
      <c r="M18" s="372">
        <v>0</v>
      </c>
      <c r="N18" s="372">
        <v>0</v>
      </c>
      <c r="O18" s="367">
        <f t="shared" si="2"/>
        <v>0</v>
      </c>
    </row>
    <row r="19" spans="1:15" s="126" customFormat="1" x14ac:dyDescent="0.3">
      <c r="A19" s="124" t="s">
        <v>165</v>
      </c>
      <c r="B19" s="124" t="s">
        <v>166</v>
      </c>
      <c r="C19" s="125">
        <v>0</v>
      </c>
      <c r="D19" s="125">
        <v>0</v>
      </c>
      <c r="E19" s="125">
        <v>0</v>
      </c>
      <c r="F19" s="125">
        <v>0</v>
      </c>
      <c r="G19" s="125">
        <v>0</v>
      </c>
      <c r="H19" s="384">
        <v>0</v>
      </c>
      <c r="I19" s="384">
        <v>0</v>
      </c>
      <c r="J19" s="384">
        <v>0</v>
      </c>
      <c r="K19" s="384">
        <v>0</v>
      </c>
      <c r="L19" s="384"/>
      <c r="M19" s="384"/>
      <c r="N19" s="384"/>
      <c r="O19" s="367">
        <f t="shared" si="2"/>
        <v>0</v>
      </c>
    </row>
    <row r="20" spans="1:15" x14ac:dyDescent="0.3">
      <c r="A20" s="102" t="s">
        <v>167</v>
      </c>
      <c r="B20" s="102" t="s">
        <v>168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 s="372">
        <v>0</v>
      </c>
      <c r="I20" s="372">
        <v>0</v>
      </c>
      <c r="J20" s="372">
        <v>0</v>
      </c>
      <c r="K20" s="372">
        <v>0</v>
      </c>
      <c r="L20" s="372">
        <v>0</v>
      </c>
      <c r="M20" s="372">
        <v>0</v>
      </c>
      <c r="N20" s="372">
        <v>0</v>
      </c>
      <c r="O20" s="367">
        <f t="shared" si="2"/>
        <v>0</v>
      </c>
    </row>
    <row r="21" spans="1:15" x14ac:dyDescent="0.3">
      <c r="A21" s="107" t="s">
        <v>169</v>
      </c>
      <c r="B21" s="107" t="s">
        <v>170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 s="372">
        <v>0</v>
      </c>
      <c r="I21" s="372">
        <v>0</v>
      </c>
      <c r="J21" s="372">
        <v>0</v>
      </c>
      <c r="K21" s="372">
        <v>0</v>
      </c>
      <c r="L21" s="372">
        <v>0</v>
      </c>
      <c r="M21" s="372">
        <v>0</v>
      </c>
      <c r="N21" s="372">
        <v>0</v>
      </c>
      <c r="O21" s="367">
        <f t="shared" si="2"/>
        <v>0</v>
      </c>
    </row>
    <row r="22" spans="1:15" s="126" customFormat="1" x14ac:dyDescent="0.3">
      <c r="A22" s="127" t="s">
        <v>171</v>
      </c>
      <c r="B22" s="127" t="s">
        <v>172</v>
      </c>
      <c r="C22" s="125">
        <v>0</v>
      </c>
      <c r="D22" s="125">
        <v>0</v>
      </c>
      <c r="E22" s="125">
        <v>0</v>
      </c>
      <c r="F22" s="125">
        <v>0</v>
      </c>
      <c r="G22" s="125">
        <v>0</v>
      </c>
      <c r="H22" s="384">
        <v>0</v>
      </c>
      <c r="I22" s="384">
        <v>0</v>
      </c>
      <c r="J22" s="384">
        <v>0</v>
      </c>
      <c r="K22" s="384">
        <v>0</v>
      </c>
      <c r="L22" s="384">
        <v>0</v>
      </c>
      <c r="M22" s="384">
        <v>0</v>
      </c>
      <c r="N22" s="384">
        <v>0</v>
      </c>
      <c r="O22" s="367">
        <f t="shared" si="2"/>
        <v>0</v>
      </c>
    </row>
    <row r="23" spans="1:15" x14ac:dyDescent="0.3">
      <c r="A23" s="108"/>
      <c r="B23" s="109" t="s">
        <v>173</v>
      </c>
      <c r="C23" s="121">
        <f>SUM(C8:C22)</f>
        <v>0</v>
      </c>
      <c r="D23" s="121">
        <f t="shared" ref="D23:N23" si="3">SUM(D8:D22)</f>
        <v>0</v>
      </c>
      <c r="E23" s="121">
        <f t="shared" si="3"/>
        <v>0</v>
      </c>
      <c r="F23" s="121">
        <f t="shared" si="3"/>
        <v>0</v>
      </c>
      <c r="G23" s="121">
        <f t="shared" si="3"/>
        <v>0</v>
      </c>
      <c r="H23" s="385">
        <f t="shared" si="3"/>
        <v>0</v>
      </c>
      <c r="I23" s="385">
        <f t="shared" si="3"/>
        <v>0</v>
      </c>
      <c r="J23" s="385">
        <f t="shared" si="3"/>
        <v>0</v>
      </c>
      <c r="K23" s="385">
        <f t="shared" si="3"/>
        <v>0</v>
      </c>
      <c r="L23" s="385">
        <f t="shared" si="3"/>
        <v>0</v>
      </c>
      <c r="M23" s="385">
        <f t="shared" si="3"/>
        <v>0</v>
      </c>
      <c r="N23" s="385">
        <f t="shared" si="3"/>
        <v>0</v>
      </c>
      <c r="O23" s="396">
        <f>SUM(O8:O22)</f>
        <v>0</v>
      </c>
    </row>
    <row r="24" spans="1:15" x14ac:dyDescent="0.3">
      <c r="A24" s="104"/>
      <c r="B24" s="105" t="s">
        <v>174</v>
      </c>
      <c r="C24" s="122">
        <f t="shared" ref="C24:N24" si="4">C23+C7</f>
        <v>0</v>
      </c>
      <c r="D24" s="122">
        <f t="shared" si="4"/>
        <v>0</v>
      </c>
      <c r="E24" s="122">
        <f t="shared" si="4"/>
        <v>0</v>
      </c>
      <c r="F24" s="122">
        <f t="shared" si="4"/>
        <v>0</v>
      </c>
      <c r="G24" s="122">
        <f t="shared" si="4"/>
        <v>0</v>
      </c>
      <c r="H24" s="386">
        <f t="shared" si="4"/>
        <v>0</v>
      </c>
      <c r="I24" s="386">
        <f t="shared" si="4"/>
        <v>0</v>
      </c>
      <c r="J24" s="386">
        <f t="shared" si="4"/>
        <v>0</v>
      </c>
      <c r="K24" s="386">
        <f t="shared" si="4"/>
        <v>0</v>
      </c>
      <c r="L24" s="386">
        <f t="shared" si="4"/>
        <v>0</v>
      </c>
      <c r="M24" s="386">
        <f t="shared" si="4"/>
        <v>0</v>
      </c>
      <c r="N24" s="386">
        <f t="shared" si="4"/>
        <v>0</v>
      </c>
      <c r="O24" s="419">
        <f>O23</f>
        <v>0</v>
      </c>
    </row>
    <row r="25" spans="1:15" x14ac:dyDescent="0.3">
      <c r="A25" s="102">
        <v>522000</v>
      </c>
      <c r="B25" s="102" t="s">
        <v>175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 s="372">
        <v>0</v>
      </c>
      <c r="I25" s="372">
        <v>0</v>
      </c>
      <c r="J25" s="372">
        <v>0</v>
      </c>
      <c r="K25" s="372">
        <v>0</v>
      </c>
      <c r="L25" s="372">
        <v>0</v>
      </c>
      <c r="M25" s="372">
        <v>0</v>
      </c>
      <c r="N25" s="372">
        <v>0</v>
      </c>
      <c r="O25" s="367">
        <f t="shared" ref="O25:O28" si="5">SUM(C25:N25)</f>
        <v>0</v>
      </c>
    </row>
    <row r="26" spans="1:15" x14ac:dyDescent="0.3">
      <c r="A26" s="102" t="s">
        <v>176</v>
      </c>
      <c r="B26" s="102" t="s">
        <v>177</v>
      </c>
      <c r="C26" s="125">
        <v>0</v>
      </c>
      <c r="D26" s="125">
        <v>0</v>
      </c>
      <c r="E26" s="125">
        <v>0</v>
      </c>
      <c r="F26" s="125">
        <v>0</v>
      </c>
      <c r="G26" s="125">
        <v>0</v>
      </c>
      <c r="H26" s="384">
        <v>0</v>
      </c>
      <c r="I26" s="384">
        <v>0</v>
      </c>
      <c r="J26" s="384">
        <v>0</v>
      </c>
      <c r="K26" s="384">
        <v>0</v>
      </c>
      <c r="L26" s="384">
        <v>0</v>
      </c>
      <c r="M26" s="384">
        <v>0</v>
      </c>
      <c r="N26" s="384">
        <v>0</v>
      </c>
      <c r="O26" s="367">
        <f t="shared" si="5"/>
        <v>0</v>
      </c>
    </row>
    <row r="27" spans="1:15" x14ac:dyDescent="0.3">
      <c r="A27" s="102" t="s">
        <v>178</v>
      </c>
      <c r="B27" s="102" t="s">
        <v>179</v>
      </c>
      <c r="C27" s="113">
        <v>0</v>
      </c>
      <c r="D27" s="113">
        <v>0</v>
      </c>
      <c r="E27" s="113">
        <v>0</v>
      </c>
      <c r="F27" s="113">
        <v>0</v>
      </c>
      <c r="G27" s="113">
        <v>0</v>
      </c>
      <c r="H27" s="387">
        <v>0</v>
      </c>
      <c r="I27" s="387">
        <v>0</v>
      </c>
      <c r="J27" s="387">
        <v>0</v>
      </c>
      <c r="K27" s="387">
        <v>0</v>
      </c>
      <c r="L27" s="387">
        <v>0</v>
      </c>
      <c r="M27" s="387">
        <v>0</v>
      </c>
      <c r="N27" s="387">
        <v>0</v>
      </c>
      <c r="O27" s="367">
        <f t="shared" si="5"/>
        <v>0</v>
      </c>
    </row>
    <row r="28" spans="1:15" x14ac:dyDescent="0.3">
      <c r="A28" s="107" t="s">
        <v>180</v>
      </c>
      <c r="B28" s="107" t="s">
        <v>181</v>
      </c>
      <c r="C28" s="113">
        <v>0</v>
      </c>
      <c r="D28" s="113">
        <v>0</v>
      </c>
      <c r="E28" s="113">
        <v>0</v>
      </c>
      <c r="F28" s="113">
        <v>0</v>
      </c>
      <c r="G28" s="113">
        <v>0</v>
      </c>
      <c r="H28" s="387">
        <v>0</v>
      </c>
      <c r="I28" s="387">
        <v>0</v>
      </c>
      <c r="J28" s="387">
        <v>0</v>
      </c>
      <c r="K28" s="387">
        <v>0</v>
      </c>
      <c r="L28" s="387">
        <v>0</v>
      </c>
      <c r="M28" s="387">
        <v>0</v>
      </c>
      <c r="N28" s="387">
        <v>0</v>
      </c>
      <c r="O28" s="367">
        <f t="shared" si="5"/>
        <v>0</v>
      </c>
    </row>
    <row r="29" spans="1:15" x14ac:dyDescent="0.3">
      <c r="A29" s="108"/>
      <c r="B29" s="109" t="s">
        <v>182</v>
      </c>
      <c r="C29" s="369">
        <f>SUM(C24:C28)</f>
        <v>0</v>
      </c>
      <c r="D29" s="369">
        <f t="shared" ref="D29:N29" si="6">SUM(D24:D28)</f>
        <v>0</v>
      </c>
      <c r="E29" s="369">
        <f t="shared" si="6"/>
        <v>0</v>
      </c>
      <c r="F29" s="369">
        <f t="shared" si="6"/>
        <v>0</v>
      </c>
      <c r="G29" s="369">
        <f t="shared" si="6"/>
        <v>0</v>
      </c>
      <c r="H29" s="390">
        <f t="shared" si="6"/>
        <v>0</v>
      </c>
      <c r="I29" s="390">
        <f t="shared" si="6"/>
        <v>0</v>
      </c>
      <c r="J29" s="390">
        <f t="shared" si="6"/>
        <v>0</v>
      </c>
      <c r="K29" s="390">
        <f t="shared" si="6"/>
        <v>0</v>
      </c>
      <c r="L29" s="390">
        <f t="shared" si="6"/>
        <v>0</v>
      </c>
      <c r="M29" s="390">
        <f t="shared" si="6"/>
        <v>0</v>
      </c>
      <c r="N29" s="390">
        <f t="shared" si="6"/>
        <v>0</v>
      </c>
      <c r="O29" s="396">
        <f>SUM(O24:O28)</f>
        <v>0</v>
      </c>
    </row>
    <row r="30" spans="1:15" x14ac:dyDescent="0.3">
      <c r="A30" s="102">
        <v>561000</v>
      </c>
      <c r="B30" s="102" t="s">
        <v>183</v>
      </c>
      <c r="C30" s="103">
        <v>0</v>
      </c>
      <c r="D30" s="103"/>
      <c r="E30" s="103">
        <v>0</v>
      </c>
      <c r="F30" s="103">
        <v>0</v>
      </c>
      <c r="G30" s="103">
        <v>0</v>
      </c>
      <c r="H30" s="372">
        <v>0</v>
      </c>
      <c r="I30" s="372">
        <v>0</v>
      </c>
      <c r="J30" s="372">
        <v>0</v>
      </c>
      <c r="K30" s="372">
        <v>0</v>
      </c>
      <c r="L30" s="372">
        <v>0</v>
      </c>
      <c r="M30" s="372">
        <v>0</v>
      </c>
      <c r="N30" s="372">
        <v>0</v>
      </c>
      <c r="O30" s="367">
        <f>SUM(C30:N30)</f>
        <v>0</v>
      </c>
    </row>
    <row r="31" spans="1:15" x14ac:dyDescent="0.3">
      <c r="A31" s="102" t="s">
        <v>184</v>
      </c>
      <c r="B31" s="102" t="s">
        <v>185</v>
      </c>
      <c r="C31" s="112">
        <v>0</v>
      </c>
      <c r="D31" s="112">
        <v>0</v>
      </c>
      <c r="E31" s="112">
        <v>0</v>
      </c>
      <c r="F31" s="112">
        <v>0</v>
      </c>
      <c r="G31" s="112">
        <v>0</v>
      </c>
      <c r="H31" s="389">
        <v>0</v>
      </c>
      <c r="I31" s="389">
        <v>0</v>
      </c>
      <c r="J31" s="389">
        <v>0</v>
      </c>
      <c r="K31" s="389">
        <v>0</v>
      </c>
      <c r="L31" s="389">
        <v>0</v>
      </c>
      <c r="M31" s="389">
        <v>0</v>
      </c>
      <c r="N31" s="389">
        <v>0</v>
      </c>
      <c r="O31" s="367">
        <f t="shared" ref="O31:O51" si="7">SUM(C31:N31)</f>
        <v>0</v>
      </c>
    </row>
    <row r="32" spans="1:15" x14ac:dyDescent="0.3">
      <c r="A32" s="102" t="s">
        <v>186</v>
      </c>
      <c r="B32" s="102" t="s">
        <v>187</v>
      </c>
      <c r="C32" s="103">
        <v>0</v>
      </c>
      <c r="D32" s="103">
        <v>0</v>
      </c>
      <c r="E32" s="103">
        <v>0</v>
      </c>
      <c r="F32" s="103">
        <v>0</v>
      </c>
      <c r="G32" s="103">
        <v>0</v>
      </c>
      <c r="H32" s="372">
        <v>0</v>
      </c>
      <c r="I32" s="372">
        <v>0</v>
      </c>
      <c r="J32" s="372">
        <v>0</v>
      </c>
      <c r="K32" s="372">
        <v>0</v>
      </c>
      <c r="L32" s="372">
        <v>0</v>
      </c>
      <c r="M32" s="372">
        <v>0</v>
      </c>
      <c r="N32" s="372">
        <v>0</v>
      </c>
      <c r="O32" s="367">
        <f t="shared" si="7"/>
        <v>0</v>
      </c>
    </row>
    <row r="33" spans="1:15" x14ac:dyDescent="0.3">
      <c r="A33" s="102" t="s">
        <v>188</v>
      </c>
      <c r="B33" s="102" t="s">
        <v>189</v>
      </c>
      <c r="C33" s="103">
        <v>0</v>
      </c>
      <c r="D33" s="103">
        <v>0</v>
      </c>
      <c r="E33" s="103">
        <v>0</v>
      </c>
      <c r="F33" s="103">
        <v>0</v>
      </c>
      <c r="G33" s="103">
        <v>0</v>
      </c>
      <c r="H33" s="372">
        <v>0</v>
      </c>
      <c r="I33" s="372">
        <v>0</v>
      </c>
      <c r="J33" s="372">
        <v>0</v>
      </c>
      <c r="K33" s="372">
        <v>0</v>
      </c>
      <c r="L33" s="372">
        <v>0</v>
      </c>
      <c r="M33" s="372">
        <v>0</v>
      </c>
      <c r="N33" s="372">
        <v>0</v>
      </c>
      <c r="O33" s="367">
        <f t="shared" si="7"/>
        <v>0</v>
      </c>
    </row>
    <row r="34" spans="1:15" x14ac:dyDescent="0.3">
      <c r="A34" s="102" t="s">
        <v>190</v>
      </c>
      <c r="B34" s="102" t="s">
        <v>191</v>
      </c>
      <c r="C34" s="103">
        <v>0</v>
      </c>
      <c r="D34" s="103">
        <v>0</v>
      </c>
      <c r="E34" s="103">
        <v>0</v>
      </c>
      <c r="F34" s="103">
        <v>0</v>
      </c>
      <c r="G34" s="103">
        <v>0</v>
      </c>
      <c r="H34" s="372">
        <v>0</v>
      </c>
      <c r="I34" s="372">
        <v>0</v>
      </c>
      <c r="J34" s="372">
        <v>0</v>
      </c>
      <c r="K34" s="372">
        <v>0</v>
      </c>
      <c r="L34" s="372">
        <v>0</v>
      </c>
      <c r="M34" s="372">
        <v>0</v>
      </c>
      <c r="N34" s="372">
        <v>0</v>
      </c>
      <c r="O34" s="367">
        <f t="shared" si="7"/>
        <v>0</v>
      </c>
    </row>
    <row r="35" spans="1:15" x14ac:dyDescent="0.3">
      <c r="A35" s="102" t="s">
        <v>192</v>
      </c>
      <c r="B35" s="102" t="s">
        <v>193</v>
      </c>
      <c r="C35" s="103">
        <v>0</v>
      </c>
      <c r="D35" s="103">
        <v>0</v>
      </c>
      <c r="E35" s="103">
        <v>0</v>
      </c>
      <c r="F35" s="103">
        <v>0</v>
      </c>
      <c r="G35" s="103">
        <v>0</v>
      </c>
      <c r="H35" s="372">
        <v>0</v>
      </c>
      <c r="I35" s="372">
        <v>0</v>
      </c>
      <c r="J35" s="372">
        <v>0</v>
      </c>
      <c r="K35" s="372">
        <v>0</v>
      </c>
      <c r="L35" s="372">
        <v>0</v>
      </c>
      <c r="M35" s="372">
        <v>0</v>
      </c>
      <c r="N35" s="372">
        <v>0</v>
      </c>
      <c r="O35" s="367">
        <f t="shared" si="7"/>
        <v>0</v>
      </c>
    </row>
    <row r="36" spans="1:15" x14ac:dyDescent="0.3">
      <c r="A36" s="102" t="s">
        <v>194</v>
      </c>
      <c r="B36" s="102" t="s">
        <v>195</v>
      </c>
      <c r="C36" s="103">
        <v>0</v>
      </c>
      <c r="D36" s="103">
        <v>0</v>
      </c>
      <c r="E36" s="103">
        <v>0</v>
      </c>
      <c r="F36" s="103">
        <v>0</v>
      </c>
      <c r="G36" s="103">
        <v>0</v>
      </c>
      <c r="H36" s="372">
        <v>0</v>
      </c>
      <c r="I36" s="372">
        <v>0</v>
      </c>
      <c r="J36" s="372">
        <v>0</v>
      </c>
      <c r="K36" s="372">
        <v>0</v>
      </c>
      <c r="L36" s="372">
        <v>0</v>
      </c>
      <c r="M36" s="372">
        <v>0</v>
      </c>
      <c r="N36" s="372">
        <v>0</v>
      </c>
      <c r="O36" s="367">
        <f t="shared" si="7"/>
        <v>0</v>
      </c>
    </row>
    <row r="37" spans="1:15" x14ac:dyDescent="0.3">
      <c r="A37" s="102" t="s">
        <v>196</v>
      </c>
      <c r="B37" s="102" t="s">
        <v>380</v>
      </c>
      <c r="C37" s="113">
        <v>0</v>
      </c>
      <c r="D37" s="113">
        <v>0</v>
      </c>
      <c r="E37" s="113">
        <v>0</v>
      </c>
      <c r="F37" s="113">
        <v>0</v>
      </c>
      <c r="G37" s="113">
        <v>0</v>
      </c>
      <c r="H37" s="387">
        <v>0</v>
      </c>
      <c r="I37" s="387">
        <v>0</v>
      </c>
      <c r="J37" s="387">
        <v>0</v>
      </c>
      <c r="K37" s="387">
        <v>0</v>
      </c>
      <c r="L37" s="387">
        <v>0</v>
      </c>
      <c r="M37" s="387">
        <v>0</v>
      </c>
      <c r="N37" s="387">
        <v>0</v>
      </c>
      <c r="O37" s="367">
        <f t="shared" si="7"/>
        <v>0</v>
      </c>
    </row>
    <row r="38" spans="1:15" x14ac:dyDescent="0.3">
      <c r="A38" s="102" t="s">
        <v>197</v>
      </c>
      <c r="B38" s="102" t="s">
        <v>198</v>
      </c>
      <c r="C38" s="113">
        <v>0</v>
      </c>
      <c r="D38" s="113">
        <v>0</v>
      </c>
      <c r="E38" s="113">
        <v>0</v>
      </c>
      <c r="F38" s="113">
        <v>0</v>
      </c>
      <c r="G38" s="113">
        <v>0</v>
      </c>
      <c r="H38" s="387">
        <v>0</v>
      </c>
      <c r="I38" s="387">
        <v>0</v>
      </c>
      <c r="J38" s="387">
        <v>0</v>
      </c>
      <c r="K38" s="387">
        <v>0</v>
      </c>
      <c r="L38" s="387">
        <v>0</v>
      </c>
      <c r="M38" s="387">
        <v>0</v>
      </c>
      <c r="N38" s="387">
        <v>0</v>
      </c>
      <c r="O38" s="367">
        <f t="shared" si="7"/>
        <v>0</v>
      </c>
    </row>
    <row r="39" spans="1:15" x14ac:dyDescent="0.3">
      <c r="A39" s="102">
        <v>577200</v>
      </c>
      <c r="B39" s="102" t="s">
        <v>199</v>
      </c>
      <c r="C39" s="103">
        <v>0</v>
      </c>
      <c r="D39" s="103">
        <v>0</v>
      </c>
      <c r="E39" s="103">
        <v>0</v>
      </c>
      <c r="F39" s="103">
        <v>0</v>
      </c>
      <c r="G39" s="103">
        <v>0</v>
      </c>
      <c r="H39" s="372">
        <v>0</v>
      </c>
      <c r="I39" s="372">
        <v>0</v>
      </c>
      <c r="J39" s="372">
        <v>0</v>
      </c>
      <c r="K39" s="372">
        <v>0</v>
      </c>
      <c r="L39" s="372">
        <v>0</v>
      </c>
      <c r="M39" s="372">
        <v>0</v>
      </c>
      <c r="N39" s="372">
        <v>0</v>
      </c>
      <c r="O39" s="367">
        <f t="shared" si="7"/>
        <v>0</v>
      </c>
    </row>
    <row r="40" spans="1:15" x14ac:dyDescent="0.3">
      <c r="A40" s="102" t="s">
        <v>200</v>
      </c>
      <c r="B40" s="102" t="s">
        <v>201</v>
      </c>
      <c r="C40" s="113">
        <v>0</v>
      </c>
      <c r="D40" s="113">
        <v>0</v>
      </c>
      <c r="E40" s="113">
        <v>0</v>
      </c>
      <c r="F40" s="113">
        <v>0</v>
      </c>
      <c r="G40" s="113">
        <v>0</v>
      </c>
      <c r="H40" s="387">
        <v>0</v>
      </c>
      <c r="I40" s="387">
        <v>0</v>
      </c>
      <c r="J40" s="387">
        <v>0</v>
      </c>
      <c r="K40" s="387">
        <v>0</v>
      </c>
      <c r="L40" s="387">
        <v>0</v>
      </c>
      <c r="M40" s="387">
        <v>0</v>
      </c>
      <c r="N40" s="387">
        <v>0</v>
      </c>
      <c r="O40" s="367">
        <f t="shared" si="7"/>
        <v>0</v>
      </c>
    </row>
    <row r="41" spans="1:15" x14ac:dyDescent="0.3">
      <c r="A41" s="102" t="s">
        <v>202</v>
      </c>
      <c r="B41" s="102" t="s">
        <v>203</v>
      </c>
      <c r="C41" s="113">
        <v>0</v>
      </c>
      <c r="D41" s="113">
        <v>0</v>
      </c>
      <c r="E41" s="113">
        <v>0</v>
      </c>
      <c r="F41" s="113">
        <v>0</v>
      </c>
      <c r="G41" s="113">
        <v>0</v>
      </c>
      <c r="H41" s="387">
        <v>0</v>
      </c>
      <c r="I41" s="387">
        <v>0</v>
      </c>
      <c r="J41" s="387">
        <v>0</v>
      </c>
      <c r="K41" s="387">
        <v>0</v>
      </c>
      <c r="L41" s="387">
        <v>0</v>
      </c>
      <c r="M41" s="387">
        <v>0</v>
      </c>
      <c r="N41" s="387">
        <v>0</v>
      </c>
      <c r="O41" s="367">
        <f t="shared" si="7"/>
        <v>0</v>
      </c>
    </row>
    <row r="42" spans="1:15" x14ac:dyDescent="0.3">
      <c r="A42" s="102" t="s">
        <v>204</v>
      </c>
      <c r="B42" s="102" t="s">
        <v>205</v>
      </c>
      <c r="C42" s="103">
        <v>0</v>
      </c>
      <c r="D42" s="103">
        <v>0</v>
      </c>
      <c r="E42" s="103">
        <v>0</v>
      </c>
      <c r="F42" s="103">
        <v>0</v>
      </c>
      <c r="G42" s="103">
        <v>0</v>
      </c>
      <c r="H42" s="372">
        <v>0</v>
      </c>
      <c r="I42" s="372">
        <v>0</v>
      </c>
      <c r="J42" s="372">
        <v>0</v>
      </c>
      <c r="K42" s="372">
        <v>0</v>
      </c>
      <c r="L42" s="372">
        <v>0</v>
      </c>
      <c r="M42" s="372">
        <v>0</v>
      </c>
      <c r="N42" s="372">
        <v>0</v>
      </c>
      <c r="O42" s="367">
        <f t="shared" si="7"/>
        <v>0</v>
      </c>
    </row>
    <row r="43" spans="1:15" x14ac:dyDescent="0.3">
      <c r="A43" s="102" t="s">
        <v>206</v>
      </c>
      <c r="B43" s="102" t="s">
        <v>207</v>
      </c>
      <c r="C43" s="103">
        <v>0</v>
      </c>
      <c r="D43" s="103">
        <v>0</v>
      </c>
      <c r="E43" s="103">
        <v>0</v>
      </c>
      <c r="F43" s="103">
        <v>0</v>
      </c>
      <c r="G43" s="103">
        <v>0</v>
      </c>
      <c r="H43" s="372">
        <v>0</v>
      </c>
      <c r="I43" s="372">
        <v>0</v>
      </c>
      <c r="J43" s="372">
        <v>0</v>
      </c>
      <c r="K43" s="372">
        <v>0</v>
      </c>
      <c r="L43" s="372">
        <v>0</v>
      </c>
      <c r="M43" s="372">
        <v>0</v>
      </c>
      <c r="N43" s="372">
        <v>0</v>
      </c>
      <c r="O43" s="367">
        <f t="shared" si="7"/>
        <v>0</v>
      </c>
    </row>
    <row r="44" spans="1:15" x14ac:dyDescent="0.3">
      <c r="A44" s="102" t="s">
        <v>208</v>
      </c>
      <c r="B44" s="102" t="s">
        <v>209</v>
      </c>
      <c r="C44" s="113">
        <v>0</v>
      </c>
      <c r="D44" s="113">
        <v>0</v>
      </c>
      <c r="E44" s="113">
        <v>0</v>
      </c>
      <c r="F44" s="113">
        <v>0</v>
      </c>
      <c r="G44" s="113">
        <v>0</v>
      </c>
      <c r="H44" s="387">
        <v>0</v>
      </c>
      <c r="I44" s="387">
        <v>0</v>
      </c>
      <c r="J44" s="387">
        <v>0</v>
      </c>
      <c r="K44" s="387">
        <v>0</v>
      </c>
      <c r="L44" s="387">
        <v>0</v>
      </c>
      <c r="M44" s="387">
        <v>0</v>
      </c>
      <c r="N44" s="387">
        <v>0</v>
      </c>
      <c r="O44" s="367">
        <f t="shared" si="7"/>
        <v>0</v>
      </c>
    </row>
    <row r="45" spans="1:15" x14ac:dyDescent="0.3">
      <c r="A45" s="102" t="s">
        <v>210</v>
      </c>
      <c r="B45" s="102" t="s">
        <v>211</v>
      </c>
      <c r="C45" s="113">
        <v>0</v>
      </c>
      <c r="D45" s="113">
        <v>2000</v>
      </c>
      <c r="E45" s="113">
        <v>0</v>
      </c>
      <c r="F45" s="113">
        <v>0</v>
      </c>
      <c r="G45" s="113">
        <v>2000</v>
      </c>
      <c r="H45" s="387">
        <v>0</v>
      </c>
      <c r="I45" s="387">
        <v>0</v>
      </c>
      <c r="J45" s="387">
        <v>0</v>
      </c>
      <c r="K45" s="387">
        <v>0</v>
      </c>
      <c r="L45" s="387">
        <f>2000+2400+2000</f>
        <v>6400</v>
      </c>
      <c r="M45" s="387">
        <v>0</v>
      </c>
      <c r="N45" s="387">
        <v>0</v>
      </c>
      <c r="O45" s="367">
        <f t="shared" si="7"/>
        <v>10400</v>
      </c>
    </row>
    <row r="46" spans="1:15" x14ac:dyDescent="0.3">
      <c r="A46" s="102" t="s">
        <v>212</v>
      </c>
      <c r="B46" s="102" t="s">
        <v>213</v>
      </c>
      <c r="C46" s="113">
        <v>0</v>
      </c>
      <c r="D46" s="113">
        <v>0</v>
      </c>
      <c r="E46" s="113">
        <v>0</v>
      </c>
      <c r="F46" s="113">
        <v>0</v>
      </c>
      <c r="G46" s="113">
        <v>0</v>
      </c>
      <c r="H46" s="387">
        <v>0</v>
      </c>
      <c r="I46" s="387">
        <v>0</v>
      </c>
      <c r="J46" s="387">
        <v>0</v>
      </c>
      <c r="K46" s="387">
        <v>0</v>
      </c>
      <c r="L46" s="387">
        <v>0</v>
      </c>
      <c r="M46" s="387">
        <v>0</v>
      </c>
      <c r="N46" s="387">
        <v>0</v>
      </c>
      <c r="O46" s="367">
        <f t="shared" si="7"/>
        <v>0</v>
      </c>
    </row>
    <row r="47" spans="1:15" x14ac:dyDescent="0.3">
      <c r="A47" s="102" t="s">
        <v>214</v>
      </c>
      <c r="B47" s="102" t="s">
        <v>215</v>
      </c>
      <c r="C47" s="113">
        <v>0</v>
      </c>
      <c r="D47" s="113">
        <v>0</v>
      </c>
      <c r="E47" s="113">
        <v>0</v>
      </c>
      <c r="F47" s="113">
        <v>0</v>
      </c>
      <c r="G47" s="113">
        <v>0</v>
      </c>
      <c r="H47" s="387">
        <v>0</v>
      </c>
      <c r="I47" s="387">
        <v>0</v>
      </c>
      <c r="J47" s="387">
        <v>0</v>
      </c>
      <c r="K47" s="387">
        <v>0</v>
      </c>
      <c r="L47" s="387">
        <v>0</v>
      </c>
      <c r="M47" s="387">
        <v>0</v>
      </c>
      <c r="N47" s="387">
        <v>0</v>
      </c>
      <c r="O47" s="367">
        <f t="shared" si="7"/>
        <v>0</v>
      </c>
    </row>
    <row r="48" spans="1:15" x14ac:dyDescent="0.3">
      <c r="A48" s="102" t="s">
        <v>216</v>
      </c>
      <c r="B48" s="102" t="s">
        <v>217</v>
      </c>
      <c r="C48" s="113">
        <v>0</v>
      </c>
      <c r="D48" s="113">
        <v>0</v>
      </c>
      <c r="E48" s="113">
        <v>0</v>
      </c>
      <c r="F48" s="113">
        <v>0</v>
      </c>
      <c r="G48" s="113">
        <v>0</v>
      </c>
      <c r="H48" s="387">
        <v>0</v>
      </c>
      <c r="I48" s="387">
        <v>0</v>
      </c>
      <c r="J48" s="387">
        <v>0</v>
      </c>
      <c r="K48" s="387">
        <v>0</v>
      </c>
      <c r="L48" s="387">
        <v>0</v>
      </c>
      <c r="M48" s="387">
        <v>0</v>
      </c>
      <c r="N48" s="387">
        <v>0</v>
      </c>
      <c r="O48" s="367">
        <f t="shared" si="7"/>
        <v>0</v>
      </c>
    </row>
    <row r="49" spans="1:15" x14ac:dyDescent="0.3">
      <c r="A49" s="102" t="s">
        <v>218</v>
      </c>
      <c r="B49" s="102" t="s">
        <v>219</v>
      </c>
      <c r="C49" s="113">
        <v>0</v>
      </c>
      <c r="D49" s="113">
        <v>0</v>
      </c>
      <c r="E49" s="113">
        <v>0</v>
      </c>
      <c r="F49" s="113">
        <v>0</v>
      </c>
      <c r="G49" s="113">
        <v>0</v>
      </c>
      <c r="H49" s="387">
        <v>0</v>
      </c>
      <c r="I49" s="387">
        <v>0</v>
      </c>
      <c r="J49" s="387">
        <v>0</v>
      </c>
      <c r="K49" s="387">
        <v>0</v>
      </c>
      <c r="L49" s="387">
        <v>0</v>
      </c>
      <c r="M49" s="387">
        <v>0</v>
      </c>
      <c r="N49" s="387">
        <v>0</v>
      </c>
      <c r="O49" s="367">
        <f t="shared" si="7"/>
        <v>0</v>
      </c>
    </row>
    <row r="50" spans="1:15" x14ac:dyDescent="0.3">
      <c r="A50" s="102" t="s">
        <v>220</v>
      </c>
      <c r="B50" s="102" t="s">
        <v>221</v>
      </c>
      <c r="C50" s="113">
        <v>0</v>
      </c>
      <c r="D50" s="113">
        <v>0</v>
      </c>
      <c r="E50" s="113">
        <v>0</v>
      </c>
      <c r="F50" s="113">
        <v>0</v>
      </c>
      <c r="G50" s="113">
        <v>0</v>
      </c>
      <c r="H50" s="387">
        <v>0</v>
      </c>
      <c r="I50" s="387">
        <v>0</v>
      </c>
      <c r="J50" s="387">
        <v>0</v>
      </c>
      <c r="K50" s="387">
        <v>0</v>
      </c>
      <c r="L50" s="387">
        <v>0</v>
      </c>
      <c r="M50" s="387">
        <v>0</v>
      </c>
      <c r="N50" s="387">
        <v>0</v>
      </c>
      <c r="O50" s="367">
        <f t="shared" si="7"/>
        <v>0</v>
      </c>
    </row>
    <row r="51" spans="1:15" x14ac:dyDescent="0.3">
      <c r="A51" s="107" t="s">
        <v>222</v>
      </c>
      <c r="B51" s="107" t="s">
        <v>223</v>
      </c>
      <c r="C51" s="103">
        <v>0</v>
      </c>
      <c r="D51" s="103">
        <v>0</v>
      </c>
      <c r="E51" s="103">
        <v>0</v>
      </c>
      <c r="F51" s="103">
        <v>0</v>
      </c>
      <c r="G51" s="103">
        <v>0</v>
      </c>
      <c r="H51" s="372">
        <v>0</v>
      </c>
      <c r="I51" s="372">
        <v>0</v>
      </c>
      <c r="J51" s="372">
        <v>0</v>
      </c>
      <c r="K51" s="372">
        <v>0</v>
      </c>
      <c r="L51" s="372">
        <v>0</v>
      </c>
      <c r="M51" s="372">
        <v>0</v>
      </c>
      <c r="N51" s="372">
        <v>0</v>
      </c>
      <c r="O51" s="367">
        <f t="shared" si="7"/>
        <v>0</v>
      </c>
    </row>
    <row r="52" spans="1:15" x14ac:dyDescent="0.3">
      <c r="A52" s="363"/>
      <c r="B52" s="364" t="s">
        <v>224</v>
      </c>
      <c r="C52" s="369">
        <f>SUM(C30:C51)</f>
        <v>0</v>
      </c>
      <c r="D52" s="369">
        <f t="shared" ref="D52:N52" si="8">SUM(D30:D51)</f>
        <v>2000</v>
      </c>
      <c r="E52" s="369">
        <f t="shared" si="8"/>
        <v>0</v>
      </c>
      <c r="F52" s="369">
        <f t="shared" si="8"/>
        <v>0</v>
      </c>
      <c r="G52" s="369">
        <f t="shared" si="8"/>
        <v>2000</v>
      </c>
      <c r="H52" s="390">
        <f t="shared" si="8"/>
        <v>0</v>
      </c>
      <c r="I52" s="390">
        <f t="shared" si="8"/>
        <v>0</v>
      </c>
      <c r="J52" s="390">
        <f t="shared" si="8"/>
        <v>0</v>
      </c>
      <c r="K52" s="390">
        <f t="shared" si="8"/>
        <v>0</v>
      </c>
      <c r="L52" s="390">
        <f t="shared" si="8"/>
        <v>6400</v>
      </c>
      <c r="M52" s="390">
        <f t="shared" si="8"/>
        <v>0</v>
      </c>
      <c r="N52" s="390">
        <f t="shared" si="8"/>
        <v>0</v>
      </c>
      <c r="O52" s="396">
        <f t="shared" ref="O52" si="9">SUM(E52:N52)</f>
        <v>8400</v>
      </c>
    </row>
    <row r="53" spans="1:15" x14ac:dyDescent="0.3">
      <c r="A53" s="421"/>
      <c r="B53" s="362" t="s">
        <v>225</v>
      </c>
      <c r="C53" s="370">
        <f>C52+C29</f>
        <v>0</v>
      </c>
      <c r="D53" s="370">
        <f t="shared" ref="D53:O53" si="10">D52+D29</f>
        <v>2000</v>
      </c>
      <c r="E53" s="370">
        <f t="shared" si="10"/>
        <v>0</v>
      </c>
      <c r="F53" s="370">
        <f t="shared" si="10"/>
        <v>0</v>
      </c>
      <c r="G53" s="370">
        <f t="shared" si="10"/>
        <v>2000</v>
      </c>
      <c r="H53" s="391">
        <f>H52+H29</f>
        <v>0</v>
      </c>
      <c r="I53" s="391">
        <f t="shared" ref="I53:K53" si="11">I52+I29</f>
        <v>0</v>
      </c>
      <c r="J53" s="391">
        <f t="shared" si="11"/>
        <v>0</v>
      </c>
      <c r="K53" s="391">
        <f t="shared" si="11"/>
        <v>0</v>
      </c>
      <c r="L53" s="391">
        <f t="shared" si="10"/>
        <v>6400</v>
      </c>
      <c r="M53" s="391">
        <f t="shared" si="10"/>
        <v>0</v>
      </c>
      <c r="N53" s="391">
        <f t="shared" si="10"/>
        <v>0</v>
      </c>
      <c r="O53" s="419">
        <f t="shared" si="10"/>
        <v>8400</v>
      </c>
    </row>
    <row r="54" spans="1:15" x14ac:dyDescent="0.3">
      <c r="A54" s="102" t="s">
        <v>226</v>
      </c>
      <c r="B54" s="102" t="s">
        <v>227</v>
      </c>
      <c r="C54" s="113">
        <v>0</v>
      </c>
      <c r="D54" s="113">
        <v>0</v>
      </c>
      <c r="E54" s="113">
        <v>0</v>
      </c>
      <c r="F54" s="113">
        <v>0</v>
      </c>
      <c r="G54" s="113">
        <v>0</v>
      </c>
      <c r="H54" s="387">
        <v>0</v>
      </c>
      <c r="I54" s="387">
        <v>0</v>
      </c>
      <c r="J54" s="387">
        <v>0</v>
      </c>
      <c r="K54" s="387">
        <v>0</v>
      </c>
      <c r="L54" s="387">
        <v>0</v>
      </c>
      <c r="M54" s="387">
        <v>0</v>
      </c>
      <c r="N54" s="387">
        <v>0</v>
      </c>
      <c r="O54" s="142">
        <f>SUM(C54:N54)</f>
        <v>0</v>
      </c>
    </row>
    <row r="55" spans="1:15" x14ac:dyDescent="0.3">
      <c r="A55" s="102" t="s">
        <v>228</v>
      </c>
      <c r="B55" s="102" t="s">
        <v>229</v>
      </c>
      <c r="C55" s="113">
        <f>C54*0.09</f>
        <v>0</v>
      </c>
      <c r="D55" s="113">
        <f t="shared" ref="D55:N55" si="12">D54*0.09</f>
        <v>0</v>
      </c>
      <c r="E55" s="113">
        <f t="shared" si="12"/>
        <v>0</v>
      </c>
      <c r="F55" s="113">
        <f t="shared" si="12"/>
        <v>0</v>
      </c>
      <c r="G55" s="113">
        <f t="shared" si="12"/>
        <v>0</v>
      </c>
      <c r="H55" s="387">
        <f t="shared" si="12"/>
        <v>0</v>
      </c>
      <c r="I55" s="387">
        <f t="shared" si="12"/>
        <v>0</v>
      </c>
      <c r="J55" s="387">
        <f t="shared" si="12"/>
        <v>0</v>
      </c>
      <c r="K55" s="387">
        <f t="shared" si="12"/>
        <v>0</v>
      </c>
      <c r="L55" s="387">
        <f t="shared" si="12"/>
        <v>0</v>
      </c>
      <c r="M55" s="387">
        <f t="shared" si="12"/>
        <v>0</v>
      </c>
      <c r="N55" s="387">
        <f t="shared" si="12"/>
        <v>0</v>
      </c>
      <c r="O55" s="142">
        <f t="shared" ref="O55:O104" si="13">SUM(C55:N55)</f>
        <v>0</v>
      </c>
    </row>
    <row r="56" spans="1:15" x14ac:dyDescent="0.3">
      <c r="A56" s="102" t="s">
        <v>230</v>
      </c>
      <c r="B56" s="102" t="s">
        <v>231</v>
      </c>
      <c r="C56" s="113">
        <v>0</v>
      </c>
      <c r="D56" s="113">
        <v>0</v>
      </c>
      <c r="E56" s="113">
        <v>0</v>
      </c>
      <c r="F56" s="113">
        <v>0</v>
      </c>
      <c r="G56" s="113">
        <v>0</v>
      </c>
      <c r="H56" s="387">
        <v>0</v>
      </c>
      <c r="I56" s="387">
        <v>0</v>
      </c>
      <c r="J56" s="387">
        <v>0</v>
      </c>
      <c r="K56" s="387">
        <v>0</v>
      </c>
      <c r="L56" s="387">
        <v>0</v>
      </c>
      <c r="M56" s="387">
        <v>0</v>
      </c>
      <c r="N56" s="387">
        <v>0</v>
      </c>
      <c r="O56" s="142">
        <f t="shared" si="13"/>
        <v>0</v>
      </c>
    </row>
    <row r="57" spans="1:15" x14ac:dyDescent="0.3">
      <c r="A57" s="102" t="s">
        <v>232</v>
      </c>
      <c r="B57" s="102" t="s">
        <v>233</v>
      </c>
      <c r="C57" s="103">
        <v>0</v>
      </c>
      <c r="D57" s="103">
        <v>0</v>
      </c>
      <c r="E57" s="103">
        <v>0</v>
      </c>
      <c r="F57" s="103">
        <v>0</v>
      </c>
      <c r="G57" s="103">
        <v>0</v>
      </c>
      <c r="H57" s="372">
        <v>0</v>
      </c>
      <c r="I57" s="372">
        <v>0</v>
      </c>
      <c r="J57" s="372">
        <v>0</v>
      </c>
      <c r="K57" s="372">
        <v>0</v>
      </c>
      <c r="L57" s="372">
        <v>0</v>
      </c>
      <c r="M57" s="372">
        <v>0</v>
      </c>
      <c r="N57" s="372">
        <v>0</v>
      </c>
      <c r="O57" s="142">
        <f t="shared" si="13"/>
        <v>0</v>
      </c>
    </row>
    <row r="58" spans="1:15" x14ac:dyDescent="0.3">
      <c r="A58" s="102" t="s">
        <v>234</v>
      </c>
      <c r="B58" s="102" t="s">
        <v>235</v>
      </c>
      <c r="C58" s="113">
        <v>0</v>
      </c>
      <c r="D58" s="113">
        <v>0</v>
      </c>
      <c r="E58" s="113">
        <v>0</v>
      </c>
      <c r="F58" s="113">
        <v>0</v>
      </c>
      <c r="G58" s="113">
        <v>0</v>
      </c>
      <c r="H58" s="387">
        <v>0</v>
      </c>
      <c r="I58" s="387">
        <v>0</v>
      </c>
      <c r="J58" s="387">
        <v>0</v>
      </c>
      <c r="K58" s="387">
        <v>0</v>
      </c>
      <c r="L58" s="387">
        <v>0</v>
      </c>
      <c r="M58" s="387">
        <v>0</v>
      </c>
      <c r="N58" s="387">
        <v>0</v>
      </c>
      <c r="O58" s="142">
        <f t="shared" si="13"/>
        <v>0</v>
      </c>
    </row>
    <row r="59" spans="1:15" x14ac:dyDescent="0.3">
      <c r="A59" s="102" t="s">
        <v>236</v>
      </c>
      <c r="B59" s="102" t="s">
        <v>237</v>
      </c>
      <c r="C59" s="113">
        <v>0</v>
      </c>
      <c r="D59" s="113">
        <v>0</v>
      </c>
      <c r="E59" s="113">
        <v>0</v>
      </c>
      <c r="F59" s="113">
        <v>0</v>
      </c>
      <c r="G59" s="113">
        <v>0</v>
      </c>
      <c r="H59" s="387">
        <v>0</v>
      </c>
      <c r="I59" s="387">
        <v>0</v>
      </c>
      <c r="J59" s="387">
        <v>0</v>
      </c>
      <c r="K59" s="387">
        <v>0</v>
      </c>
      <c r="L59" s="387">
        <v>0</v>
      </c>
      <c r="M59" s="387">
        <v>0</v>
      </c>
      <c r="N59" s="387">
        <v>0</v>
      </c>
      <c r="O59" s="142">
        <f t="shared" si="13"/>
        <v>0</v>
      </c>
    </row>
    <row r="60" spans="1:15" x14ac:dyDescent="0.3">
      <c r="A60" s="102" t="s">
        <v>238</v>
      </c>
      <c r="B60" s="102" t="s">
        <v>239</v>
      </c>
      <c r="C60" s="103">
        <v>0</v>
      </c>
      <c r="D60" s="103">
        <v>0</v>
      </c>
      <c r="E60" s="103">
        <v>0</v>
      </c>
      <c r="F60" s="103">
        <v>0</v>
      </c>
      <c r="G60" s="103">
        <v>0</v>
      </c>
      <c r="H60" s="372">
        <v>0</v>
      </c>
      <c r="I60" s="372">
        <v>0</v>
      </c>
      <c r="J60" s="372">
        <v>0</v>
      </c>
      <c r="K60" s="372">
        <v>0</v>
      </c>
      <c r="L60" s="372">
        <v>0</v>
      </c>
      <c r="M60" s="372">
        <v>0</v>
      </c>
      <c r="N60" s="372">
        <v>0</v>
      </c>
      <c r="O60" s="142">
        <f t="shared" si="13"/>
        <v>0</v>
      </c>
    </row>
    <row r="61" spans="1:15" x14ac:dyDescent="0.3">
      <c r="A61" s="102" t="s">
        <v>240</v>
      </c>
      <c r="B61" s="102" t="s">
        <v>241</v>
      </c>
      <c r="C61" s="113">
        <v>0</v>
      </c>
      <c r="D61" s="113">
        <v>0</v>
      </c>
      <c r="E61" s="113">
        <v>0</v>
      </c>
      <c r="F61" s="113">
        <v>0</v>
      </c>
      <c r="G61" s="113">
        <v>0</v>
      </c>
      <c r="H61" s="387">
        <v>0</v>
      </c>
      <c r="I61" s="387">
        <v>0</v>
      </c>
      <c r="J61" s="387">
        <v>0</v>
      </c>
      <c r="K61" s="387">
        <v>0</v>
      </c>
      <c r="L61" s="387">
        <v>0</v>
      </c>
      <c r="M61" s="387">
        <v>0</v>
      </c>
      <c r="N61" s="387">
        <v>0</v>
      </c>
      <c r="O61" s="142">
        <f t="shared" si="13"/>
        <v>0</v>
      </c>
    </row>
    <row r="62" spans="1:15" x14ac:dyDescent="0.3">
      <c r="A62" s="102" t="s">
        <v>242</v>
      </c>
      <c r="B62" s="102" t="s">
        <v>243</v>
      </c>
      <c r="C62" s="113">
        <f>C61*0.09</f>
        <v>0</v>
      </c>
      <c r="D62" s="113">
        <f t="shared" ref="D62:N62" si="14">D61*0.09</f>
        <v>0</v>
      </c>
      <c r="E62" s="113">
        <f t="shared" si="14"/>
        <v>0</v>
      </c>
      <c r="F62" s="113">
        <f t="shared" si="14"/>
        <v>0</v>
      </c>
      <c r="G62" s="113">
        <f t="shared" si="14"/>
        <v>0</v>
      </c>
      <c r="H62" s="387">
        <f t="shared" si="14"/>
        <v>0</v>
      </c>
      <c r="I62" s="387">
        <f t="shared" si="14"/>
        <v>0</v>
      </c>
      <c r="J62" s="387">
        <f t="shared" si="14"/>
        <v>0</v>
      </c>
      <c r="K62" s="387">
        <f t="shared" si="14"/>
        <v>0</v>
      </c>
      <c r="L62" s="387">
        <f t="shared" si="14"/>
        <v>0</v>
      </c>
      <c r="M62" s="387">
        <f t="shared" si="14"/>
        <v>0</v>
      </c>
      <c r="N62" s="387">
        <f t="shared" si="14"/>
        <v>0</v>
      </c>
      <c r="O62" s="142">
        <f t="shared" si="13"/>
        <v>0</v>
      </c>
    </row>
    <row r="63" spans="1:15" x14ac:dyDescent="0.3">
      <c r="A63" s="102" t="s">
        <v>244</v>
      </c>
      <c r="B63" s="102" t="s">
        <v>245</v>
      </c>
      <c r="C63" s="113">
        <v>0</v>
      </c>
      <c r="D63" s="113">
        <v>0</v>
      </c>
      <c r="E63" s="113">
        <v>0</v>
      </c>
      <c r="F63" s="113">
        <v>0</v>
      </c>
      <c r="G63" s="113">
        <v>0</v>
      </c>
      <c r="H63" s="387">
        <v>0</v>
      </c>
      <c r="I63" s="387">
        <v>0</v>
      </c>
      <c r="J63" s="387">
        <v>0</v>
      </c>
      <c r="K63" s="387">
        <v>0</v>
      </c>
      <c r="L63" s="387">
        <v>0</v>
      </c>
      <c r="M63" s="387">
        <v>0</v>
      </c>
      <c r="N63" s="387">
        <v>0</v>
      </c>
      <c r="O63" s="142">
        <f t="shared" si="13"/>
        <v>0</v>
      </c>
    </row>
    <row r="64" spans="1:15" x14ac:dyDescent="0.3">
      <c r="A64" s="102" t="s">
        <v>246</v>
      </c>
      <c r="B64" s="102" t="s">
        <v>247</v>
      </c>
      <c r="C64" s="113">
        <v>0</v>
      </c>
      <c r="D64" s="113">
        <v>0</v>
      </c>
      <c r="E64" s="113">
        <v>0</v>
      </c>
      <c r="F64" s="113">
        <v>0</v>
      </c>
      <c r="G64" s="113">
        <v>0</v>
      </c>
      <c r="H64" s="387">
        <v>0</v>
      </c>
      <c r="I64" s="387">
        <v>0</v>
      </c>
      <c r="J64" s="387">
        <v>0</v>
      </c>
      <c r="K64" s="387">
        <v>0</v>
      </c>
      <c r="L64" s="387">
        <v>0</v>
      </c>
      <c r="M64" s="387">
        <v>0</v>
      </c>
      <c r="N64" s="387">
        <v>0</v>
      </c>
      <c r="O64" s="142">
        <f t="shared" si="13"/>
        <v>0</v>
      </c>
    </row>
    <row r="65" spans="1:15" x14ac:dyDescent="0.3">
      <c r="A65" s="102" t="s">
        <v>248</v>
      </c>
      <c r="B65" s="102" t="s">
        <v>249</v>
      </c>
      <c r="C65" s="113">
        <f>C64*0.09</f>
        <v>0</v>
      </c>
      <c r="D65" s="113">
        <f t="shared" ref="D65:N65" si="15">D64*0.09</f>
        <v>0</v>
      </c>
      <c r="E65" s="113">
        <f t="shared" si="15"/>
        <v>0</v>
      </c>
      <c r="F65" s="113">
        <f t="shared" si="15"/>
        <v>0</v>
      </c>
      <c r="G65" s="113">
        <f t="shared" si="15"/>
        <v>0</v>
      </c>
      <c r="H65" s="387">
        <f t="shared" si="15"/>
        <v>0</v>
      </c>
      <c r="I65" s="387">
        <f t="shared" si="15"/>
        <v>0</v>
      </c>
      <c r="J65" s="387">
        <f t="shared" si="15"/>
        <v>0</v>
      </c>
      <c r="K65" s="387">
        <f t="shared" si="15"/>
        <v>0</v>
      </c>
      <c r="L65" s="387">
        <f t="shared" si="15"/>
        <v>0</v>
      </c>
      <c r="M65" s="387">
        <f t="shared" si="15"/>
        <v>0</v>
      </c>
      <c r="N65" s="387">
        <f t="shared" si="15"/>
        <v>0</v>
      </c>
      <c r="O65" s="142">
        <f t="shared" si="13"/>
        <v>0</v>
      </c>
    </row>
    <row r="66" spans="1:15" x14ac:dyDescent="0.3">
      <c r="A66" s="102" t="s">
        <v>250</v>
      </c>
      <c r="B66" s="102" t="s">
        <v>251</v>
      </c>
      <c r="C66" s="113">
        <v>0</v>
      </c>
      <c r="D66" s="113">
        <v>0</v>
      </c>
      <c r="E66" s="113">
        <v>0</v>
      </c>
      <c r="F66" s="113">
        <v>0</v>
      </c>
      <c r="G66" s="113">
        <v>0</v>
      </c>
      <c r="H66" s="387">
        <v>0</v>
      </c>
      <c r="I66" s="387">
        <v>0</v>
      </c>
      <c r="J66" s="387">
        <v>0</v>
      </c>
      <c r="K66" s="387">
        <v>0</v>
      </c>
      <c r="L66" s="387">
        <v>0</v>
      </c>
      <c r="M66" s="387">
        <v>0</v>
      </c>
      <c r="N66" s="387">
        <v>0</v>
      </c>
      <c r="O66" s="142">
        <f t="shared" si="13"/>
        <v>0</v>
      </c>
    </row>
    <row r="67" spans="1:15" x14ac:dyDescent="0.3">
      <c r="A67" s="102" t="s">
        <v>252</v>
      </c>
      <c r="B67" s="102" t="s">
        <v>253</v>
      </c>
      <c r="C67" s="103">
        <v>0</v>
      </c>
      <c r="D67" s="103">
        <v>0</v>
      </c>
      <c r="E67" s="103">
        <v>0</v>
      </c>
      <c r="F67" s="103">
        <v>0</v>
      </c>
      <c r="G67" s="103">
        <v>0</v>
      </c>
      <c r="H67" s="372">
        <v>0</v>
      </c>
      <c r="I67" s="372">
        <v>0</v>
      </c>
      <c r="J67" s="372">
        <v>0</v>
      </c>
      <c r="K67" s="372">
        <v>0</v>
      </c>
      <c r="L67" s="372">
        <v>0</v>
      </c>
      <c r="M67" s="372">
        <v>0</v>
      </c>
      <c r="N67" s="372">
        <v>0</v>
      </c>
      <c r="O67" s="142">
        <f t="shared" si="13"/>
        <v>0</v>
      </c>
    </row>
    <row r="68" spans="1:15" x14ac:dyDescent="0.3">
      <c r="A68" s="102" t="s">
        <v>254</v>
      </c>
      <c r="B68" s="102" t="s">
        <v>255</v>
      </c>
      <c r="C68" s="113">
        <v>0</v>
      </c>
      <c r="D68" s="113">
        <v>0</v>
      </c>
      <c r="E68" s="113">
        <v>0</v>
      </c>
      <c r="F68" s="113">
        <v>0</v>
      </c>
      <c r="G68" s="113">
        <v>0</v>
      </c>
      <c r="H68" s="387">
        <v>0</v>
      </c>
      <c r="I68" s="387">
        <v>0</v>
      </c>
      <c r="J68" s="387">
        <v>0</v>
      </c>
      <c r="K68" s="387">
        <v>0</v>
      </c>
      <c r="L68" s="387">
        <v>0</v>
      </c>
      <c r="M68" s="387">
        <v>0</v>
      </c>
      <c r="N68" s="387">
        <v>0</v>
      </c>
      <c r="O68" s="142">
        <f t="shared" si="13"/>
        <v>0</v>
      </c>
    </row>
    <row r="69" spans="1:15" x14ac:dyDescent="0.3">
      <c r="A69" s="102" t="s">
        <v>256</v>
      </c>
      <c r="B69" s="102" t="s">
        <v>257</v>
      </c>
      <c r="C69" s="113">
        <v>0</v>
      </c>
      <c r="D69" s="113">
        <v>0</v>
      </c>
      <c r="E69" s="113">
        <v>0</v>
      </c>
      <c r="F69" s="113">
        <v>0</v>
      </c>
      <c r="G69" s="113">
        <v>0</v>
      </c>
      <c r="H69" s="387">
        <v>0</v>
      </c>
      <c r="I69" s="387">
        <v>0</v>
      </c>
      <c r="J69" s="387">
        <v>0</v>
      </c>
      <c r="K69" s="387">
        <v>0</v>
      </c>
      <c r="L69" s="387">
        <v>0</v>
      </c>
      <c r="M69" s="387">
        <v>0</v>
      </c>
      <c r="N69" s="387">
        <v>0</v>
      </c>
      <c r="O69" s="142">
        <f t="shared" si="13"/>
        <v>0</v>
      </c>
    </row>
    <row r="70" spans="1:15" x14ac:dyDescent="0.3">
      <c r="A70" s="102" t="s">
        <v>258</v>
      </c>
      <c r="B70" s="102" t="s">
        <v>259</v>
      </c>
      <c r="C70" s="103">
        <v>0</v>
      </c>
      <c r="D70" s="103">
        <v>0</v>
      </c>
      <c r="E70" s="103">
        <v>0</v>
      </c>
      <c r="F70" s="103">
        <v>0</v>
      </c>
      <c r="G70" s="103">
        <v>0</v>
      </c>
      <c r="H70" s="372">
        <v>0</v>
      </c>
      <c r="I70" s="372">
        <v>0</v>
      </c>
      <c r="J70" s="372">
        <v>0</v>
      </c>
      <c r="K70" s="372">
        <v>0</v>
      </c>
      <c r="L70" s="372">
        <v>0</v>
      </c>
      <c r="M70" s="372">
        <v>0</v>
      </c>
      <c r="N70" s="372">
        <v>0</v>
      </c>
      <c r="O70" s="142">
        <f t="shared" si="13"/>
        <v>0</v>
      </c>
    </row>
    <row r="71" spans="1:15" x14ac:dyDescent="0.3">
      <c r="A71" s="102" t="s">
        <v>260</v>
      </c>
      <c r="B71" s="102" t="s">
        <v>261</v>
      </c>
      <c r="C71" s="103">
        <v>75</v>
      </c>
      <c r="D71" s="103">
        <v>75</v>
      </c>
      <c r="E71" s="103">
        <v>75</v>
      </c>
      <c r="F71" s="103">
        <v>75</v>
      </c>
      <c r="G71" s="103">
        <v>75</v>
      </c>
      <c r="H71" s="372">
        <v>75</v>
      </c>
      <c r="I71" s="372">
        <v>75</v>
      </c>
      <c r="J71" s="372">
        <v>75</v>
      </c>
      <c r="K71" s="372">
        <v>75</v>
      </c>
      <c r="L71" s="372">
        <v>75</v>
      </c>
      <c r="M71" s="372">
        <v>75</v>
      </c>
      <c r="N71" s="372">
        <v>75</v>
      </c>
      <c r="O71" s="142">
        <f t="shared" si="13"/>
        <v>900</v>
      </c>
    </row>
    <row r="72" spans="1:15" x14ac:dyDescent="0.3">
      <c r="A72" s="102" t="s">
        <v>262</v>
      </c>
      <c r="B72" s="102" t="s">
        <v>263</v>
      </c>
      <c r="C72" s="103">
        <v>0</v>
      </c>
      <c r="D72" s="103">
        <v>0</v>
      </c>
      <c r="E72" s="103">
        <v>0</v>
      </c>
      <c r="F72" s="103">
        <v>0</v>
      </c>
      <c r="G72" s="103">
        <v>0</v>
      </c>
      <c r="H72" s="372">
        <v>0</v>
      </c>
      <c r="I72" s="372">
        <v>0</v>
      </c>
      <c r="J72" s="372">
        <v>0</v>
      </c>
      <c r="K72" s="372">
        <v>0</v>
      </c>
      <c r="L72" s="372">
        <v>0</v>
      </c>
      <c r="M72" s="372">
        <v>0</v>
      </c>
      <c r="N72" s="372">
        <v>0</v>
      </c>
      <c r="O72" s="142">
        <f t="shared" si="13"/>
        <v>0</v>
      </c>
    </row>
    <row r="73" spans="1:15" x14ac:dyDescent="0.3">
      <c r="A73" s="102" t="s">
        <v>264</v>
      </c>
      <c r="B73" s="102" t="s">
        <v>265</v>
      </c>
      <c r="C73" s="103">
        <v>0</v>
      </c>
      <c r="D73" s="103">
        <v>0</v>
      </c>
      <c r="E73" s="103">
        <v>0</v>
      </c>
      <c r="F73" s="103">
        <v>0</v>
      </c>
      <c r="G73" s="103">
        <v>0</v>
      </c>
      <c r="H73" s="372">
        <v>0</v>
      </c>
      <c r="I73" s="372">
        <v>0</v>
      </c>
      <c r="J73" s="372">
        <v>0</v>
      </c>
      <c r="K73" s="372">
        <v>0</v>
      </c>
      <c r="L73" s="372">
        <v>0</v>
      </c>
      <c r="M73" s="372">
        <v>0</v>
      </c>
      <c r="N73" s="372">
        <v>0</v>
      </c>
      <c r="O73" s="142">
        <f t="shared" si="13"/>
        <v>0</v>
      </c>
    </row>
    <row r="74" spans="1:15" x14ac:dyDescent="0.3">
      <c r="A74" s="102" t="s">
        <v>266</v>
      </c>
      <c r="B74" s="102" t="s">
        <v>267</v>
      </c>
      <c r="C74" s="113">
        <v>0</v>
      </c>
      <c r="D74" s="422">
        <v>1500</v>
      </c>
      <c r="E74" s="113">
        <v>0</v>
      </c>
      <c r="F74" s="113">
        <v>0</v>
      </c>
      <c r="G74" s="113">
        <v>1750</v>
      </c>
      <c r="H74" s="387">
        <v>0</v>
      </c>
      <c r="I74" s="387">
        <v>0</v>
      </c>
      <c r="J74" s="423">
        <v>640</v>
      </c>
      <c r="K74" s="387">
        <v>0</v>
      </c>
      <c r="L74" s="387">
        <f>1750+1500</f>
        <v>3250</v>
      </c>
      <c r="M74" s="387">
        <v>0</v>
      </c>
      <c r="N74" s="387">
        <v>0</v>
      </c>
      <c r="O74" s="142">
        <f t="shared" si="13"/>
        <v>7140</v>
      </c>
    </row>
    <row r="75" spans="1:15" x14ac:dyDescent="0.3">
      <c r="A75" s="102" t="s">
        <v>268</v>
      </c>
      <c r="B75" s="102" t="s">
        <v>269</v>
      </c>
      <c r="C75" s="113">
        <v>0</v>
      </c>
      <c r="D75" s="113">
        <v>450</v>
      </c>
      <c r="E75" s="113">
        <v>0</v>
      </c>
      <c r="F75" s="113">
        <v>0</v>
      </c>
      <c r="G75" s="113">
        <v>1900</v>
      </c>
      <c r="H75" s="387">
        <v>0</v>
      </c>
      <c r="I75" s="387">
        <v>0</v>
      </c>
      <c r="J75" s="387">
        <v>200</v>
      </c>
      <c r="K75" s="387">
        <v>0</v>
      </c>
      <c r="L75" s="387">
        <f>50*21</f>
        <v>1050</v>
      </c>
      <c r="M75" s="387">
        <v>0</v>
      </c>
      <c r="N75" s="387">
        <v>0</v>
      </c>
      <c r="O75" s="142">
        <f t="shared" si="13"/>
        <v>3600</v>
      </c>
    </row>
    <row r="76" spans="1:15" x14ac:dyDescent="0.3">
      <c r="A76" s="102" t="s">
        <v>270</v>
      </c>
      <c r="B76" s="102" t="s">
        <v>271</v>
      </c>
      <c r="C76" s="113">
        <v>0</v>
      </c>
      <c r="D76" s="113">
        <v>1600</v>
      </c>
      <c r="E76" s="113">
        <v>0</v>
      </c>
      <c r="F76" s="113">
        <v>0</v>
      </c>
      <c r="G76" s="113">
        <v>500</v>
      </c>
      <c r="H76" s="387">
        <v>0</v>
      </c>
      <c r="I76" s="387">
        <v>0</v>
      </c>
      <c r="J76" s="387">
        <v>780</v>
      </c>
      <c r="K76" s="387">
        <v>0</v>
      </c>
      <c r="L76" s="387">
        <f>150*21</f>
        <v>3150</v>
      </c>
      <c r="M76" s="387">
        <v>0</v>
      </c>
      <c r="N76" s="387">
        <v>0</v>
      </c>
      <c r="O76" s="142">
        <f t="shared" si="13"/>
        <v>6030</v>
      </c>
    </row>
    <row r="77" spans="1:15" x14ac:dyDescent="0.3">
      <c r="A77" s="102" t="s">
        <v>272</v>
      </c>
      <c r="B77" s="102" t="s">
        <v>273</v>
      </c>
      <c r="C77" s="113">
        <v>0</v>
      </c>
      <c r="D77" s="113">
        <v>0</v>
      </c>
      <c r="E77" s="113">
        <v>0</v>
      </c>
      <c r="F77" s="113">
        <v>0</v>
      </c>
      <c r="G77" s="113">
        <v>0</v>
      </c>
      <c r="H77" s="387">
        <v>0</v>
      </c>
      <c r="I77" s="387">
        <v>0</v>
      </c>
      <c r="J77" s="387">
        <v>0</v>
      </c>
      <c r="K77" s="387">
        <v>0</v>
      </c>
      <c r="L77" s="387">
        <v>0</v>
      </c>
      <c r="M77" s="387">
        <v>0</v>
      </c>
      <c r="N77" s="387">
        <v>0</v>
      </c>
      <c r="O77" s="142">
        <f t="shared" si="13"/>
        <v>0</v>
      </c>
    </row>
    <row r="78" spans="1:15" x14ac:dyDescent="0.3">
      <c r="A78" s="102" t="s">
        <v>274</v>
      </c>
      <c r="B78" s="102" t="s">
        <v>275</v>
      </c>
      <c r="C78" s="113">
        <v>0</v>
      </c>
      <c r="D78" s="113">
        <v>500</v>
      </c>
      <c r="E78" s="113">
        <v>0</v>
      </c>
      <c r="F78" s="113">
        <v>0</v>
      </c>
      <c r="G78" s="113">
        <v>1600</v>
      </c>
      <c r="H78" s="387">
        <v>0</v>
      </c>
      <c r="I78" s="387">
        <v>0</v>
      </c>
      <c r="J78" s="387">
        <v>300</v>
      </c>
      <c r="K78" s="387">
        <v>0</v>
      </c>
      <c r="L78" s="387">
        <f>75*21</f>
        <v>1575</v>
      </c>
      <c r="M78" s="387">
        <v>0</v>
      </c>
      <c r="N78" s="387">
        <v>0</v>
      </c>
      <c r="O78" s="142">
        <f t="shared" si="13"/>
        <v>3975</v>
      </c>
    </row>
    <row r="79" spans="1:15" x14ac:dyDescent="0.3">
      <c r="A79" s="102" t="s">
        <v>276</v>
      </c>
      <c r="B79" s="102" t="s">
        <v>277</v>
      </c>
      <c r="C79" s="113">
        <v>0</v>
      </c>
      <c r="D79" s="113">
        <v>0</v>
      </c>
      <c r="E79" s="113">
        <v>0</v>
      </c>
      <c r="F79" s="113">
        <v>0</v>
      </c>
      <c r="G79" s="113">
        <v>0</v>
      </c>
      <c r="H79" s="387">
        <v>0</v>
      </c>
      <c r="I79" s="387">
        <v>0</v>
      </c>
      <c r="J79" s="387">
        <v>0</v>
      </c>
      <c r="K79" s="387">
        <v>0</v>
      </c>
      <c r="L79" s="387">
        <f>200*3</f>
        <v>600</v>
      </c>
      <c r="M79" s="387">
        <v>0</v>
      </c>
      <c r="N79" s="387">
        <v>0</v>
      </c>
      <c r="O79" s="142">
        <f t="shared" si="13"/>
        <v>600</v>
      </c>
    </row>
    <row r="80" spans="1:15" x14ac:dyDescent="0.3">
      <c r="A80" s="102" t="s">
        <v>278</v>
      </c>
      <c r="B80" s="102" t="s">
        <v>279</v>
      </c>
      <c r="C80" s="113">
        <v>0</v>
      </c>
      <c r="D80" s="113">
        <v>500</v>
      </c>
      <c r="E80" s="113">
        <v>0</v>
      </c>
      <c r="F80" s="113">
        <v>0</v>
      </c>
      <c r="G80" s="113">
        <v>200</v>
      </c>
      <c r="H80" s="387">
        <v>0</v>
      </c>
      <c r="I80" s="387">
        <v>0</v>
      </c>
      <c r="J80" s="387">
        <v>200</v>
      </c>
      <c r="K80" s="387">
        <v>0</v>
      </c>
      <c r="L80" s="387">
        <f>200+500</f>
        <v>700</v>
      </c>
      <c r="M80" s="387">
        <v>0</v>
      </c>
      <c r="N80" s="387">
        <v>0</v>
      </c>
      <c r="O80" s="142">
        <f t="shared" si="13"/>
        <v>1600</v>
      </c>
    </row>
    <row r="81" spans="1:15" x14ac:dyDescent="0.3">
      <c r="A81" s="102" t="s">
        <v>280</v>
      </c>
      <c r="B81" s="102" t="s">
        <v>281</v>
      </c>
      <c r="C81" s="113">
        <v>0</v>
      </c>
      <c r="D81" s="113">
        <v>0</v>
      </c>
      <c r="E81" s="113">
        <v>0</v>
      </c>
      <c r="F81" s="113">
        <v>0</v>
      </c>
      <c r="G81" s="113">
        <v>0</v>
      </c>
      <c r="H81" s="387">
        <v>0</v>
      </c>
      <c r="I81" s="387">
        <v>0</v>
      </c>
      <c r="J81" s="387">
        <v>0</v>
      </c>
      <c r="K81" s="387">
        <v>0</v>
      </c>
      <c r="L81" s="387">
        <v>0</v>
      </c>
      <c r="M81" s="387">
        <v>0</v>
      </c>
      <c r="N81" s="387">
        <v>0</v>
      </c>
      <c r="O81" s="142">
        <f t="shared" si="13"/>
        <v>0</v>
      </c>
    </row>
    <row r="82" spans="1:15" x14ac:dyDescent="0.3">
      <c r="A82" s="102" t="s">
        <v>282</v>
      </c>
      <c r="B82" s="102" t="s">
        <v>283</v>
      </c>
      <c r="C82" s="113">
        <v>0</v>
      </c>
      <c r="D82" s="113">
        <v>0</v>
      </c>
      <c r="E82" s="113">
        <v>0</v>
      </c>
      <c r="F82" s="113">
        <v>0</v>
      </c>
      <c r="G82" s="113">
        <v>0</v>
      </c>
      <c r="H82" s="387">
        <v>0</v>
      </c>
      <c r="I82" s="387">
        <v>0</v>
      </c>
      <c r="J82" s="387">
        <v>0</v>
      </c>
      <c r="K82" s="387">
        <v>0</v>
      </c>
      <c r="L82" s="387">
        <v>0</v>
      </c>
      <c r="M82" s="387">
        <v>0</v>
      </c>
      <c r="N82" s="387">
        <v>0</v>
      </c>
      <c r="O82" s="142">
        <f t="shared" si="13"/>
        <v>0</v>
      </c>
    </row>
    <row r="83" spans="1:15" x14ac:dyDescent="0.3">
      <c r="A83" s="102" t="s">
        <v>284</v>
      </c>
      <c r="B83" s="102" t="s">
        <v>285</v>
      </c>
      <c r="C83" s="113">
        <v>0</v>
      </c>
      <c r="D83" s="113">
        <v>0</v>
      </c>
      <c r="E83" s="113">
        <v>0</v>
      </c>
      <c r="F83" s="113">
        <v>0</v>
      </c>
      <c r="G83" s="113">
        <v>0</v>
      </c>
      <c r="H83" s="387">
        <v>0</v>
      </c>
      <c r="I83" s="387">
        <v>0</v>
      </c>
      <c r="J83" s="387">
        <v>0</v>
      </c>
      <c r="K83" s="387">
        <v>0</v>
      </c>
      <c r="L83" s="387">
        <v>0</v>
      </c>
      <c r="M83" s="387">
        <v>0</v>
      </c>
      <c r="N83" s="387">
        <v>0</v>
      </c>
      <c r="O83" s="142">
        <f t="shared" si="13"/>
        <v>0</v>
      </c>
    </row>
    <row r="84" spans="1:15" x14ac:dyDescent="0.3">
      <c r="A84" s="102" t="s">
        <v>286</v>
      </c>
      <c r="B84" s="102" t="s">
        <v>287</v>
      </c>
      <c r="C84" s="113">
        <v>0</v>
      </c>
      <c r="D84" s="113">
        <v>0</v>
      </c>
      <c r="E84" s="113">
        <v>0</v>
      </c>
      <c r="F84" s="113">
        <v>0</v>
      </c>
      <c r="G84" s="113">
        <v>0</v>
      </c>
      <c r="H84" s="387">
        <v>0</v>
      </c>
      <c r="I84" s="387">
        <v>0</v>
      </c>
      <c r="J84" s="387">
        <v>0</v>
      </c>
      <c r="K84" s="387">
        <v>0</v>
      </c>
      <c r="L84" s="387">
        <v>0</v>
      </c>
      <c r="M84" s="387">
        <v>0</v>
      </c>
      <c r="N84" s="387">
        <v>0</v>
      </c>
      <c r="O84" s="142">
        <f t="shared" si="13"/>
        <v>0</v>
      </c>
    </row>
    <row r="85" spans="1:15" x14ac:dyDescent="0.3">
      <c r="A85" s="102" t="s">
        <v>288</v>
      </c>
      <c r="B85" s="102" t="s">
        <v>289</v>
      </c>
      <c r="C85" s="113">
        <v>0</v>
      </c>
      <c r="D85" s="113">
        <v>0</v>
      </c>
      <c r="E85" s="113">
        <v>0</v>
      </c>
      <c r="F85" s="113">
        <v>0</v>
      </c>
      <c r="G85" s="113">
        <v>0</v>
      </c>
      <c r="H85" s="387">
        <v>0</v>
      </c>
      <c r="I85" s="387">
        <v>0</v>
      </c>
      <c r="J85" s="387">
        <v>0</v>
      </c>
      <c r="K85" s="387">
        <v>0</v>
      </c>
      <c r="L85" s="387">
        <v>0</v>
      </c>
      <c r="M85" s="387">
        <v>0</v>
      </c>
      <c r="N85" s="387">
        <v>0</v>
      </c>
      <c r="O85" s="142">
        <f t="shared" si="13"/>
        <v>0</v>
      </c>
    </row>
    <row r="86" spans="1:15" x14ac:dyDescent="0.3">
      <c r="A86" s="102" t="s">
        <v>290</v>
      </c>
      <c r="B86" s="102" t="s">
        <v>291</v>
      </c>
      <c r="C86" s="113">
        <v>0</v>
      </c>
      <c r="D86" s="113">
        <v>0</v>
      </c>
      <c r="E86" s="113">
        <v>0</v>
      </c>
      <c r="F86" s="113">
        <v>0</v>
      </c>
      <c r="G86" s="113">
        <v>0</v>
      </c>
      <c r="H86" s="387">
        <v>0</v>
      </c>
      <c r="I86" s="387">
        <v>0</v>
      </c>
      <c r="J86" s="387">
        <v>0</v>
      </c>
      <c r="K86" s="387">
        <v>0</v>
      </c>
      <c r="L86" s="387">
        <v>0</v>
      </c>
      <c r="M86" s="387">
        <v>0</v>
      </c>
      <c r="N86" s="387">
        <v>0</v>
      </c>
      <c r="O86" s="142">
        <f t="shared" si="13"/>
        <v>0</v>
      </c>
    </row>
    <row r="87" spans="1:15" x14ac:dyDescent="0.3">
      <c r="A87" s="102" t="s">
        <v>292</v>
      </c>
      <c r="B87" s="102" t="s">
        <v>293</v>
      </c>
      <c r="C87" s="113">
        <v>0</v>
      </c>
      <c r="D87" s="113">
        <v>0</v>
      </c>
      <c r="E87" s="113">
        <v>0</v>
      </c>
      <c r="F87" s="113">
        <v>0</v>
      </c>
      <c r="G87" s="113">
        <v>0</v>
      </c>
      <c r="H87" s="387">
        <v>0</v>
      </c>
      <c r="I87" s="387">
        <v>0</v>
      </c>
      <c r="J87" s="387">
        <v>0</v>
      </c>
      <c r="K87" s="387">
        <v>0</v>
      </c>
      <c r="L87" s="387">
        <v>0</v>
      </c>
      <c r="M87" s="387">
        <v>0</v>
      </c>
      <c r="N87" s="387">
        <v>0</v>
      </c>
      <c r="O87" s="142">
        <f t="shared" si="13"/>
        <v>0</v>
      </c>
    </row>
    <row r="88" spans="1:15" x14ac:dyDescent="0.3">
      <c r="A88" s="102" t="s">
        <v>294</v>
      </c>
      <c r="B88" s="102" t="s">
        <v>295</v>
      </c>
      <c r="C88" s="113">
        <v>0</v>
      </c>
      <c r="D88" s="113">
        <v>0</v>
      </c>
      <c r="E88" s="113">
        <v>0</v>
      </c>
      <c r="F88" s="113">
        <v>0</v>
      </c>
      <c r="G88" s="113">
        <v>0</v>
      </c>
      <c r="H88" s="387">
        <v>0</v>
      </c>
      <c r="I88" s="387">
        <v>0</v>
      </c>
      <c r="J88" s="387">
        <v>0</v>
      </c>
      <c r="K88" s="387">
        <v>0</v>
      </c>
      <c r="L88" s="387">
        <v>0</v>
      </c>
      <c r="M88" s="387">
        <v>0</v>
      </c>
      <c r="N88" s="387">
        <v>0</v>
      </c>
      <c r="O88" s="142">
        <f t="shared" si="13"/>
        <v>0</v>
      </c>
    </row>
    <row r="89" spans="1:15" x14ac:dyDescent="0.3">
      <c r="A89" s="102" t="s">
        <v>296</v>
      </c>
      <c r="B89" s="102" t="s">
        <v>297</v>
      </c>
      <c r="C89" s="113">
        <v>0</v>
      </c>
      <c r="D89" s="113">
        <v>0</v>
      </c>
      <c r="E89" s="113">
        <v>0</v>
      </c>
      <c r="F89" s="113">
        <v>0</v>
      </c>
      <c r="G89" s="113">
        <v>0</v>
      </c>
      <c r="H89" s="387">
        <v>0</v>
      </c>
      <c r="I89" s="387">
        <v>0</v>
      </c>
      <c r="J89" s="387">
        <v>0</v>
      </c>
      <c r="K89" s="387">
        <v>0</v>
      </c>
      <c r="L89" s="387">
        <v>0</v>
      </c>
      <c r="M89" s="387">
        <v>0</v>
      </c>
      <c r="N89" s="387">
        <v>0</v>
      </c>
      <c r="O89" s="142">
        <f t="shared" si="13"/>
        <v>0</v>
      </c>
    </row>
    <row r="90" spans="1:15" x14ac:dyDescent="0.3">
      <c r="A90" s="102" t="s">
        <v>298</v>
      </c>
      <c r="B90" s="102" t="s">
        <v>299</v>
      </c>
      <c r="C90" s="103">
        <v>0</v>
      </c>
      <c r="D90" s="103">
        <v>0</v>
      </c>
      <c r="E90" s="103">
        <v>0</v>
      </c>
      <c r="F90" s="103">
        <v>0</v>
      </c>
      <c r="G90" s="103">
        <v>0</v>
      </c>
      <c r="H90" s="372">
        <v>0</v>
      </c>
      <c r="I90" s="372">
        <v>0</v>
      </c>
      <c r="J90" s="372">
        <v>0</v>
      </c>
      <c r="K90" s="372">
        <v>0</v>
      </c>
      <c r="L90" s="372">
        <v>0</v>
      </c>
      <c r="M90" s="372">
        <v>0</v>
      </c>
      <c r="N90" s="372">
        <v>0</v>
      </c>
      <c r="O90" s="142">
        <f t="shared" si="13"/>
        <v>0</v>
      </c>
    </row>
    <row r="91" spans="1:15" x14ac:dyDescent="0.3">
      <c r="A91" s="102" t="s">
        <v>300</v>
      </c>
      <c r="B91" s="102" t="s">
        <v>301</v>
      </c>
      <c r="C91" s="113">
        <v>0</v>
      </c>
      <c r="D91" s="113">
        <v>0</v>
      </c>
      <c r="E91" s="113">
        <v>0</v>
      </c>
      <c r="F91" s="113">
        <v>0</v>
      </c>
      <c r="G91" s="113">
        <v>0</v>
      </c>
      <c r="H91" s="387">
        <v>0</v>
      </c>
      <c r="I91" s="387">
        <v>0</v>
      </c>
      <c r="J91" s="387">
        <v>0</v>
      </c>
      <c r="K91" s="387">
        <v>0</v>
      </c>
      <c r="L91" s="387">
        <v>0</v>
      </c>
      <c r="M91" s="387">
        <v>0</v>
      </c>
      <c r="N91" s="387">
        <v>0</v>
      </c>
      <c r="O91" s="142">
        <f t="shared" si="13"/>
        <v>0</v>
      </c>
    </row>
    <row r="92" spans="1:15" x14ac:dyDescent="0.3">
      <c r="A92" s="102" t="s">
        <v>302</v>
      </c>
      <c r="B92" s="102" t="s">
        <v>303</v>
      </c>
      <c r="C92" s="113">
        <v>0</v>
      </c>
      <c r="D92" s="113">
        <v>0</v>
      </c>
      <c r="E92" s="113">
        <v>0</v>
      </c>
      <c r="F92" s="113">
        <v>0</v>
      </c>
      <c r="G92" s="113">
        <v>0</v>
      </c>
      <c r="H92" s="387">
        <v>0</v>
      </c>
      <c r="I92" s="387">
        <v>0</v>
      </c>
      <c r="J92" s="387">
        <v>0</v>
      </c>
      <c r="K92" s="387">
        <v>0</v>
      </c>
      <c r="L92" s="387">
        <v>0</v>
      </c>
      <c r="M92" s="387">
        <v>0</v>
      </c>
      <c r="N92" s="387">
        <v>0</v>
      </c>
      <c r="O92" s="142">
        <f t="shared" si="13"/>
        <v>0</v>
      </c>
    </row>
    <row r="93" spans="1:15" x14ac:dyDescent="0.3">
      <c r="A93" s="102" t="s">
        <v>304</v>
      </c>
      <c r="B93" s="102" t="s">
        <v>305</v>
      </c>
      <c r="C93" s="113">
        <v>0</v>
      </c>
      <c r="D93" s="113">
        <v>0</v>
      </c>
      <c r="E93" s="113">
        <v>0</v>
      </c>
      <c r="F93" s="113">
        <v>0</v>
      </c>
      <c r="G93" s="113">
        <v>0</v>
      </c>
      <c r="H93" s="387">
        <v>0</v>
      </c>
      <c r="I93" s="387">
        <v>0</v>
      </c>
      <c r="J93" s="387">
        <v>0</v>
      </c>
      <c r="K93" s="387">
        <v>0</v>
      </c>
      <c r="L93" s="387">
        <v>0</v>
      </c>
      <c r="M93" s="387">
        <v>0</v>
      </c>
      <c r="N93" s="387">
        <v>0</v>
      </c>
      <c r="O93" s="142">
        <f t="shared" si="13"/>
        <v>0</v>
      </c>
    </row>
    <row r="94" spans="1:15" x14ac:dyDescent="0.3">
      <c r="A94" s="102" t="s">
        <v>306</v>
      </c>
      <c r="B94" s="102" t="s">
        <v>307</v>
      </c>
      <c r="C94" s="113">
        <v>0</v>
      </c>
      <c r="D94" s="113">
        <v>0</v>
      </c>
      <c r="E94" s="113">
        <v>0</v>
      </c>
      <c r="F94" s="113">
        <v>0</v>
      </c>
      <c r="G94" s="113">
        <v>0</v>
      </c>
      <c r="H94" s="387">
        <v>0</v>
      </c>
      <c r="I94" s="387">
        <v>0</v>
      </c>
      <c r="J94" s="387">
        <v>0</v>
      </c>
      <c r="K94" s="387">
        <v>0</v>
      </c>
      <c r="L94" s="387">
        <v>0</v>
      </c>
      <c r="M94" s="387">
        <v>0</v>
      </c>
      <c r="N94" s="387">
        <v>0</v>
      </c>
      <c r="O94" s="142">
        <f t="shared" si="13"/>
        <v>0</v>
      </c>
    </row>
    <row r="95" spans="1:15" x14ac:dyDescent="0.3">
      <c r="A95" s="102" t="s">
        <v>308</v>
      </c>
      <c r="B95" s="102" t="s">
        <v>309</v>
      </c>
      <c r="C95" s="113">
        <v>0</v>
      </c>
      <c r="D95" s="113">
        <v>0</v>
      </c>
      <c r="E95" s="113">
        <v>0</v>
      </c>
      <c r="F95" s="113">
        <v>0</v>
      </c>
      <c r="G95" s="113">
        <v>0</v>
      </c>
      <c r="H95" s="387">
        <v>0</v>
      </c>
      <c r="I95" s="387">
        <v>0</v>
      </c>
      <c r="J95" s="387">
        <v>0</v>
      </c>
      <c r="K95" s="387">
        <v>0</v>
      </c>
      <c r="L95" s="387">
        <v>0</v>
      </c>
      <c r="M95" s="387">
        <v>0</v>
      </c>
      <c r="N95" s="387">
        <v>0</v>
      </c>
      <c r="O95" s="142">
        <f t="shared" si="13"/>
        <v>0</v>
      </c>
    </row>
    <row r="96" spans="1:15" x14ac:dyDescent="0.3">
      <c r="A96" s="102" t="s">
        <v>310</v>
      </c>
      <c r="B96" s="102" t="s">
        <v>311</v>
      </c>
      <c r="C96" s="113">
        <v>0</v>
      </c>
      <c r="D96" s="113">
        <v>0</v>
      </c>
      <c r="E96" s="113">
        <v>0</v>
      </c>
      <c r="F96" s="113">
        <v>0</v>
      </c>
      <c r="G96" s="113">
        <v>0</v>
      </c>
      <c r="H96" s="387">
        <v>0</v>
      </c>
      <c r="I96" s="387">
        <v>0</v>
      </c>
      <c r="J96" s="387">
        <v>0</v>
      </c>
      <c r="K96" s="387">
        <v>0</v>
      </c>
      <c r="L96" s="387">
        <v>0</v>
      </c>
      <c r="M96" s="387">
        <v>0</v>
      </c>
      <c r="N96" s="387">
        <v>0</v>
      </c>
      <c r="O96" s="142">
        <f t="shared" si="13"/>
        <v>0</v>
      </c>
    </row>
    <row r="97" spans="1:15" x14ac:dyDescent="0.3">
      <c r="A97" s="102" t="s">
        <v>312</v>
      </c>
      <c r="B97" s="102" t="s">
        <v>313</v>
      </c>
      <c r="C97" s="113">
        <v>0</v>
      </c>
      <c r="D97" s="113">
        <v>0</v>
      </c>
      <c r="E97" s="113">
        <v>0</v>
      </c>
      <c r="F97" s="113">
        <v>0</v>
      </c>
      <c r="G97" s="113">
        <v>0</v>
      </c>
      <c r="H97" s="387">
        <v>0</v>
      </c>
      <c r="I97" s="387">
        <v>0</v>
      </c>
      <c r="J97" s="387">
        <v>0</v>
      </c>
      <c r="K97" s="387">
        <v>0</v>
      </c>
      <c r="L97" s="387">
        <v>0</v>
      </c>
      <c r="M97" s="387">
        <v>0</v>
      </c>
      <c r="N97" s="387">
        <v>0</v>
      </c>
      <c r="O97" s="142">
        <f t="shared" si="13"/>
        <v>0</v>
      </c>
    </row>
    <row r="98" spans="1:15" x14ac:dyDescent="0.3">
      <c r="A98" s="102" t="s">
        <v>314</v>
      </c>
      <c r="B98" s="102" t="s">
        <v>315</v>
      </c>
      <c r="C98" s="103">
        <v>0</v>
      </c>
      <c r="D98" s="103">
        <v>0</v>
      </c>
      <c r="E98" s="103">
        <v>0</v>
      </c>
      <c r="F98" s="103">
        <v>0</v>
      </c>
      <c r="G98" s="103">
        <v>0</v>
      </c>
      <c r="H98" s="372">
        <v>0</v>
      </c>
      <c r="I98" s="372">
        <v>0</v>
      </c>
      <c r="J98" s="372">
        <v>0</v>
      </c>
      <c r="K98" s="372">
        <v>0</v>
      </c>
      <c r="L98" s="372">
        <v>0</v>
      </c>
      <c r="M98" s="372">
        <v>0</v>
      </c>
      <c r="N98" s="372">
        <v>0</v>
      </c>
      <c r="O98" s="142">
        <f t="shared" si="13"/>
        <v>0</v>
      </c>
    </row>
    <row r="99" spans="1:15" x14ac:dyDescent="0.3">
      <c r="A99" s="102" t="s">
        <v>316</v>
      </c>
      <c r="B99" s="102" t="s">
        <v>317</v>
      </c>
      <c r="C99" s="113">
        <v>0</v>
      </c>
      <c r="D99" s="113">
        <v>0</v>
      </c>
      <c r="E99" s="113">
        <v>0</v>
      </c>
      <c r="F99" s="113">
        <v>0</v>
      </c>
      <c r="G99" s="113">
        <v>0</v>
      </c>
      <c r="H99" s="387">
        <v>0</v>
      </c>
      <c r="I99" s="387">
        <v>0</v>
      </c>
      <c r="J99" s="387">
        <v>0</v>
      </c>
      <c r="K99" s="387">
        <v>0</v>
      </c>
      <c r="L99" s="387">
        <v>0</v>
      </c>
      <c r="M99" s="387">
        <v>0</v>
      </c>
      <c r="N99" s="387">
        <v>0</v>
      </c>
      <c r="O99" s="142">
        <f t="shared" si="13"/>
        <v>0</v>
      </c>
    </row>
    <row r="100" spans="1:15" x14ac:dyDescent="0.3">
      <c r="A100" s="102" t="s">
        <v>318</v>
      </c>
      <c r="B100" s="102" t="s">
        <v>319</v>
      </c>
      <c r="C100" s="103">
        <v>0</v>
      </c>
      <c r="D100" s="103">
        <v>0</v>
      </c>
      <c r="E100" s="103">
        <v>0</v>
      </c>
      <c r="F100" s="103">
        <v>0</v>
      </c>
      <c r="G100" s="103">
        <v>0</v>
      </c>
      <c r="H100" s="372">
        <v>0</v>
      </c>
      <c r="I100" s="372">
        <v>0</v>
      </c>
      <c r="J100" s="372">
        <v>0</v>
      </c>
      <c r="K100" s="372">
        <v>0</v>
      </c>
      <c r="L100" s="372">
        <v>0</v>
      </c>
      <c r="M100" s="372">
        <v>0</v>
      </c>
      <c r="N100" s="372">
        <v>0</v>
      </c>
      <c r="O100" s="142">
        <f t="shared" si="13"/>
        <v>0</v>
      </c>
    </row>
    <row r="101" spans="1:15" x14ac:dyDescent="0.3">
      <c r="A101" s="102" t="s">
        <v>320</v>
      </c>
      <c r="B101" s="102" t="s">
        <v>321</v>
      </c>
      <c r="C101" s="103">
        <v>0</v>
      </c>
      <c r="D101" s="103">
        <v>0</v>
      </c>
      <c r="E101" s="103">
        <v>0</v>
      </c>
      <c r="F101" s="103">
        <v>0</v>
      </c>
      <c r="G101" s="103">
        <v>0</v>
      </c>
      <c r="H101" s="372">
        <v>0</v>
      </c>
      <c r="I101" s="372">
        <v>0</v>
      </c>
      <c r="J101" s="372">
        <v>0</v>
      </c>
      <c r="K101" s="372">
        <v>0</v>
      </c>
      <c r="L101" s="372">
        <v>0</v>
      </c>
      <c r="M101" s="372">
        <v>0</v>
      </c>
      <c r="N101" s="372">
        <v>0</v>
      </c>
      <c r="O101" s="142">
        <f t="shared" si="13"/>
        <v>0</v>
      </c>
    </row>
    <row r="102" spans="1:15" x14ac:dyDescent="0.3">
      <c r="A102" s="102" t="s">
        <v>322</v>
      </c>
      <c r="B102" s="102" t="s">
        <v>323</v>
      </c>
      <c r="C102" s="103">
        <v>0</v>
      </c>
      <c r="D102" s="103">
        <v>0</v>
      </c>
      <c r="E102" s="103">
        <v>0</v>
      </c>
      <c r="F102" s="103">
        <v>0</v>
      </c>
      <c r="G102" s="103">
        <v>0</v>
      </c>
      <c r="H102" s="372">
        <v>0</v>
      </c>
      <c r="I102" s="372">
        <v>0</v>
      </c>
      <c r="J102" s="372">
        <v>0</v>
      </c>
      <c r="K102" s="372">
        <v>0</v>
      </c>
      <c r="L102" s="372">
        <v>0</v>
      </c>
      <c r="M102" s="372">
        <v>0</v>
      </c>
      <c r="N102" s="372">
        <v>0</v>
      </c>
      <c r="O102" s="142">
        <f t="shared" si="13"/>
        <v>0</v>
      </c>
    </row>
    <row r="103" spans="1:15" x14ac:dyDescent="0.3">
      <c r="A103" s="102" t="s">
        <v>324</v>
      </c>
      <c r="B103" s="102" t="s">
        <v>325</v>
      </c>
      <c r="C103" s="103">
        <v>0</v>
      </c>
      <c r="D103" s="103">
        <v>0</v>
      </c>
      <c r="E103" s="103">
        <v>0</v>
      </c>
      <c r="F103" s="103">
        <v>0</v>
      </c>
      <c r="G103" s="103">
        <v>0</v>
      </c>
      <c r="H103" s="372">
        <v>0</v>
      </c>
      <c r="I103" s="372">
        <v>0</v>
      </c>
      <c r="J103" s="372">
        <v>0</v>
      </c>
      <c r="K103" s="372">
        <v>0</v>
      </c>
      <c r="L103" s="372">
        <v>0</v>
      </c>
      <c r="M103" s="372">
        <v>0</v>
      </c>
      <c r="N103" s="372">
        <v>0</v>
      </c>
      <c r="O103" s="142">
        <f t="shared" si="13"/>
        <v>0</v>
      </c>
    </row>
    <row r="104" spans="1:15" x14ac:dyDescent="0.3">
      <c r="A104" s="105" t="s">
        <v>326</v>
      </c>
      <c r="B104" s="105" t="s">
        <v>327</v>
      </c>
      <c r="C104" s="103">
        <v>0</v>
      </c>
      <c r="D104" s="103">
        <v>0</v>
      </c>
      <c r="E104" s="103">
        <v>0</v>
      </c>
      <c r="F104" s="103">
        <v>0</v>
      </c>
      <c r="G104" s="103">
        <v>0</v>
      </c>
      <c r="H104" s="372">
        <v>0</v>
      </c>
      <c r="I104" s="372">
        <v>0</v>
      </c>
      <c r="J104" s="372">
        <v>0</v>
      </c>
      <c r="K104" s="372">
        <v>0</v>
      </c>
      <c r="L104" s="372">
        <v>0</v>
      </c>
      <c r="M104" s="372">
        <v>0</v>
      </c>
      <c r="N104" s="372">
        <v>0</v>
      </c>
      <c r="O104" s="142">
        <f t="shared" si="13"/>
        <v>0</v>
      </c>
    </row>
    <row r="105" spans="1:15" x14ac:dyDescent="0.3">
      <c r="A105" s="105"/>
      <c r="B105" s="300" t="s">
        <v>382</v>
      </c>
      <c r="C105" s="103"/>
      <c r="D105" s="103"/>
      <c r="E105" s="103"/>
      <c r="F105" s="103"/>
      <c r="G105" s="103"/>
      <c r="H105" s="372"/>
      <c r="I105" s="372"/>
      <c r="J105" s="372"/>
      <c r="K105" s="372"/>
      <c r="L105" s="372"/>
      <c r="M105" s="372"/>
      <c r="N105" s="372"/>
      <c r="O105" s="497"/>
    </row>
    <row r="106" spans="1:15" x14ac:dyDescent="0.3">
      <c r="A106" s="104"/>
      <c r="B106" s="105" t="s">
        <v>328</v>
      </c>
      <c r="C106" s="115">
        <f t="shared" ref="C106:N106" si="16">SUM(C54:C104)</f>
        <v>75</v>
      </c>
      <c r="D106" s="110">
        <f t="shared" si="16"/>
        <v>4625</v>
      </c>
      <c r="E106" s="110">
        <f t="shared" si="16"/>
        <v>75</v>
      </c>
      <c r="F106" s="110">
        <f t="shared" si="16"/>
        <v>75</v>
      </c>
      <c r="G106" s="110">
        <f t="shared" si="16"/>
        <v>6025</v>
      </c>
      <c r="H106" s="110">
        <f t="shared" si="16"/>
        <v>75</v>
      </c>
      <c r="I106" s="110">
        <f t="shared" si="16"/>
        <v>75</v>
      </c>
      <c r="J106" s="110">
        <f t="shared" si="16"/>
        <v>2195</v>
      </c>
      <c r="K106" s="110">
        <f t="shared" si="16"/>
        <v>75</v>
      </c>
      <c r="L106" s="110">
        <f t="shared" si="16"/>
        <v>10400</v>
      </c>
      <c r="M106" s="110">
        <f t="shared" si="16"/>
        <v>75</v>
      </c>
      <c r="N106" s="420">
        <f t="shared" si="16"/>
        <v>75</v>
      </c>
      <c r="O106" s="420">
        <f t="shared" ref="O106" si="17">SUM(C106:N106)</f>
        <v>23845</v>
      </c>
    </row>
    <row r="107" spans="1:15" x14ac:dyDescent="0.3">
      <c r="A107" s="104"/>
      <c r="B107" s="104"/>
      <c r="C107" s="111"/>
      <c r="D107" s="111"/>
      <c r="E107" s="111"/>
      <c r="F107" s="111"/>
      <c r="G107" s="111"/>
      <c r="H107" s="111"/>
      <c r="I107" s="122"/>
      <c r="J107" s="122"/>
      <c r="K107" s="111"/>
      <c r="L107" s="111"/>
      <c r="M107" s="111"/>
      <c r="N107" s="111"/>
      <c r="O107" s="145"/>
    </row>
    <row r="108" spans="1:15" s="165" customFormat="1" ht="15" thickBot="1" x14ac:dyDescent="0.35">
      <c r="A108" s="162" t="s">
        <v>0</v>
      </c>
      <c r="B108" s="162" t="s">
        <v>329</v>
      </c>
      <c r="C108" s="162">
        <f t="shared" ref="C108:O108" si="18">C24-C106</f>
        <v>-75</v>
      </c>
      <c r="D108" s="162">
        <f t="shared" si="18"/>
        <v>-4625</v>
      </c>
      <c r="E108" s="162">
        <f t="shared" si="18"/>
        <v>-75</v>
      </c>
      <c r="F108" s="162">
        <f t="shared" si="18"/>
        <v>-75</v>
      </c>
      <c r="G108" s="162">
        <f t="shared" si="18"/>
        <v>-6025</v>
      </c>
      <c r="H108" s="162">
        <f t="shared" si="18"/>
        <v>-75</v>
      </c>
      <c r="I108" s="162">
        <f t="shared" si="18"/>
        <v>-75</v>
      </c>
      <c r="J108" s="162">
        <f t="shared" si="18"/>
        <v>-2195</v>
      </c>
      <c r="K108" s="162">
        <f t="shared" si="18"/>
        <v>-75</v>
      </c>
      <c r="L108" s="162">
        <f t="shared" si="18"/>
        <v>-10400</v>
      </c>
      <c r="M108" s="162">
        <f t="shared" si="18"/>
        <v>-75</v>
      </c>
      <c r="N108" s="162">
        <f t="shared" si="18"/>
        <v>-75</v>
      </c>
      <c r="O108" s="163">
        <f t="shared" si="18"/>
        <v>-23845</v>
      </c>
    </row>
    <row r="109" spans="1:15" ht="15" thickTop="1" x14ac:dyDescent="0.3">
      <c r="C109" s="116"/>
      <c r="D109" s="116"/>
      <c r="E109" s="116"/>
      <c r="F109" s="116"/>
      <c r="G109" s="116"/>
      <c r="H109" s="116"/>
      <c r="K109" s="116"/>
      <c r="L109" s="116"/>
      <c r="M109" s="116"/>
      <c r="N109" s="116"/>
    </row>
    <row r="110" spans="1:15" x14ac:dyDescent="0.3">
      <c r="O110" s="112" t="s">
        <v>0</v>
      </c>
    </row>
    <row r="111" spans="1:15" x14ac:dyDescent="0.3">
      <c r="I111" s="123" t="s">
        <v>0</v>
      </c>
      <c r="J111" s="123" t="s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48CD-8A1B-439C-93C1-06918B6F8AB7}">
  <sheetPr>
    <tabColor rgb="FF00B050"/>
  </sheetPr>
  <dimension ref="A1:AG136"/>
  <sheetViews>
    <sheetView topLeftCell="A71" zoomScale="63" zoomScaleNormal="63" workbookViewId="0">
      <selection activeCell="B106" sqref="B106"/>
    </sheetView>
  </sheetViews>
  <sheetFormatPr defaultRowHeight="14.4" x14ac:dyDescent="0.3"/>
  <cols>
    <col min="1" max="1" width="29.6640625" style="99" customWidth="1"/>
    <col min="2" max="2" width="39.88671875" style="99" customWidth="1"/>
    <col min="3" max="7" width="15.6640625" style="101" customWidth="1"/>
    <col min="8" max="8" width="16.6640625" style="101" customWidth="1"/>
    <col min="9" max="9" width="15" style="123" customWidth="1"/>
    <col min="10" max="10" width="15.6640625" style="123" customWidth="1"/>
    <col min="11" max="14" width="15.6640625" style="101" customWidth="1"/>
    <col min="15" max="16" width="14.88671875" style="112" customWidth="1"/>
    <col min="17" max="17" width="12.88671875" style="99" customWidth="1"/>
    <col min="18" max="18" width="30.88671875" style="99" customWidth="1"/>
    <col min="19" max="19" width="13" style="99" customWidth="1"/>
    <col min="20" max="20" width="11.6640625" style="99" customWidth="1"/>
    <col min="21" max="21" width="17.88671875" style="99" customWidth="1"/>
    <col min="22" max="22" width="16.109375" style="99" customWidth="1"/>
    <col min="23" max="23" width="14.6640625" style="99" customWidth="1"/>
    <col min="24" max="24" width="14.33203125" style="99" customWidth="1"/>
    <col min="25" max="25" width="13.44140625" style="99" customWidth="1"/>
    <col min="26" max="26" width="13.88671875" style="99" customWidth="1"/>
    <col min="27" max="27" width="13.6640625" style="99" customWidth="1"/>
    <col min="28" max="28" width="12.6640625" style="99" customWidth="1"/>
    <col min="29" max="255" width="8.88671875" style="99"/>
    <col min="256" max="256" width="16.6640625" style="99" customWidth="1"/>
    <col min="257" max="257" width="39.88671875" style="99" customWidth="1"/>
    <col min="258" max="270" width="15.6640625" style="99" customWidth="1"/>
    <col min="271" max="511" width="8.88671875" style="99"/>
    <col min="512" max="512" width="16.6640625" style="99" customWidth="1"/>
    <col min="513" max="513" width="39.88671875" style="99" customWidth="1"/>
    <col min="514" max="526" width="15.6640625" style="99" customWidth="1"/>
    <col min="527" max="767" width="8.88671875" style="99"/>
    <col min="768" max="768" width="16.6640625" style="99" customWidth="1"/>
    <col min="769" max="769" width="39.88671875" style="99" customWidth="1"/>
    <col min="770" max="782" width="15.6640625" style="99" customWidth="1"/>
    <col min="783" max="1023" width="8.88671875" style="99"/>
    <col min="1024" max="1024" width="16.6640625" style="99" customWidth="1"/>
    <col min="1025" max="1025" width="39.88671875" style="99" customWidth="1"/>
    <col min="1026" max="1038" width="15.6640625" style="99" customWidth="1"/>
    <col min="1039" max="1279" width="8.88671875" style="99"/>
    <col min="1280" max="1280" width="16.6640625" style="99" customWidth="1"/>
    <col min="1281" max="1281" width="39.88671875" style="99" customWidth="1"/>
    <col min="1282" max="1294" width="15.6640625" style="99" customWidth="1"/>
    <col min="1295" max="1535" width="8.88671875" style="99"/>
    <col min="1536" max="1536" width="16.6640625" style="99" customWidth="1"/>
    <col min="1537" max="1537" width="39.88671875" style="99" customWidth="1"/>
    <col min="1538" max="1550" width="15.6640625" style="99" customWidth="1"/>
    <col min="1551" max="1791" width="8.88671875" style="99"/>
    <col min="1792" max="1792" width="16.6640625" style="99" customWidth="1"/>
    <col min="1793" max="1793" width="39.88671875" style="99" customWidth="1"/>
    <col min="1794" max="1806" width="15.6640625" style="99" customWidth="1"/>
    <col min="1807" max="2047" width="8.88671875" style="99"/>
    <col min="2048" max="2048" width="16.6640625" style="99" customWidth="1"/>
    <col min="2049" max="2049" width="39.88671875" style="99" customWidth="1"/>
    <col min="2050" max="2062" width="15.6640625" style="99" customWidth="1"/>
    <col min="2063" max="2303" width="8.88671875" style="99"/>
    <col min="2304" max="2304" width="16.6640625" style="99" customWidth="1"/>
    <col min="2305" max="2305" width="39.88671875" style="99" customWidth="1"/>
    <col min="2306" max="2318" width="15.6640625" style="99" customWidth="1"/>
    <col min="2319" max="2559" width="8.88671875" style="99"/>
    <col min="2560" max="2560" width="16.6640625" style="99" customWidth="1"/>
    <col min="2561" max="2561" width="39.88671875" style="99" customWidth="1"/>
    <col min="2562" max="2574" width="15.6640625" style="99" customWidth="1"/>
    <col min="2575" max="2815" width="8.88671875" style="99"/>
    <col min="2816" max="2816" width="16.6640625" style="99" customWidth="1"/>
    <col min="2817" max="2817" width="39.88671875" style="99" customWidth="1"/>
    <col min="2818" max="2830" width="15.6640625" style="99" customWidth="1"/>
    <col min="2831" max="3071" width="8.88671875" style="99"/>
    <col min="3072" max="3072" width="16.6640625" style="99" customWidth="1"/>
    <col min="3073" max="3073" width="39.88671875" style="99" customWidth="1"/>
    <col min="3074" max="3086" width="15.6640625" style="99" customWidth="1"/>
    <col min="3087" max="3327" width="8.88671875" style="99"/>
    <col min="3328" max="3328" width="16.6640625" style="99" customWidth="1"/>
    <col min="3329" max="3329" width="39.88671875" style="99" customWidth="1"/>
    <col min="3330" max="3342" width="15.6640625" style="99" customWidth="1"/>
    <col min="3343" max="3583" width="8.88671875" style="99"/>
    <col min="3584" max="3584" width="16.6640625" style="99" customWidth="1"/>
    <col min="3585" max="3585" width="39.88671875" style="99" customWidth="1"/>
    <col min="3586" max="3598" width="15.6640625" style="99" customWidth="1"/>
    <col min="3599" max="3839" width="8.88671875" style="99"/>
    <col min="3840" max="3840" width="16.6640625" style="99" customWidth="1"/>
    <col min="3841" max="3841" width="39.88671875" style="99" customWidth="1"/>
    <col min="3842" max="3854" width="15.6640625" style="99" customWidth="1"/>
    <col min="3855" max="4095" width="8.88671875" style="99"/>
    <col min="4096" max="4096" width="16.6640625" style="99" customWidth="1"/>
    <col min="4097" max="4097" width="39.88671875" style="99" customWidth="1"/>
    <col min="4098" max="4110" width="15.6640625" style="99" customWidth="1"/>
    <col min="4111" max="4351" width="8.88671875" style="99"/>
    <col min="4352" max="4352" width="16.6640625" style="99" customWidth="1"/>
    <col min="4353" max="4353" width="39.88671875" style="99" customWidth="1"/>
    <col min="4354" max="4366" width="15.6640625" style="99" customWidth="1"/>
    <col min="4367" max="4607" width="8.88671875" style="99"/>
    <col min="4608" max="4608" width="16.6640625" style="99" customWidth="1"/>
    <col min="4609" max="4609" width="39.88671875" style="99" customWidth="1"/>
    <col min="4610" max="4622" width="15.6640625" style="99" customWidth="1"/>
    <col min="4623" max="4863" width="8.88671875" style="99"/>
    <col min="4864" max="4864" width="16.6640625" style="99" customWidth="1"/>
    <col min="4865" max="4865" width="39.88671875" style="99" customWidth="1"/>
    <col min="4866" max="4878" width="15.6640625" style="99" customWidth="1"/>
    <col min="4879" max="5119" width="8.88671875" style="99"/>
    <col min="5120" max="5120" width="16.6640625" style="99" customWidth="1"/>
    <col min="5121" max="5121" width="39.88671875" style="99" customWidth="1"/>
    <col min="5122" max="5134" width="15.6640625" style="99" customWidth="1"/>
    <col min="5135" max="5375" width="8.88671875" style="99"/>
    <col min="5376" max="5376" width="16.6640625" style="99" customWidth="1"/>
    <col min="5377" max="5377" width="39.88671875" style="99" customWidth="1"/>
    <col min="5378" max="5390" width="15.6640625" style="99" customWidth="1"/>
    <col min="5391" max="5631" width="8.88671875" style="99"/>
    <col min="5632" max="5632" width="16.6640625" style="99" customWidth="1"/>
    <col min="5633" max="5633" width="39.88671875" style="99" customWidth="1"/>
    <col min="5634" max="5646" width="15.6640625" style="99" customWidth="1"/>
    <col min="5647" max="5887" width="8.88671875" style="99"/>
    <col min="5888" max="5888" width="16.6640625" style="99" customWidth="1"/>
    <col min="5889" max="5889" width="39.88671875" style="99" customWidth="1"/>
    <col min="5890" max="5902" width="15.6640625" style="99" customWidth="1"/>
    <col min="5903" max="6143" width="8.88671875" style="99"/>
    <col min="6144" max="6144" width="16.6640625" style="99" customWidth="1"/>
    <col min="6145" max="6145" width="39.88671875" style="99" customWidth="1"/>
    <col min="6146" max="6158" width="15.6640625" style="99" customWidth="1"/>
    <col min="6159" max="6399" width="8.88671875" style="99"/>
    <col min="6400" max="6400" width="16.6640625" style="99" customWidth="1"/>
    <col min="6401" max="6401" width="39.88671875" style="99" customWidth="1"/>
    <col min="6402" max="6414" width="15.6640625" style="99" customWidth="1"/>
    <col min="6415" max="6655" width="8.88671875" style="99"/>
    <col min="6656" max="6656" width="16.6640625" style="99" customWidth="1"/>
    <col min="6657" max="6657" width="39.88671875" style="99" customWidth="1"/>
    <col min="6658" max="6670" width="15.6640625" style="99" customWidth="1"/>
    <col min="6671" max="6911" width="8.88671875" style="99"/>
    <col min="6912" max="6912" width="16.6640625" style="99" customWidth="1"/>
    <col min="6913" max="6913" width="39.88671875" style="99" customWidth="1"/>
    <col min="6914" max="6926" width="15.6640625" style="99" customWidth="1"/>
    <col min="6927" max="7167" width="8.88671875" style="99"/>
    <col min="7168" max="7168" width="16.6640625" style="99" customWidth="1"/>
    <col min="7169" max="7169" width="39.88671875" style="99" customWidth="1"/>
    <col min="7170" max="7182" width="15.6640625" style="99" customWidth="1"/>
    <col min="7183" max="7423" width="8.88671875" style="99"/>
    <col min="7424" max="7424" width="16.6640625" style="99" customWidth="1"/>
    <col min="7425" max="7425" width="39.88671875" style="99" customWidth="1"/>
    <col min="7426" max="7438" width="15.6640625" style="99" customWidth="1"/>
    <col min="7439" max="7679" width="8.88671875" style="99"/>
    <col min="7680" max="7680" width="16.6640625" style="99" customWidth="1"/>
    <col min="7681" max="7681" width="39.88671875" style="99" customWidth="1"/>
    <col min="7682" max="7694" width="15.6640625" style="99" customWidth="1"/>
    <col min="7695" max="7935" width="8.88671875" style="99"/>
    <col min="7936" max="7936" width="16.6640625" style="99" customWidth="1"/>
    <col min="7937" max="7937" width="39.88671875" style="99" customWidth="1"/>
    <col min="7938" max="7950" width="15.6640625" style="99" customWidth="1"/>
    <col min="7951" max="8191" width="8.88671875" style="99"/>
    <col min="8192" max="8192" width="16.6640625" style="99" customWidth="1"/>
    <col min="8193" max="8193" width="39.88671875" style="99" customWidth="1"/>
    <col min="8194" max="8206" width="15.6640625" style="99" customWidth="1"/>
    <col min="8207" max="8447" width="8.88671875" style="99"/>
    <col min="8448" max="8448" width="16.6640625" style="99" customWidth="1"/>
    <col min="8449" max="8449" width="39.88671875" style="99" customWidth="1"/>
    <col min="8450" max="8462" width="15.6640625" style="99" customWidth="1"/>
    <col min="8463" max="8703" width="8.88671875" style="99"/>
    <col min="8704" max="8704" width="16.6640625" style="99" customWidth="1"/>
    <col min="8705" max="8705" width="39.88671875" style="99" customWidth="1"/>
    <col min="8706" max="8718" width="15.6640625" style="99" customWidth="1"/>
    <col min="8719" max="8959" width="8.88671875" style="99"/>
    <col min="8960" max="8960" width="16.6640625" style="99" customWidth="1"/>
    <col min="8961" max="8961" width="39.88671875" style="99" customWidth="1"/>
    <col min="8962" max="8974" width="15.6640625" style="99" customWidth="1"/>
    <col min="8975" max="9215" width="8.88671875" style="99"/>
    <col min="9216" max="9216" width="16.6640625" style="99" customWidth="1"/>
    <col min="9217" max="9217" width="39.88671875" style="99" customWidth="1"/>
    <col min="9218" max="9230" width="15.6640625" style="99" customWidth="1"/>
    <col min="9231" max="9471" width="8.88671875" style="99"/>
    <col min="9472" max="9472" width="16.6640625" style="99" customWidth="1"/>
    <col min="9473" max="9473" width="39.88671875" style="99" customWidth="1"/>
    <col min="9474" max="9486" width="15.6640625" style="99" customWidth="1"/>
    <col min="9487" max="9727" width="8.88671875" style="99"/>
    <col min="9728" max="9728" width="16.6640625" style="99" customWidth="1"/>
    <col min="9729" max="9729" width="39.88671875" style="99" customWidth="1"/>
    <col min="9730" max="9742" width="15.6640625" style="99" customWidth="1"/>
    <col min="9743" max="9983" width="8.88671875" style="99"/>
    <col min="9984" max="9984" width="16.6640625" style="99" customWidth="1"/>
    <col min="9985" max="9985" width="39.88671875" style="99" customWidth="1"/>
    <col min="9986" max="9998" width="15.6640625" style="99" customWidth="1"/>
    <col min="9999" max="10239" width="8.88671875" style="99"/>
    <col min="10240" max="10240" width="16.6640625" style="99" customWidth="1"/>
    <col min="10241" max="10241" width="39.88671875" style="99" customWidth="1"/>
    <col min="10242" max="10254" width="15.6640625" style="99" customWidth="1"/>
    <col min="10255" max="10495" width="8.88671875" style="99"/>
    <col min="10496" max="10496" width="16.6640625" style="99" customWidth="1"/>
    <col min="10497" max="10497" width="39.88671875" style="99" customWidth="1"/>
    <col min="10498" max="10510" width="15.6640625" style="99" customWidth="1"/>
    <col min="10511" max="10751" width="8.88671875" style="99"/>
    <col min="10752" max="10752" width="16.6640625" style="99" customWidth="1"/>
    <col min="10753" max="10753" width="39.88671875" style="99" customWidth="1"/>
    <col min="10754" max="10766" width="15.6640625" style="99" customWidth="1"/>
    <col min="10767" max="11007" width="8.88671875" style="99"/>
    <col min="11008" max="11008" width="16.6640625" style="99" customWidth="1"/>
    <col min="11009" max="11009" width="39.88671875" style="99" customWidth="1"/>
    <col min="11010" max="11022" width="15.6640625" style="99" customWidth="1"/>
    <col min="11023" max="11263" width="8.88671875" style="99"/>
    <col min="11264" max="11264" width="16.6640625" style="99" customWidth="1"/>
    <col min="11265" max="11265" width="39.88671875" style="99" customWidth="1"/>
    <col min="11266" max="11278" width="15.6640625" style="99" customWidth="1"/>
    <col min="11279" max="11519" width="8.88671875" style="99"/>
    <col min="11520" max="11520" width="16.6640625" style="99" customWidth="1"/>
    <col min="11521" max="11521" width="39.88671875" style="99" customWidth="1"/>
    <col min="11522" max="11534" width="15.6640625" style="99" customWidth="1"/>
    <col min="11535" max="11775" width="8.88671875" style="99"/>
    <col min="11776" max="11776" width="16.6640625" style="99" customWidth="1"/>
    <col min="11777" max="11777" width="39.88671875" style="99" customWidth="1"/>
    <col min="11778" max="11790" width="15.6640625" style="99" customWidth="1"/>
    <col min="11791" max="12031" width="8.88671875" style="99"/>
    <col min="12032" max="12032" width="16.6640625" style="99" customWidth="1"/>
    <col min="12033" max="12033" width="39.88671875" style="99" customWidth="1"/>
    <col min="12034" max="12046" width="15.6640625" style="99" customWidth="1"/>
    <col min="12047" max="12287" width="8.88671875" style="99"/>
    <col min="12288" max="12288" width="16.6640625" style="99" customWidth="1"/>
    <col min="12289" max="12289" width="39.88671875" style="99" customWidth="1"/>
    <col min="12290" max="12302" width="15.6640625" style="99" customWidth="1"/>
    <col min="12303" max="12543" width="8.88671875" style="99"/>
    <col min="12544" max="12544" width="16.6640625" style="99" customWidth="1"/>
    <col min="12545" max="12545" width="39.88671875" style="99" customWidth="1"/>
    <col min="12546" max="12558" width="15.6640625" style="99" customWidth="1"/>
    <col min="12559" max="12799" width="8.88671875" style="99"/>
    <col min="12800" max="12800" width="16.6640625" style="99" customWidth="1"/>
    <col min="12801" max="12801" width="39.88671875" style="99" customWidth="1"/>
    <col min="12802" max="12814" width="15.6640625" style="99" customWidth="1"/>
    <col min="12815" max="13055" width="8.88671875" style="99"/>
    <col min="13056" max="13056" width="16.6640625" style="99" customWidth="1"/>
    <col min="13057" max="13057" width="39.88671875" style="99" customWidth="1"/>
    <col min="13058" max="13070" width="15.6640625" style="99" customWidth="1"/>
    <col min="13071" max="13311" width="8.88671875" style="99"/>
    <col min="13312" max="13312" width="16.6640625" style="99" customWidth="1"/>
    <col min="13313" max="13313" width="39.88671875" style="99" customWidth="1"/>
    <col min="13314" max="13326" width="15.6640625" style="99" customWidth="1"/>
    <col min="13327" max="13567" width="8.88671875" style="99"/>
    <col min="13568" max="13568" width="16.6640625" style="99" customWidth="1"/>
    <col min="13569" max="13569" width="39.88671875" style="99" customWidth="1"/>
    <col min="13570" max="13582" width="15.6640625" style="99" customWidth="1"/>
    <col min="13583" max="13823" width="8.88671875" style="99"/>
    <col min="13824" max="13824" width="16.6640625" style="99" customWidth="1"/>
    <col min="13825" max="13825" width="39.88671875" style="99" customWidth="1"/>
    <col min="13826" max="13838" width="15.6640625" style="99" customWidth="1"/>
    <col min="13839" max="14079" width="8.88671875" style="99"/>
    <col min="14080" max="14080" width="16.6640625" style="99" customWidth="1"/>
    <col min="14081" max="14081" width="39.88671875" style="99" customWidth="1"/>
    <col min="14082" max="14094" width="15.6640625" style="99" customWidth="1"/>
    <col min="14095" max="14335" width="8.88671875" style="99"/>
    <col min="14336" max="14336" width="16.6640625" style="99" customWidth="1"/>
    <col min="14337" max="14337" width="39.88671875" style="99" customWidth="1"/>
    <col min="14338" max="14350" width="15.6640625" style="99" customWidth="1"/>
    <col min="14351" max="14591" width="8.88671875" style="99"/>
    <col min="14592" max="14592" width="16.6640625" style="99" customWidth="1"/>
    <col min="14593" max="14593" width="39.88671875" style="99" customWidth="1"/>
    <col min="14594" max="14606" width="15.6640625" style="99" customWidth="1"/>
    <col min="14607" max="14847" width="8.88671875" style="99"/>
    <col min="14848" max="14848" width="16.6640625" style="99" customWidth="1"/>
    <col min="14849" max="14849" width="39.88671875" style="99" customWidth="1"/>
    <col min="14850" max="14862" width="15.6640625" style="99" customWidth="1"/>
    <col min="14863" max="15103" width="8.88671875" style="99"/>
    <col min="15104" max="15104" width="16.6640625" style="99" customWidth="1"/>
    <col min="15105" max="15105" width="39.88671875" style="99" customWidth="1"/>
    <col min="15106" max="15118" width="15.6640625" style="99" customWidth="1"/>
    <col min="15119" max="15359" width="8.88671875" style="99"/>
    <col min="15360" max="15360" width="16.6640625" style="99" customWidth="1"/>
    <col min="15361" max="15361" width="39.88671875" style="99" customWidth="1"/>
    <col min="15362" max="15374" width="15.6640625" style="99" customWidth="1"/>
    <col min="15375" max="15615" width="8.88671875" style="99"/>
    <col min="15616" max="15616" width="16.6640625" style="99" customWidth="1"/>
    <col min="15617" max="15617" width="39.88671875" style="99" customWidth="1"/>
    <col min="15618" max="15630" width="15.6640625" style="99" customWidth="1"/>
    <col min="15631" max="15871" width="8.88671875" style="99"/>
    <col min="15872" max="15872" width="16.6640625" style="99" customWidth="1"/>
    <col min="15873" max="15873" width="39.88671875" style="99" customWidth="1"/>
    <col min="15874" max="15886" width="15.6640625" style="99" customWidth="1"/>
    <col min="15887" max="16127" width="8.88671875" style="99"/>
    <col min="16128" max="16128" width="16.6640625" style="99" customWidth="1"/>
    <col min="16129" max="16129" width="39.88671875" style="99" customWidth="1"/>
    <col min="16130" max="16142" width="15.6640625" style="99" customWidth="1"/>
    <col min="16143" max="16384" width="8.88671875" style="99"/>
  </cols>
  <sheetData>
    <row r="1" spans="1:33" ht="15" thickBot="1" x14ac:dyDescent="0.35">
      <c r="A1" s="293"/>
      <c r="B1" s="294"/>
      <c r="C1" s="240" t="s">
        <v>123</v>
      </c>
      <c r="D1" s="240" t="s">
        <v>124</v>
      </c>
      <c r="E1" s="240" t="s">
        <v>125</v>
      </c>
      <c r="F1" s="240" t="s">
        <v>126</v>
      </c>
      <c r="G1" s="240" t="s">
        <v>127</v>
      </c>
      <c r="H1" s="240" t="s">
        <v>128</v>
      </c>
      <c r="I1" s="241" t="s">
        <v>129</v>
      </c>
      <c r="J1" s="241" t="s">
        <v>130</v>
      </c>
      <c r="K1" s="240" t="s">
        <v>131</v>
      </c>
      <c r="L1" s="240" t="s">
        <v>132</v>
      </c>
      <c r="M1" s="240" t="s">
        <v>133</v>
      </c>
      <c r="N1" s="240" t="s">
        <v>134</v>
      </c>
      <c r="O1" s="141" t="s">
        <v>10</v>
      </c>
      <c r="P1" s="332"/>
      <c r="Q1" s="100"/>
      <c r="R1" s="100"/>
      <c r="S1" s="284" t="s">
        <v>383</v>
      </c>
      <c r="T1" s="284" t="s">
        <v>384</v>
      </c>
      <c r="U1" s="284" t="s">
        <v>385</v>
      </c>
      <c r="V1" s="284" t="s">
        <v>386</v>
      </c>
      <c r="W1" s="284" t="s">
        <v>387</v>
      </c>
      <c r="X1" s="100"/>
      <c r="Y1" s="100"/>
      <c r="Z1" s="100"/>
      <c r="AA1" s="100"/>
      <c r="AB1" s="100"/>
      <c r="AC1" s="100"/>
      <c r="AD1" s="100"/>
      <c r="AE1" s="100"/>
      <c r="AF1" s="100"/>
      <c r="AG1" s="100"/>
    </row>
    <row r="2" spans="1:33" ht="15" thickTop="1" x14ac:dyDescent="0.3">
      <c r="A2" s="210" t="s">
        <v>135</v>
      </c>
      <c r="B2" s="210" t="s">
        <v>136</v>
      </c>
      <c r="C2" s="490">
        <f>S5</f>
        <v>85964.95</v>
      </c>
      <c r="D2" s="490">
        <f t="shared" ref="D2:G2" si="0">T5</f>
        <v>89433.03</v>
      </c>
      <c r="E2" s="490">
        <f t="shared" si="0"/>
        <v>76942.11</v>
      </c>
      <c r="F2" s="490">
        <f t="shared" si="0"/>
        <v>96974.43</v>
      </c>
      <c r="G2" s="490">
        <f t="shared" si="0"/>
        <v>100302.1</v>
      </c>
      <c r="H2" s="103">
        <v>0</v>
      </c>
      <c r="I2" s="103">
        <v>0</v>
      </c>
      <c r="J2" s="103">
        <v>0</v>
      </c>
      <c r="K2" s="103">
        <v>0</v>
      </c>
      <c r="L2" s="103">
        <v>0</v>
      </c>
      <c r="M2" s="103">
        <v>0</v>
      </c>
      <c r="N2" s="103">
        <v>0</v>
      </c>
      <c r="O2" s="142">
        <f>SUM(C2:N2)</f>
        <v>449616.62</v>
      </c>
      <c r="P2" s="333"/>
      <c r="Q2" s="285" t="s">
        <v>471</v>
      </c>
      <c r="R2" s="285"/>
      <c r="S2" s="278"/>
      <c r="T2" s="278"/>
      <c r="U2" s="278"/>
      <c r="V2" s="278"/>
      <c r="W2" s="278"/>
    </row>
    <row r="3" spans="1:33" x14ac:dyDescent="0.3">
      <c r="A3" s="210" t="s">
        <v>137</v>
      </c>
      <c r="B3" s="210" t="s">
        <v>138</v>
      </c>
      <c r="C3" s="490">
        <f>S24</f>
        <v>52167.38</v>
      </c>
      <c r="D3" s="490">
        <f t="shared" ref="D3:G3" si="1">T24</f>
        <v>36150.550000000003</v>
      </c>
      <c r="E3" s="490">
        <f t="shared" si="1"/>
        <v>36451.25</v>
      </c>
      <c r="F3" s="490">
        <f t="shared" si="1"/>
        <v>61785.69</v>
      </c>
      <c r="G3" s="490">
        <f t="shared" si="1"/>
        <v>54043.97</v>
      </c>
      <c r="H3" s="103">
        <v>0</v>
      </c>
      <c r="I3" s="103">
        <v>0</v>
      </c>
      <c r="J3" s="103">
        <v>0</v>
      </c>
      <c r="K3" s="103">
        <v>0</v>
      </c>
      <c r="L3" s="103">
        <v>0</v>
      </c>
      <c r="M3" s="103">
        <v>0</v>
      </c>
      <c r="N3" s="103">
        <v>0</v>
      </c>
      <c r="O3" s="142">
        <f>SUM(C3:N3)</f>
        <v>240598.84</v>
      </c>
      <c r="P3" s="333"/>
      <c r="Q3" s="285"/>
      <c r="R3" s="285" t="s">
        <v>472</v>
      </c>
      <c r="S3" s="281">
        <v>43856.83</v>
      </c>
      <c r="T3" s="281">
        <v>33447.97</v>
      </c>
      <c r="U3" s="281">
        <v>48837.64</v>
      </c>
      <c r="V3" s="281">
        <v>70671.429999999993</v>
      </c>
      <c r="W3" s="281">
        <v>66040.100000000006</v>
      </c>
    </row>
    <row r="4" spans="1:33" ht="15" thickBot="1" x14ac:dyDescent="0.35">
      <c r="A4" s="210" t="s">
        <v>139</v>
      </c>
      <c r="B4" s="210" t="s">
        <v>140</v>
      </c>
      <c r="C4" s="490">
        <f>S9</f>
        <v>20657.400000000001</v>
      </c>
      <c r="D4" s="490">
        <f t="shared" ref="D4:G4" si="2">T9</f>
        <v>22285.25</v>
      </c>
      <c r="E4" s="490">
        <f t="shared" si="2"/>
        <v>20624</v>
      </c>
      <c r="F4" s="490">
        <f t="shared" si="2"/>
        <v>18944</v>
      </c>
      <c r="G4" s="490">
        <f t="shared" si="2"/>
        <v>13761</v>
      </c>
      <c r="H4" s="103">
        <v>0</v>
      </c>
      <c r="I4" s="103">
        <v>0</v>
      </c>
      <c r="J4" s="103">
        <v>0</v>
      </c>
      <c r="K4" s="103">
        <v>0</v>
      </c>
      <c r="L4" s="103">
        <v>0</v>
      </c>
      <c r="M4" s="103">
        <v>0</v>
      </c>
      <c r="N4" s="103">
        <v>0</v>
      </c>
      <c r="O4" s="142">
        <f>SUM(C4:N4)</f>
        <v>96271.65</v>
      </c>
      <c r="P4" s="333"/>
      <c r="Q4" s="285"/>
      <c r="R4" s="285" t="s">
        <v>473</v>
      </c>
      <c r="S4" s="290">
        <v>42108.12</v>
      </c>
      <c r="T4" s="290">
        <v>55985.06</v>
      </c>
      <c r="U4" s="290">
        <v>28104.47</v>
      </c>
      <c r="V4" s="290">
        <v>26303</v>
      </c>
      <c r="W4" s="290">
        <v>34262</v>
      </c>
    </row>
    <row r="5" spans="1:33" x14ac:dyDescent="0.3">
      <c r="A5" s="210">
        <v>408006</v>
      </c>
      <c r="B5" s="210" t="s">
        <v>141</v>
      </c>
      <c r="C5" s="490">
        <f>S19+S14</f>
        <v>244607.66</v>
      </c>
      <c r="D5" s="490">
        <f t="shared" ref="D5:G5" si="3">T19+T14</f>
        <v>17136.32</v>
      </c>
      <c r="E5" s="490">
        <f t="shared" si="3"/>
        <v>20775.7</v>
      </c>
      <c r="F5" s="490">
        <f t="shared" si="3"/>
        <v>2480</v>
      </c>
      <c r="G5" s="490">
        <f t="shared" si="3"/>
        <v>6795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42">
        <f>SUM(C5:N5)</f>
        <v>291794.68</v>
      </c>
      <c r="P5" s="333"/>
      <c r="Q5" s="285" t="s">
        <v>474</v>
      </c>
      <c r="R5" s="285"/>
      <c r="S5" s="281">
        <v>85964.95</v>
      </c>
      <c r="T5" s="281">
        <v>89433.03</v>
      </c>
      <c r="U5" s="281">
        <v>76942.11</v>
      </c>
      <c r="V5" s="281">
        <v>96974.43</v>
      </c>
      <c r="W5" s="281">
        <v>100302.1</v>
      </c>
    </row>
    <row r="6" spans="1:33" x14ac:dyDescent="0.3">
      <c r="A6" s="210" t="s">
        <v>142</v>
      </c>
      <c r="B6" s="210" t="s">
        <v>143</v>
      </c>
      <c r="C6" s="491">
        <f>S13</f>
        <v>5225</v>
      </c>
      <c r="D6" s="491">
        <f t="shared" ref="D6:G6" si="4">T13</f>
        <v>0</v>
      </c>
      <c r="E6" s="491">
        <f t="shared" si="4"/>
        <v>5050</v>
      </c>
      <c r="F6" s="491">
        <f t="shared" si="4"/>
        <v>0</v>
      </c>
      <c r="G6" s="491">
        <f t="shared" si="4"/>
        <v>4815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42">
        <f>SUM(C6:N6)</f>
        <v>15090</v>
      </c>
      <c r="P6" s="333"/>
      <c r="Q6" s="285" t="s">
        <v>475</v>
      </c>
      <c r="R6" s="285"/>
      <c r="S6" s="278"/>
      <c r="T6" s="278"/>
      <c r="U6" s="278"/>
      <c r="V6" s="278"/>
      <c r="W6" s="278"/>
    </row>
    <row r="7" spans="1:33" x14ac:dyDescent="0.3">
      <c r="A7" s="293"/>
      <c r="B7" s="297" t="s">
        <v>144</v>
      </c>
      <c r="C7" s="488">
        <f>SUM(C2:C6)</f>
        <v>408622.39</v>
      </c>
      <c r="D7" s="488">
        <f>SUM(D2:D6)</f>
        <v>165005.15000000002</v>
      </c>
      <c r="E7" s="488">
        <f>SUM(E2:E6)</f>
        <v>159843.06</v>
      </c>
      <c r="F7" s="488">
        <f>SUM(F2:F6)</f>
        <v>180184.12</v>
      </c>
      <c r="G7" s="492">
        <f>SUM(G2:G6)</f>
        <v>179717.07</v>
      </c>
      <c r="H7" s="106">
        <f t="shared" ref="H7" si="5">SUM(H2:H6)</f>
        <v>0</v>
      </c>
      <c r="I7" s="106">
        <f t="shared" ref="I7" si="6">SUM(I2:I6)</f>
        <v>0</v>
      </c>
      <c r="J7" s="106">
        <f t="shared" ref="J7" si="7">SUM(J2:J6)</f>
        <v>0</v>
      </c>
      <c r="K7" s="106">
        <f t="shared" ref="K7" si="8">SUM(K2:K6)</f>
        <v>0</v>
      </c>
      <c r="L7" s="106">
        <f t="shared" ref="L7" si="9">SUM(L2:L6)</f>
        <v>0</v>
      </c>
      <c r="M7" s="106">
        <f t="shared" ref="M7" si="10">SUM(M2:M6)</f>
        <v>0</v>
      </c>
      <c r="N7" s="106">
        <f t="shared" ref="N7" si="11">SUM(N2:N6)</f>
        <v>0</v>
      </c>
      <c r="O7" s="143">
        <f>SUM(O2:O6)</f>
        <v>1093371.79</v>
      </c>
      <c r="P7" s="470"/>
      <c r="Q7" s="285"/>
      <c r="R7" s="285" t="s">
        <v>476</v>
      </c>
      <c r="S7" s="278">
        <v>5350</v>
      </c>
      <c r="T7" s="278">
        <v>6249</v>
      </c>
      <c r="U7" s="278">
        <v>13034</v>
      </c>
      <c r="V7" s="278">
        <v>9649</v>
      </c>
      <c r="W7" s="278">
        <v>8969</v>
      </c>
    </row>
    <row r="8" spans="1:33" ht="15" thickBot="1" x14ac:dyDescent="0.35">
      <c r="A8" s="210" t="s">
        <v>145</v>
      </c>
      <c r="B8" s="210" t="s">
        <v>146</v>
      </c>
      <c r="C8" s="486">
        <v>-14000</v>
      </c>
      <c r="D8" s="486">
        <v>6000</v>
      </c>
      <c r="E8" s="486">
        <v>18000</v>
      </c>
      <c r="F8" s="486">
        <v>1000</v>
      </c>
      <c r="G8" s="486">
        <v>27000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42">
        <f t="shared" ref="O8:O22" si="12">SUM(C8:N8)</f>
        <v>38000</v>
      </c>
      <c r="P8" s="333"/>
      <c r="Q8" s="285"/>
      <c r="R8" s="285" t="s">
        <v>477</v>
      </c>
      <c r="S8" s="286">
        <v>15307.4</v>
      </c>
      <c r="T8" s="286">
        <v>16036.25</v>
      </c>
      <c r="U8" s="286">
        <v>7590</v>
      </c>
      <c r="V8" s="286">
        <v>9295</v>
      </c>
      <c r="W8" s="286">
        <v>4792</v>
      </c>
    </row>
    <row r="9" spans="1:33" x14ac:dyDescent="0.3">
      <c r="A9" s="210">
        <v>450000</v>
      </c>
      <c r="B9" s="210" t="s">
        <v>147</v>
      </c>
      <c r="C9" s="490">
        <f>S25+S26+S28+S29</f>
        <v>54831.5</v>
      </c>
      <c r="D9" s="490">
        <f>T25+T26+T28+T29</f>
        <v>-71875</v>
      </c>
      <c r="E9" s="490">
        <f t="shared" ref="E9:G9" si="13">U25+U26+U28+U29</f>
        <v>0</v>
      </c>
      <c r="F9" s="490">
        <f t="shared" si="13"/>
        <v>75</v>
      </c>
      <c r="G9" s="490">
        <f t="shared" si="13"/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142">
        <f t="shared" si="12"/>
        <v>-16968.5</v>
      </c>
      <c r="P9" s="333"/>
      <c r="Q9" s="285" t="s">
        <v>478</v>
      </c>
      <c r="R9" s="285"/>
      <c r="S9" s="281">
        <v>20657.400000000001</v>
      </c>
      <c r="T9" s="281">
        <v>22285.25</v>
      </c>
      <c r="U9" s="281">
        <v>20624</v>
      </c>
      <c r="V9" s="281">
        <v>18944</v>
      </c>
      <c r="W9" s="281">
        <v>13761</v>
      </c>
    </row>
    <row r="10" spans="1:33" x14ac:dyDescent="0.3">
      <c r="A10" s="210" t="s">
        <v>148</v>
      </c>
      <c r="B10" s="210" t="s">
        <v>149</v>
      </c>
      <c r="C10" s="372">
        <v>0</v>
      </c>
      <c r="D10" s="372">
        <v>0</v>
      </c>
      <c r="E10" s="372">
        <v>0</v>
      </c>
      <c r="F10" s="372">
        <v>0</v>
      </c>
      <c r="G10" s="372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42">
        <f t="shared" si="12"/>
        <v>0</v>
      </c>
      <c r="P10" s="333"/>
      <c r="Q10" s="285" t="s">
        <v>479</v>
      </c>
      <c r="R10" s="285"/>
      <c r="S10" s="278"/>
      <c r="T10" s="278"/>
      <c r="U10" s="278"/>
      <c r="V10" s="278"/>
      <c r="W10" s="278"/>
    </row>
    <row r="11" spans="1:33" x14ac:dyDescent="0.3">
      <c r="A11" s="210" t="s">
        <v>150</v>
      </c>
      <c r="B11" s="210" t="s">
        <v>151</v>
      </c>
      <c r="C11" s="490">
        <f>S27</f>
        <v>13225</v>
      </c>
      <c r="D11" s="490">
        <f t="shared" ref="D11:G11" si="14">T27</f>
        <v>6325</v>
      </c>
      <c r="E11" s="490">
        <f t="shared" si="14"/>
        <v>6025</v>
      </c>
      <c r="F11" s="490">
        <f t="shared" si="14"/>
        <v>7150</v>
      </c>
      <c r="G11" s="490">
        <f t="shared" si="14"/>
        <v>7250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42">
        <f t="shared" si="12"/>
        <v>39975</v>
      </c>
      <c r="P11" s="333"/>
      <c r="Q11" s="285"/>
      <c r="R11" s="285" t="s">
        <v>480</v>
      </c>
      <c r="S11" s="278">
        <v>0</v>
      </c>
      <c r="T11" s="278">
        <v>0</v>
      </c>
      <c r="U11" s="278">
        <v>0</v>
      </c>
      <c r="V11" s="278">
        <v>0</v>
      </c>
      <c r="W11" s="278">
        <v>0</v>
      </c>
    </row>
    <row r="12" spans="1:33" ht="15" thickBot="1" x14ac:dyDescent="0.35">
      <c r="A12" s="210" t="s">
        <v>152</v>
      </c>
      <c r="B12" s="210" t="s">
        <v>153</v>
      </c>
      <c r="C12" s="490">
        <f>S34</f>
        <v>10545.5</v>
      </c>
      <c r="D12" s="490">
        <f t="shared" ref="D12:G12" si="15">T34</f>
        <v>2810</v>
      </c>
      <c r="E12" s="490">
        <f t="shared" si="15"/>
        <v>850</v>
      </c>
      <c r="F12" s="490">
        <f t="shared" si="15"/>
        <v>3725</v>
      </c>
      <c r="G12" s="490">
        <f t="shared" si="15"/>
        <v>-870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42">
        <f t="shared" si="12"/>
        <v>17060.5</v>
      </c>
      <c r="P12" s="333"/>
      <c r="Q12" s="285"/>
      <c r="R12" s="285" t="s">
        <v>481</v>
      </c>
      <c r="S12" s="292">
        <v>5225</v>
      </c>
      <c r="T12" s="292">
        <v>0</v>
      </c>
      <c r="U12" s="292">
        <v>5050</v>
      </c>
      <c r="V12" s="292">
        <v>0</v>
      </c>
      <c r="W12" s="292">
        <v>4815</v>
      </c>
    </row>
    <row r="13" spans="1:33" x14ac:dyDescent="0.3">
      <c r="A13" s="210" t="s">
        <v>154</v>
      </c>
      <c r="B13" s="210" t="s">
        <v>155</v>
      </c>
      <c r="C13" s="490">
        <f>S35</f>
        <v>4742.6499999999996</v>
      </c>
      <c r="D13" s="490">
        <f t="shared" ref="D13:G13" si="16">T35</f>
        <v>-3211.95</v>
      </c>
      <c r="E13" s="490">
        <f t="shared" si="16"/>
        <v>1394.2</v>
      </c>
      <c r="F13" s="490">
        <f t="shared" si="16"/>
        <v>-1243</v>
      </c>
      <c r="G13" s="490">
        <f t="shared" si="16"/>
        <v>103.25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42">
        <f t="shared" si="12"/>
        <v>1785.1499999999996</v>
      </c>
      <c r="P13" s="333"/>
      <c r="Q13" s="285" t="s">
        <v>482</v>
      </c>
      <c r="R13" s="285"/>
      <c r="S13" s="281">
        <v>5225</v>
      </c>
      <c r="T13" s="281">
        <v>0</v>
      </c>
      <c r="U13" s="281">
        <v>5050</v>
      </c>
      <c r="V13" s="281">
        <v>0</v>
      </c>
      <c r="W13" s="281">
        <v>4815</v>
      </c>
    </row>
    <row r="14" spans="1:33" x14ac:dyDescent="0.3">
      <c r="A14" s="210" t="s">
        <v>156</v>
      </c>
      <c r="B14" s="210" t="s">
        <v>157</v>
      </c>
      <c r="C14" s="490">
        <f>S36</f>
        <v>11225</v>
      </c>
      <c r="D14" s="490">
        <f t="shared" ref="D14:G14" si="17">T36</f>
        <v>-8282.5</v>
      </c>
      <c r="E14" s="490">
        <f t="shared" si="17"/>
        <v>-1662.5</v>
      </c>
      <c r="F14" s="490">
        <f t="shared" si="17"/>
        <v>630</v>
      </c>
      <c r="G14" s="490">
        <f t="shared" si="17"/>
        <v>167.3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42">
        <f t="shared" si="12"/>
        <v>2077.3000000000002</v>
      </c>
      <c r="P14" s="333"/>
      <c r="Q14" s="285" t="s">
        <v>483</v>
      </c>
      <c r="R14" s="285"/>
      <c r="S14" s="281">
        <v>7117.66</v>
      </c>
      <c r="T14" s="281">
        <v>1800</v>
      </c>
      <c r="U14" s="281">
        <v>0</v>
      </c>
      <c r="V14" s="281">
        <v>0</v>
      </c>
      <c r="W14" s="281">
        <v>2395</v>
      </c>
    </row>
    <row r="15" spans="1:33" s="126" customFormat="1" x14ac:dyDescent="0.3">
      <c r="A15" s="124" t="s">
        <v>158</v>
      </c>
      <c r="B15" s="124" t="s">
        <v>159</v>
      </c>
      <c r="C15" s="384">
        <v>0</v>
      </c>
      <c r="D15" s="384">
        <v>0</v>
      </c>
      <c r="E15" s="384">
        <v>0</v>
      </c>
      <c r="F15" s="384">
        <v>0</v>
      </c>
      <c r="G15" s="384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44">
        <f t="shared" si="12"/>
        <v>0</v>
      </c>
      <c r="P15" s="334"/>
      <c r="Q15" s="285" t="s">
        <v>484</v>
      </c>
      <c r="R15" s="285"/>
      <c r="S15" s="278"/>
      <c r="T15" s="278"/>
      <c r="U15" s="278"/>
      <c r="V15" s="278"/>
      <c r="W15" s="278"/>
    </row>
    <row r="16" spans="1:33" x14ac:dyDescent="0.3">
      <c r="A16" s="210" t="s">
        <v>160</v>
      </c>
      <c r="B16" s="210" t="s">
        <v>161</v>
      </c>
      <c r="C16" s="372">
        <v>0</v>
      </c>
      <c r="D16" s="372">
        <v>0</v>
      </c>
      <c r="E16" s="372">
        <v>0</v>
      </c>
      <c r="F16" s="372">
        <v>0</v>
      </c>
      <c r="G16" s="372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42">
        <f t="shared" si="12"/>
        <v>0</v>
      </c>
      <c r="P16" s="333"/>
      <c r="Q16" s="285"/>
      <c r="R16" s="285" t="s">
        <v>485</v>
      </c>
      <c r="S16" s="278">
        <v>0</v>
      </c>
      <c r="T16" s="278">
        <v>0</v>
      </c>
      <c r="U16" s="278">
        <v>9</v>
      </c>
      <c r="V16" s="278">
        <v>0</v>
      </c>
      <c r="W16" s="278">
        <v>0</v>
      </c>
    </row>
    <row r="17" spans="1:23" x14ac:dyDescent="0.3">
      <c r="A17" s="210" t="s">
        <v>162</v>
      </c>
      <c r="B17" s="210" t="s">
        <v>163</v>
      </c>
      <c r="C17" s="490">
        <f>S37</f>
        <v>44587.8</v>
      </c>
      <c r="D17" s="490">
        <f t="shared" ref="D17:G17" si="18">T37</f>
        <v>100</v>
      </c>
      <c r="E17" s="490">
        <f t="shared" si="18"/>
        <v>0</v>
      </c>
      <c r="F17" s="490">
        <f t="shared" si="18"/>
        <v>0</v>
      </c>
      <c r="G17" s="490">
        <f t="shared" si="18"/>
        <v>17204.8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42">
        <f t="shared" si="12"/>
        <v>61892.600000000006</v>
      </c>
      <c r="P17" s="333"/>
      <c r="Q17" s="285"/>
      <c r="R17" s="285" t="s">
        <v>486</v>
      </c>
      <c r="S17" s="278">
        <v>0</v>
      </c>
      <c r="T17" s="278">
        <v>1846.32</v>
      </c>
      <c r="U17" s="278">
        <v>19767.2</v>
      </c>
      <c r="V17" s="278">
        <v>0</v>
      </c>
      <c r="W17" s="278">
        <v>0</v>
      </c>
    </row>
    <row r="18" spans="1:23" ht="15" thickBot="1" x14ac:dyDescent="0.35">
      <c r="A18" s="210">
        <v>456000</v>
      </c>
      <c r="B18" s="210" t="s">
        <v>164</v>
      </c>
      <c r="C18" s="490">
        <f>S47</f>
        <v>110641.42</v>
      </c>
      <c r="D18" s="490">
        <f t="shared" ref="D18:G18" si="19">T47</f>
        <v>-72711.55</v>
      </c>
      <c r="E18" s="490">
        <f t="shared" si="19"/>
        <v>-7870.56</v>
      </c>
      <c r="F18" s="490">
        <f t="shared" si="19"/>
        <v>-4186.6400000000003</v>
      </c>
      <c r="G18" s="490">
        <f t="shared" si="19"/>
        <v>17136.05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42">
        <f t="shared" si="12"/>
        <v>43008.719999999994</v>
      </c>
      <c r="P18" s="333"/>
      <c r="Q18" s="285"/>
      <c r="R18" s="285" t="s">
        <v>487</v>
      </c>
      <c r="S18" s="286">
        <v>237490</v>
      </c>
      <c r="T18" s="286">
        <v>13490</v>
      </c>
      <c r="U18" s="286">
        <v>999.5</v>
      </c>
      <c r="V18" s="286">
        <v>2480</v>
      </c>
      <c r="W18" s="286">
        <v>4400</v>
      </c>
    </row>
    <row r="19" spans="1:23" s="126" customFormat="1" x14ac:dyDescent="0.3">
      <c r="A19" s="124" t="s">
        <v>165</v>
      </c>
      <c r="B19" s="124" t="s">
        <v>166</v>
      </c>
      <c r="C19" s="384">
        <v>0</v>
      </c>
      <c r="D19" s="384">
        <v>0</v>
      </c>
      <c r="E19" s="384">
        <v>0</v>
      </c>
      <c r="F19" s="384">
        <v>0</v>
      </c>
      <c r="G19" s="384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</v>
      </c>
      <c r="M19" s="103">
        <v>0</v>
      </c>
      <c r="N19" s="103">
        <v>0</v>
      </c>
      <c r="O19" s="144">
        <f t="shared" si="12"/>
        <v>0</v>
      </c>
      <c r="P19" s="334"/>
      <c r="Q19" s="285" t="s">
        <v>488</v>
      </c>
      <c r="R19" s="285"/>
      <c r="S19" s="281">
        <v>237490</v>
      </c>
      <c r="T19" s="281">
        <v>15336.32</v>
      </c>
      <c r="U19" s="281">
        <v>20775.7</v>
      </c>
      <c r="V19" s="281">
        <v>2480</v>
      </c>
      <c r="W19" s="281">
        <v>4400</v>
      </c>
    </row>
    <row r="20" spans="1:23" x14ac:dyDescent="0.3">
      <c r="A20" s="210" t="s">
        <v>167</v>
      </c>
      <c r="B20" s="210" t="s">
        <v>168</v>
      </c>
      <c r="C20" s="357">
        <f>S48</f>
        <v>-14649.66</v>
      </c>
      <c r="D20" s="357">
        <f t="shared" ref="D20:G20" si="20">T48</f>
        <v>-23015.07</v>
      </c>
      <c r="E20" s="357">
        <f t="shared" si="20"/>
        <v>-29806</v>
      </c>
      <c r="F20" s="357">
        <f t="shared" si="20"/>
        <v>-15486</v>
      </c>
      <c r="G20" s="357">
        <f t="shared" si="20"/>
        <v>-17401.02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42">
        <f t="shared" si="12"/>
        <v>-100357.75</v>
      </c>
      <c r="P20" s="333"/>
      <c r="Q20" s="285" t="s">
        <v>489</v>
      </c>
      <c r="R20" s="285"/>
      <c r="S20" s="278"/>
      <c r="T20" s="278"/>
      <c r="U20" s="278"/>
      <c r="V20" s="278"/>
      <c r="W20" s="278"/>
    </row>
    <row r="21" spans="1:23" x14ac:dyDescent="0.3">
      <c r="A21" s="296" t="s">
        <v>169</v>
      </c>
      <c r="B21" s="296" t="s">
        <v>170</v>
      </c>
      <c r="C21" s="490">
        <f>S49</f>
        <v>28825</v>
      </c>
      <c r="D21" s="490">
        <f t="shared" ref="D21:G21" si="21">T49</f>
        <v>-26860</v>
      </c>
      <c r="E21" s="490">
        <f t="shared" si="21"/>
        <v>-2470</v>
      </c>
      <c r="F21" s="490">
        <f t="shared" si="21"/>
        <v>1405</v>
      </c>
      <c r="G21" s="490">
        <f t="shared" si="21"/>
        <v>601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42">
        <f t="shared" si="12"/>
        <v>1501</v>
      </c>
      <c r="P21" s="333"/>
      <c r="Q21" s="285"/>
      <c r="R21" s="285" t="s">
        <v>490</v>
      </c>
      <c r="S21" s="278">
        <v>23103.33</v>
      </c>
      <c r="T21" s="278">
        <v>21875.5</v>
      </c>
      <c r="U21" s="278">
        <v>23560</v>
      </c>
      <c r="V21" s="278">
        <v>34104.99</v>
      </c>
      <c r="W21" s="278">
        <v>34105.97</v>
      </c>
    </row>
    <row r="22" spans="1:23" s="126" customFormat="1" ht="15" thickBot="1" x14ac:dyDescent="0.35">
      <c r="A22" s="127" t="s">
        <v>171</v>
      </c>
      <c r="B22" s="127" t="s">
        <v>172</v>
      </c>
      <c r="C22" s="384">
        <v>0</v>
      </c>
      <c r="D22" s="384">
        <v>0</v>
      </c>
      <c r="E22" s="384">
        <v>0</v>
      </c>
      <c r="F22" s="384">
        <v>0</v>
      </c>
      <c r="G22" s="384">
        <v>0</v>
      </c>
      <c r="H22" s="103">
        <v>0</v>
      </c>
      <c r="I22" s="103">
        <v>0</v>
      </c>
      <c r="J22" s="103">
        <v>0</v>
      </c>
      <c r="K22" s="103">
        <v>0</v>
      </c>
      <c r="L22" s="103">
        <v>0</v>
      </c>
      <c r="M22" s="103">
        <v>0</v>
      </c>
      <c r="N22" s="103">
        <v>0</v>
      </c>
      <c r="O22" s="144">
        <f t="shared" si="12"/>
        <v>0</v>
      </c>
      <c r="P22" s="334"/>
      <c r="Q22" s="285"/>
      <c r="R22" s="285" t="s">
        <v>491</v>
      </c>
      <c r="S22" s="290">
        <v>29064.05</v>
      </c>
      <c r="T22" s="290">
        <v>14275.05</v>
      </c>
      <c r="U22" s="290">
        <v>12891.25</v>
      </c>
      <c r="V22" s="290">
        <v>27680.7</v>
      </c>
      <c r="W22" s="290">
        <v>19938</v>
      </c>
    </row>
    <row r="23" spans="1:23" s="126" customFormat="1" x14ac:dyDescent="0.3">
      <c r="A23" s="127"/>
      <c r="B23" s="127" t="s">
        <v>407</v>
      </c>
      <c r="C23" s="491">
        <v>-2454.04</v>
      </c>
      <c r="D23" s="491">
        <v>-148.16999999999999</v>
      </c>
      <c r="E23" s="491">
        <v>601.85</v>
      </c>
      <c r="F23" s="491">
        <v>-6171.39</v>
      </c>
      <c r="G23" s="491">
        <v>6327.05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44"/>
      <c r="P23" s="334"/>
      <c r="Q23" s="285"/>
      <c r="R23" s="285"/>
      <c r="S23" s="280"/>
      <c r="T23" s="280"/>
      <c r="U23" s="280"/>
      <c r="V23" s="280"/>
      <c r="W23" s="280"/>
    </row>
    <row r="24" spans="1:23" x14ac:dyDescent="0.3">
      <c r="A24" s="293"/>
      <c r="B24" s="297" t="s">
        <v>173</v>
      </c>
      <c r="C24" s="476">
        <f>SUM(C8:C23)</f>
        <v>247520.16999999998</v>
      </c>
      <c r="D24" s="476">
        <f>SUM(D8:D23)</f>
        <v>-190869.24000000002</v>
      </c>
      <c r="E24" s="476">
        <f>SUM(E8:E23)</f>
        <v>-14938.01</v>
      </c>
      <c r="F24" s="476">
        <f>SUM(F8:F23)</f>
        <v>-13102.029999999999</v>
      </c>
      <c r="G24" s="476">
        <f>SUM(G8:G23)</f>
        <v>57518.430000000008</v>
      </c>
      <c r="H24" s="121">
        <f t="shared" ref="H24" si="22">SUM(H8:H22)</f>
        <v>0</v>
      </c>
      <c r="I24" s="121">
        <f>SUM(I8:I22)</f>
        <v>0</v>
      </c>
      <c r="J24" s="121">
        <f>SUM(J8:J22)</f>
        <v>0</v>
      </c>
      <c r="K24" s="121">
        <f t="shared" ref="K24:N24" si="23">SUM(K8:K22)</f>
        <v>0</v>
      </c>
      <c r="L24" s="121">
        <f t="shared" si="23"/>
        <v>0</v>
      </c>
      <c r="M24" s="121">
        <f t="shared" si="23"/>
        <v>0</v>
      </c>
      <c r="N24" s="121">
        <f t="shared" si="23"/>
        <v>0</v>
      </c>
      <c r="O24" s="118">
        <f>SUM(O8:O22)</f>
        <v>87974.01999999999</v>
      </c>
      <c r="P24" s="333"/>
      <c r="Q24" s="285" t="s">
        <v>492</v>
      </c>
      <c r="R24" s="285"/>
      <c r="S24" s="281">
        <v>52167.38</v>
      </c>
      <c r="T24" s="281">
        <v>36150.550000000003</v>
      </c>
      <c r="U24" s="281">
        <v>36451.25</v>
      </c>
      <c r="V24" s="281">
        <v>61785.69</v>
      </c>
      <c r="W24" s="281">
        <v>54043.97</v>
      </c>
    </row>
    <row r="25" spans="1:23" x14ac:dyDescent="0.3">
      <c r="A25" s="295"/>
      <c r="B25" s="213" t="s">
        <v>174</v>
      </c>
      <c r="C25" s="477">
        <f t="shared" ref="C25:O25" si="24">C24+C7</f>
        <v>656142.56000000006</v>
      </c>
      <c r="D25" s="477">
        <f t="shared" si="24"/>
        <v>-25864.089999999997</v>
      </c>
      <c r="E25" s="477">
        <f t="shared" si="24"/>
        <v>144905.04999999999</v>
      </c>
      <c r="F25" s="477">
        <f t="shared" si="24"/>
        <v>167082.09</v>
      </c>
      <c r="G25" s="477">
        <f t="shared" si="24"/>
        <v>237235.5</v>
      </c>
      <c r="H25" s="122">
        <f t="shared" si="24"/>
        <v>0</v>
      </c>
      <c r="I25" s="122">
        <f t="shared" si="24"/>
        <v>0</v>
      </c>
      <c r="J25" s="122">
        <f t="shared" si="24"/>
        <v>0</v>
      </c>
      <c r="K25" s="122">
        <f t="shared" si="24"/>
        <v>0</v>
      </c>
      <c r="L25" s="122">
        <f t="shared" si="24"/>
        <v>0</v>
      </c>
      <c r="M25" s="122">
        <f t="shared" si="24"/>
        <v>0</v>
      </c>
      <c r="N25" s="122">
        <f t="shared" si="24"/>
        <v>0</v>
      </c>
      <c r="O25" s="145">
        <f t="shared" si="24"/>
        <v>1181345.81</v>
      </c>
      <c r="P25" s="333"/>
      <c r="Q25" s="285" t="s">
        <v>493</v>
      </c>
      <c r="R25" s="285"/>
      <c r="S25" s="281">
        <v>8611.5</v>
      </c>
      <c r="T25" s="281">
        <v>2000</v>
      </c>
      <c r="U25" s="278">
        <v>0</v>
      </c>
      <c r="V25" s="278">
        <v>0</v>
      </c>
      <c r="W25" s="278">
        <v>0</v>
      </c>
    </row>
    <row r="26" spans="1:23" x14ac:dyDescent="0.3">
      <c r="A26" s="210">
        <v>522000</v>
      </c>
      <c r="B26" s="210" t="s">
        <v>175</v>
      </c>
      <c r="C26" s="490">
        <f>S59</f>
        <v>72874.289999999994</v>
      </c>
      <c r="D26" s="490">
        <f t="shared" ref="D26:G26" si="25">T59</f>
        <v>94956.24</v>
      </c>
      <c r="E26" s="490">
        <f t="shared" si="25"/>
        <v>105272.31</v>
      </c>
      <c r="F26" s="490">
        <f t="shared" si="25"/>
        <v>51301.46</v>
      </c>
      <c r="G26" s="490">
        <f t="shared" si="25"/>
        <v>51754.85</v>
      </c>
      <c r="H26" s="103">
        <v>0</v>
      </c>
      <c r="I26" s="103">
        <v>0</v>
      </c>
      <c r="J26" s="103">
        <v>0</v>
      </c>
      <c r="K26" s="103">
        <v>0</v>
      </c>
      <c r="L26" s="103">
        <v>0</v>
      </c>
      <c r="M26" s="103">
        <v>0</v>
      </c>
      <c r="N26" s="103">
        <v>0</v>
      </c>
      <c r="O26" s="142">
        <f>SUM(C26:N26)</f>
        <v>376159.14999999997</v>
      </c>
      <c r="P26" s="333"/>
      <c r="Q26" s="285" t="s">
        <v>494</v>
      </c>
      <c r="R26" s="285"/>
      <c r="S26" s="278">
        <v>0</v>
      </c>
      <c r="T26" s="278">
        <v>0</v>
      </c>
      <c r="U26" s="278">
        <v>0</v>
      </c>
      <c r="V26" s="278">
        <v>75</v>
      </c>
      <c r="W26" s="278">
        <v>0</v>
      </c>
    </row>
    <row r="27" spans="1:23" x14ac:dyDescent="0.3">
      <c r="A27" s="210" t="s">
        <v>176</v>
      </c>
      <c r="B27" s="210" t="s">
        <v>177</v>
      </c>
      <c r="C27" s="490">
        <f>S60</f>
        <v>2569.59</v>
      </c>
      <c r="D27" s="490">
        <f t="shared" ref="D27:G27" si="26">T60</f>
        <v>3150.82</v>
      </c>
      <c r="E27" s="490">
        <f t="shared" si="26"/>
        <v>4193.29</v>
      </c>
      <c r="F27" s="490">
        <f t="shared" si="26"/>
        <v>2234.0700000000002</v>
      </c>
      <c r="G27" s="490">
        <f t="shared" si="26"/>
        <v>0</v>
      </c>
      <c r="H27" s="125">
        <v>0</v>
      </c>
      <c r="I27" s="125">
        <v>0</v>
      </c>
      <c r="J27" s="125">
        <v>0</v>
      </c>
      <c r="K27" s="125">
        <v>0</v>
      </c>
      <c r="L27" s="125">
        <v>0</v>
      </c>
      <c r="M27" s="125">
        <v>0</v>
      </c>
      <c r="N27" s="125">
        <v>0</v>
      </c>
      <c r="O27" s="142">
        <f>SUM(C27:N27)</f>
        <v>12147.77</v>
      </c>
      <c r="P27" s="333"/>
      <c r="Q27" s="285" t="s">
        <v>495</v>
      </c>
      <c r="R27" s="285"/>
      <c r="S27" s="281">
        <v>13225</v>
      </c>
      <c r="T27" s="281">
        <v>6325</v>
      </c>
      <c r="U27" s="281">
        <v>6025</v>
      </c>
      <c r="V27" s="281">
        <v>7150</v>
      </c>
      <c r="W27" s="281">
        <v>7250</v>
      </c>
    </row>
    <row r="28" spans="1:23" x14ac:dyDescent="0.3">
      <c r="A28" s="210" t="s">
        <v>178</v>
      </c>
      <c r="B28" s="210" t="s">
        <v>179</v>
      </c>
      <c r="C28" s="490">
        <f>S61</f>
        <v>4748.58</v>
      </c>
      <c r="D28" s="490">
        <f t="shared" ref="D28:G28" si="27">T61</f>
        <v>6004.49</v>
      </c>
      <c r="E28" s="490">
        <f t="shared" si="27"/>
        <v>8085.37</v>
      </c>
      <c r="F28" s="490">
        <f t="shared" si="27"/>
        <v>4299.7299999999996</v>
      </c>
      <c r="G28" s="490">
        <f t="shared" si="27"/>
        <v>4984.5600000000004</v>
      </c>
      <c r="H28" s="113">
        <v>0</v>
      </c>
      <c r="I28" s="113">
        <v>0</v>
      </c>
      <c r="J28" s="113">
        <v>0</v>
      </c>
      <c r="K28" s="113">
        <v>0</v>
      </c>
      <c r="L28" s="113">
        <v>0</v>
      </c>
      <c r="M28" s="113">
        <v>0</v>
      </c>
      <c r="N28" s="113">
        <v>0</v>
      </c>
      <c r="O28" s="142">
        <f>SUM(C28:N28)</f>
        <v>28122.73</v>
      </c>
      <c r="P28" s="333"/>
      <c r="Q28" s="285" t="s">
        <v>496</v>
      </c>
      <c r="R28" s="285"/>
      <c r="S28" s="281">
        <v>0</v>
      </c>
      <c r="T28" s="281">
        <v>-73875</v>
      </c>
      <c r="U28" s="281">
        <v>0</v>
      </c>
      <c r="V28" s="281">
        <v>0</v>
      </c>
      <c r="W28" s="281">
        <v>0</v>
      </c>
    </row>
    <row r="29" spans="1:23" x14ac:dyDescent="0.3">
      <c r="A29" s="296" t="s">
        <v>180</v>
      </c>
      <c r="B29" s="319" t="s">
        <v>181</v>
      </c>
      <c r="C29" s="375">
        <f>S54</f>
        <v>5725</v>
      </c>
      <c r="D29" s="375">
        <f t="shared" ref="D29:F29" si="28">T54</f>
        <v>6895.58</v>
      </c>
      <c r="E29" s="375">
        <f t="shared" si="28"/>
        <v>8614.98</v>
      </c>
      <c r="F29" s="375">
        <f t="shared" si="28"/>
        <v>5252.97</v>
      </c>
      <c r="G29" s="375">
        <f>W54</f>
        <v>5437.46</v>
      </c>
      <c r="H29" s="113">
        <v>0</v>
      </c>
      <c r="I29" s="113">
        <v>0</v>
      </c>
      <c r="J29" s="113">
        <v>0</v>
      </c>
      <c r="K29" s="113">
        <v>0</v>
      </c>
      <c r="L29" s="113">
        <v>0</v>
      </c>
      <c r="M29" s="113">
        <v>0</v>
      </c>
      <c r="N29" s="113">
        <v>0</v>
      </c>
      <c r="O29" s="142">
        <f>SUM(C29:N29)</f>
        <v>31925.989999999998</v>
      </c>
      <c r="P29" s="333"/>
      <c r="Q29" s="285" t="s">
        <v>497</v>
      </c>
      <c r="R29" s="285"/>
      <c r="S29" s="281">
        <v>46220</v>
      </c>
      <c r="T29" s="281">
        <v>0</v>
      </c>
      <c r="U29" s="281">
        <v>0</v>
      </c>
      <c r="V29" s="281">
        <v>0</v>
      </c>
      <c r="W29" s="281">
        <v>0</v>
      </c>
    </row>
    <row r="30" spans="1:23" x14ac:dyDescent="0.3">
      <c r="A30" s="293"/>
      <c r="B30" s="297" t="s">
        <v>182</v>
      </c>
      <c r="C30" s="374">
        <f>SUM(C26:C29)</f>
        <v>85917.459999999992</v>
      </c>
      <c r="D30" s="374">
        <f>SUM(D26:D29)</f>
        <v>111007.13000000002</v>
      </c>
      <c r="E30" s="374">
        <f>SUM(E26:E29)</f>
        <v>126165.94999999998</v>
      </c>
      <c r="F30" s="374">
        <f>SUM(F26:F29)</f>
        <v>63088.229999999996</v>
      </c>
      <c r="G30" s="374">
        <f>SUM(G26:G29)</f>
        <v>62176.869999999995</v>
      </c>
      <c r="H30" s="110">
        <f t="shared" ref="H30:N30" si="29">SUM(H26:H29)</f>
        <v>0</v>
      </c>
      <c r="I30" s="121">
        <f t="shared" si="29"/>
        <v>0</v>
      </c>
      <c r="J30" s="121">
        <f t="shared" si="29"/>
        <v>0</v>
      </c>
      <c r="K30" s="110">
        <f t="shared" si="29"/>
        <v>0</v>
      </c>
      <c r="L30" s="110">
        <f t="shared" si="29"/>
        <v>0</v>
      </c>
      <c r="M30" s="110">
        <f t="shared" si="29"/>
        <v>0</v>
      </c>
      <c r="N30" s="110">
        <f t="shared" si="29"/>
        <v>0</v>
      </c>
      <c r="O30" s="118">
        <f>SUM(O26:O29)</f>
        <v>448355.63999999996</v>
      </c>
      <c r="P30" s="333"/>
      <c r="Q30" s="285" t="s">
        <v>498</v>
      </c>
      <c r="R30" s="285"/>
      <c r="S30" s="278"/>
      <c r="T30" s="278"/>
      <c r="U30" s="278"/>
      <c r="V30" s="278"/>
      <c r="W30" s="278"/>
    </row>
    <row r="31" spans="1:23" x14ac:dyDescent="0.3">
      <c r="A31" s="210">
        <v>561000</v>
      </c>
      <c r="B31" s="210" t="s">
        <v>183</v>
      </c>
      <c r="C31" s="490">
        <f>S63</f>
        <v>110542.61</v>
      </c>
      <c r="D31" s="490">
        <f>T63</f>
        <v>45434.52</v>
      </c>
      <c r="E31" s="490">
        <f t="shared" ref="E31:G31" si="30">U63</f>
        <v>43876.33</v>
      </c>
      <c r="F31" s="490">
        <f t="shared" si="30"/>
        <v>39137.910000000003</v>
      </c>
      <c r="G31" s="490">
        <f t="shared" si="30"/>
        <v>47576.44</v>
      </c>
      <c r="H31" s="112">
        <v>0</v>
      </c>
      <c r="I31" s="112">
        <v>0</v>
      </c>
      <c r="J31" s="112">
        <v>0</v>
      </c>
      <c r="K31" s="112">
        <v>0</v>
      </c>
      <c r="L31" s="112">
        <v>0</v>
      </c>
      <c r="M31" s="112">
        <v>0</v>
      </c>
      <c r="N31" s="112">
        <v>0</v>
      </c>
      <c r="O31" s="142">
        <f t="shared" ref="O31:O37" si="31">SUM(E31:N31)</f>
        <v>130590.68000000001</v>
      </c>
      <c r="P31" s="333"/>
      <c r="Q31" s="285"/>
      <c r="R31" s="285" t="s">
        <v>399</v>
      </c>
      <c r="S31" s="278">
        <v>8355.5</v>
      </c>
      <c r="T31" s="278">
        <v>5250</v>
      </c>
      <c r="U31" s="278">
        <v>3250</v>
      </c>
      <c r="V31" s="278">
        <v>3125</v>
      </c>
      <c r="W31" s="278">
        <v>1425</v>
      </c>
    </row>
    <row r="32" spans="1:23" x14ac:dyDescent="0.3">
      <c r="A32" s="210" t="s">
        <v>184</v>
      </c>
      <c r="B32" s="210" t="s">
        <v>185</v>
      </c>
      <c r="C32" s="375">
        <f>S62</f>
        <v>0</v>
      </c>
      <c r="D32" s="375">
        <f t="shared" ref="D32:G32" si="32">T62</f>
        <v>0</v>
      </c>
      <c r="E32" s="375">
        <f t="shared" si="32"/>
        <v>15961.82</v>
      </c>
      <c r="F32" s="375">
        <f t="shared" si="32"/>
        <v>0</v>
      </c>
      <c r="G32" s="375">
        <f t="shared" si="32"/>
        <v>0</v>
      </c>
      <c r="H32" s="112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</v>
      </c>
      <c r="N32" s="112">
        <v>0</v>
      </c>
      <c r="O32" s="142">
        <f t="shared" si="31"/>
        <v>15961.82</v>
      </c>
      <c r="P32" s="333"/>
      <c r="Q32" s="285"/>
      <c r="R32" s="285" t="s">
        <v>499</v>
      </c>
      <c r="S32" s="278">
        <v>4090</v>
      </c>
      <c r="T32" s="278">
        <v>-1270</v>
      </c>
      <c r="U32" s="278">
        <v>-2400</v>
      </c>
      <c r="V32" s="278">
        <v>600</v>
      </c>
      <c r="W32" s="278">
        <v>-2295</v>
      </c>
    </row>
    <row r="33" spans="1:23" ht="15" thickBot="1" x14ac:dyDescent="0.35">
      <c r="A33" s="210" t="s">
        <v>186</v>
      </c>
      <c r="B33" s="210" t="s">
        <v>187</v>
      </c>
      <c r="C33" s="490">
        <f>S65</f>
        <v>1004.99</v>
      </c>
      <c r="D33" s="490">
        <f t="shared" ref="D33:G33" si="33">T65</f>
        <v>401.32</v>
      </c>
      <c r="E33" s="490">
        <f t="shared" si="33"/>
        <v>1637.13</v>
      </c>
      <c r="F33" s="490">
        <f t="shared" si="33"/>
        <v>928.34</v>
      </c>
      <c r="G33" s="490">
        <f t="shared" si="33"/>
        <v>2494.9</v>
      </c>
      <c r="H33" s="103">
        <v>0</v>
      </c>
      <c r="I33" s="103">
        <v>0</v>
      </c>
      <c r="J33" s="103">
        <v>0</v>
      </c>
      <c r="K33" s="103">
        <v>0</v>
      </c>
      <c r="L33" s="103">
        <v>0</v>
      </c>
      <c r="M33" s="103">
        <v>0</v>
      </c>
      <c r="N33" s="103">
        <v>0</v>
      </c>
      <c r="O33" s="142">
        <f t="shared" si="31"/>
        <v>5060.3700000000008</v>
      </c>
      <c r="P33" s="333"/>
      <c r="Q33" s="285"/>
      <c r="R33" s="285" t="s">
        <v>500</v>
      </c>
      <c r="S33" s="286">
        <v>-1900</v>
      </c>
      <c r="T33" s="286">
        <v>-1170</v>
      </c>
      <c r="U33" s="286">
        <v>0</v>
      </c>
      <c r="V33" s="286">
        <v>0</v>
      </c>
      <c r="W33" s="286">
        <v>0</v>
      </c>
    </row>
    <row r="34" spans="1:23" x14ac:dyDescent="0.3">
      <c r="A34" s="210" t="s">
        <v>188</v>
      </c>
      <c r="B34" s="210" t="s">
        <v>189</v>
      </c>
      <c r="C34" s="490">
        <f>S64</f>
        <v>723.59</v>
      </c>
      <c r="D34" s="490">
        <f t="shared" ref="D34:G34" si="34">T64</f>
        <v>139.55000000000001</v>
      </c>
      <c r="E34" s="490">
        <f t="shared" si="34"/>
        <v>1758.52</v>
      </c>
      <c r="F34" s="490">
        <f t="shared" si="34"/>
        <v>31.86</v>
      </c>
      <c r="G34" s="490">
        <f t="shared" si="34"/>
        <v>25.6</v>
      </c>
      <c r="H34" s="103">
        <v>0</v>
      </c>
      <c r="I34" s="103">
        <v>0</v>
      </c>
      <c r="J34" s="103">
        <v>0</v>
      </c>
      <c r="K34" s="103">
        <v>0</v>
      </c>
      <c r="L34" s="103">
        <v>0</v>
      </c>
      <c r="M34" s="103">
        <v>0</v>
      </c>
      <c r="N34" s="103">
        <v>0</v>
      </c>
      <c r="O34" s="142">
        <f t="shared" si="31"/>
        <v>1815.9799999999998</v>
      </c>
      <c r="P34" s="333"/>
      <c r="Q34" s="285" t="s">
        <v>501</v>
      </c>
      <c r="R34" s="285"/>
      <c r="S34" s="281">
        <v>10545.5</v>
      </c>
      <c r="T34" s="281">
        <v>2810</v>
      </c>
      <c r="U34" s="281">
        <v>850</v>
      </c>
      <c r="V34" s="281">
        <v>3725</v>
      </c>
      <c r="W34" s="281">
        <v>-870</v>
      </c>
    </row>
    <row r="35" spans="1:23" x14ac:dyDescent="0.3">
      <c r="A35" s="210" t="s">
        <v>190</v>
      </c>
      <c r="B35" s="210" t="s">
        <v>191</v>
      </c>
      <c r="C35" s="372">
        <v>0</v>
      </c>
      <c r="D35" s="372">
        <v>0</v>
      </c>
      <c r="E35" s="372">
        <v>0</v>
      </c>
      <c r="F35" s="372">
        <v>0</v>
      </c>
      <c r="G35" s="372">
        <v>0</v>
      </c>
      <c r="H35" s="103">
        <v>0</v>
      </c>
      <c r="I35" s="103">
        <v>0</v>
      </c>
      <c r="J35" s="103">
        <v>0</v>
      </c>
      <c r="K35" s="103">
        <v>0</v>
      </c>
      <c r="L35" s="103">
        <v>0</v>
      </c>
      <c r="M35" s="103">
        <v>0</v>
      </c>
      <c r="N35" s="103">
        <v>0</v>
      </c>
      <c r="O35" s="142">
        <f t="shared" si="31"/>
        <v>0</v>
      </c>
      <c r="P35" s="333"/>
      <c r="Q35" s="285" t="s">
        <v>502</v>
      </c>
      <c r="R35" s="285"/>
      <c r="S35" s="281">
        <v>4742.6499999999996</v>
      </c>
      <c r="T35" s="281">
        <v>-3211.95</v>
      </c>
      <c r="U35" s="281">
        <v>1394.2</v>
      </c>
      <c r="V35" s="281">
        <v>-1243</v>
      </c>
      <c r="W35" s="281">
        <v>103.25</v>
      </c>
    </row>
    <row r="36" spans="1:23" x14ac:dyDescent="0.3">
      <c r="A36" s="210" t="s">
        <v>192</v>
      </c>
      <c r="B36" s="210" t="s">
        <v>193</v>
      </c>
      <c r="C36" s="372">
        <v>0</v>
      </c>
      <c r="D36" s="372">
        <v>0</v>
      </c>
      <c r="E36" s="372">
        <v>0</v>
      </c>
      <c r="F36" s="372">
        <v>0</v>
      </c>
      <c r="G36" s="372">
        <v>0</v>
      </c>
      <c r="H36" s="103">
        <v>0</v>
      </c>
      <c r="I36" s="103">
        <v>0</v>
      </c>
      <c r="J36" s="103">
        <v>0</v>
      </c>
      <c r="K36" s="103">
        <v>0</v>
      </c>
      <c r="L36" s="103">
        <v>0</v>
      </c>
      <c r="M36" s="103">
        <v>0</v>
      </c>
      <c r="N36" s="103">
        <v>0</v>
      </c>
      <c r="O36" s="142">
        <f t="shared" si="31"/>
        <v>0</v>
      </c>
      <c r="P36" s="333"/>
      <c r="Q36" s="285" t="s">
        <v>503</v>
      </c>
      <c r="R36" s="285"/>
      <c r="S36" s="281">
        <v>11225</v>
      </c>
      <c r="T36" s="281">
        <v>-8282.5</v>
      </c>
      <c r="U36" s="281">
        <v>-1662.5</v>
      </c>
      <c r="V36" s="281">
        <v>630</v>
      </c>
      <c r="W36" s="281">
        <v>167.3</v>
      </c>
    </row>
    <row r="37" spans="1:23" x14ac:dyDescent="0.3">
      <c r="A37" s="210" t="s">
        <v>194</v>
      </c>
      <c r="B37" s="210" t="s">
        <v>195</v>
      </c>
      <c r="C37" s="372">
        <v>0</v>
      </c>
      <c r="D37" s="372">
        <v>0</v>
      </c>
      <c r="E37" s="372">
        <v>0</v>
      </c>
      <c r="F37" s="372">
        <v>0</v>
      </c>
      <c r="G37" s="372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42">
        <f t="shared" si="31"/>
        <v>0</v>
      </c>
      <c r="P37" s="333"/>
      <c r="Q37" s="285" t="s">
        <v>504</v>
      </c>
      <c r="R37" s="285"/>
      <c r="S37" s="281">
        <v>44587.8</v>
      </c>
      <c r="T37" s="281">
        <v>100</v>
      </c>
      <c r="U37" s="281">
        <v>0</v>
      </c>
      <c r="V37" s="281">
        <v>0</v>
      </c>
      <c r="W37" s="281">
        <v>17204.8</v>
      </c>
    </row>
    <row r="38" spans="1:23" x14ac:dyDescent="0.3">
      <c r="A38" s="210" t="s">
        <v>196</v>
      </c>
      <c r="B38" s="210" t="s">
        <v>380</v>
      </c>
      <c r="C38" s="494">
        <v>0</v>
      </c>
      <c r="D38" s="494">
        <v>0</v>
      </c>
      <c r="E38" s="495">
        <v>2000</v>
      </c>
      <c r="F38" s="495">
        <v>53000</v>
      </c>
      <c r="G38" s="495">
        <v>150000</v>
      </c>
      <c r="H38" s="113">
        <v>0</v>
      </c>
      <c r="I38" s="113">
        <v>0</v>
      </c>
      <c r="J38" s="113">
        <v>0</v>
      </c>
      <c r="K38" s="113">
        <v>0</v>
      </c>
      <c r="L38" s="113">
        <v>0</v>
      </c>
      <c r="M38" s="113">
        <v>0</v>
      </c>
      <c r="N38" s="113">
        <v>0</v>
      </c>
      <c r="O38" s="142">
        <f>SUM(H38:N38)</f>
        <v>0</v>
      </c>
      <c r="P38" s="333"/>
      <c r="Q38" s="285" t="s">
        <v>505</v>
      </c>
      <c r="R38" s="285"/>
      <c r="S38" s="278"/>
      <c r="T38" s="278"/>
      <c r="U38" s="278"/>
      <c r="V38" s="278"/>
      <c r="W38" s="278"/>
    </row>
    <row r="39" spans="1:23" x14ac:dyDescent="0.3">
      <c r="A39" s="210" t="s">
        <v>197</v>
      </c>
      <c r="B39" s="210" t="s">
        <v>198</v>
      </c>
      <c r="C39" s="375">
        <v>0</v>
      </c>
      <c r="D39" s="375">
        <v>0</v>
      </c>
      <c r="E39" s="375">
        <v>0</v>
      </c>
      <c r="F39" s="375">
        <v>0</v>
      </c>
      <c r="G39" s="375">
        <v>0</v>
      </c>
      <c r="H39" s="113">
        <v>0</v>
      </c>
      <c r="I39" s="113">
        <v>0</v>
      </c>
      <c r="J39" s="113">
        <v>0</v>
      </c>
      <c r="K39" s="113">
        <v>0</v>
      </c>
      <c r="L39" s="113">
        <v>0</v>
      </c>
      <c r="M39" s="113">
        <v>0</v>
      </c>
      <c r="N39" s="113">
        <v>0</v>
      </c>
      <c r="O39" s="142">
        <f t="shared" ref="O39:O53" si="35">SUM(E39:N39)</f>
        <v>0</v>
      </c>
      <c r="P39" s="333"/>
      <c r="Q39" s="285"/>
      <c r="R39" s="285" t="s">
        <v>406</v>
      </c>
      <c r="S39" s="278">
        <v>475</v>
      </c>
      <c r="T39" s="278">
        <v>-100</v>
      </c>
      <c r="U39" s="278">
        <v>362.5</v>
      </c>
      <c r="V39" s="278">
        <v>-575</v>
      </c>
      <c r="W39" s="278">
        <v>-162.5</v>
      </c>
    </row>
    <row r="40" spans="1:23" x14ac:dyDescent="0.3">
      <c r="A40" s="210">
        <v>577200</v>
      </c>
      <c r="B40" s="210" t="s">
        <v>199</v>
      </c>
      <c r="C40" s="372">
        <f>S71+S72</f>
        <v>2129.9700000000012</v>
      </c>
      <c r="D40" s="372">
        <f t="shared" ref="D40:G40" si="36">T71+T72</f>
        <v>26758.85</v>
      </c>
      <c r="E40" s="372">
        <f t="shared" si="36"/>
        <v>51304.240000000005</v>
      </c>
      <c r="F40" s="372">
        <f t="shared" si="36"/>
        <v>10015.09</v>
      </c>
      <c r="G40" s="372">
        <f t="shared" si="36"/>
        <v>11959.1</v>
      </c>
      <c r="H40" s="103">
        <v>0</v>
      </c>
      <c r="I40" s="103">
        <v>0</v>
      </c>
      <c r="J40" s="103">
        <v>0</v>
      </c>
      <c r="K40" s="103">
        <v>0</v>
      </c>
      <c r="L40" s="103">
        <v>0</v>
      </c>
      <c r="M40" s="103">
        <v>0</v>
      </c>
      <c r="N40" s="103">
        <v>0</v>
      </c>
      <c r="O40" s="142">
        <f t="shared" si="35"/>
        <v>73278.430000000008</v>
      </c>
      <c r="P40" s="333"/>
      <c r="Q40" s="285"/>
      <c r="R40" s="285" t="s">
        <v>506</v>
      </c>
      <c r="S40" s="278">
        <v>-350</v>
      </c>
      <c r="T40" s="278">
        <v>-50</v>
      </c>
      <c r="U40" s="278">
        <v>-250</v>
      </c>
      <c r="V40" s="278">
        <v>0</v>
      </c>
      <c r="W40" s="278">
        <v>-321.45</v>
      </c>
    </row>
    <row r="41" spans="1:23" x14ac:dyDescent="0.3">
      <c r="A41" s="210" t="s">
        <v>200</v>
      </c>
      <c r="B41" s="210" t="s">
        <v>201</v>
      </c>
      <c r="C41" s="490">
        <f>S73</f>
        <v>975.5</v>
      </c>
      <c r="D41" s="490">
        <f t="shared" ref="D41:G41" si="37">T73</f>
        <v>199</v>
      </c>
      <c r="E41" s="490">
        <f t="shared" si="37"/>
        <v>1566.49</v>
      </c>
      <c r="F41" s="490">
        <f t="shared" si="37"/>
        <v>0</v>
      </c>
      <c r="G41" s="490">
        <f t="shared" si="37"/>
        <v>2588.5500000000002</v>
      </c>
      <c r="H41" s="113">
        <v>0</v>
      </c>
      <c r="I41" s="113">
        <v>0</v>
      </c>
      <c r="J41" s="113">
        <v>0</v>
      </c>
      <c r="K41" s="113">
        <v>0</v>
      </c>
      <c r="L41" s="113">
        <v>0</v>
      </c>
      <c r="M41" s="113">
        <v>0</v>
      </c>
      <c r="N41" s="113">
        <v>0</v>
      </c>
      <c r="O41" s="142">
        <f t="shared" si="35"/>
        <v>4155.04</v>
      </c>
      <c r="P41" s="333"/>
      <c r="Q41" s="285"/>
      <c r="R41" s="285" t="s">
        <v>507</v>
      </c>
      <c r="S41" s="278">
        <v>80</v>
      </c>
      <c r="T41" s="278">
        <v>-310</v>
      </c>
      <c r="U41" s="278">
        <v>55</v>
      </c>
      <c r="V41" s="278">
        <v>15</v>
      </c>
      <c r="W41" s="278">
        <v>200</v>
      </c>
    </row>
    <row r="42" spans="1:23" x14ac:dyDescent="0.3">
      <c r="A42" s="210" t="s">
        <v>202</v>
      </c>
      <c r="B42" s="210" t="s">
        <v>203</v>
      </c>
      <c r="C42" s="490">
        <f>S66+S67</f>
        <v>327.40999999999997</v>
      </c>
      <c r="D42" s="490">
        <f t="shared" ref="D42:G42" si="38">T66+T67</f>
        <v>903.11999999999989</v>
      </c>
      <c r="E42" s="490">
        <f t="shared" si="38"/>
        <v>0</v>
      </c>
      <c r="F42" s="490">
        <f t="shared" si="38"/>
        <v>881.06999999999994</v>
      </c>
      <c r="G42" s="490">
        <f t="shared" si="38"/>
        <v>303.56</v>
      </c>
      <c r="H42" s="113">
        <v>0</v>
      </c>
      <c r="I42" s="113">
        <v>0</v>
      </c>
      <c r="J42" s="113">
        <v>0</v>
      </c>
      <c r="K42" s="113">
        <v>0</v>
      </c>
      <c r="L42" s="113">
        <v>0</v>
      </c>
      <c r="M42" s="113">
        <v>0</v>
      </c>
      <c r="N42" s="113">
        <v>0</v>
      </c>
      <c r="O42" s="142">
        <f t="shared" si="35"/>
        <v>1184.6299999999999</v>
      </c>
      <c r="P42" s="333"/>
      <c r="Q42" s="285"/>
      <c r="R42" s="285" t="s">
        <v>409</v>
      </c>
      <c r="S42" s="278">
        <v>101178.92</v>
      </c>
      <c r="T42" s="278">
        <v>-38661.67</v>
      </c>
      <c r="U42" s="278">
        <v>-15565</v>
      </c>
      <c r="V42" s="278">
        <v>-352.39</v>
      </c>
      <c r="W42" s="278">
        <v>14936.5</v>
      </c>
    </row>
    <row r="43" spans="1:23" x14ac:dyDescent="0.3">
      <c r="A43" s="210" t="s">
        <v>204</v>
      </c>
      <c r="B43" s="210" t="s">
        <v>205</v>
      </c>
      <c r="C43" s="490">
        <v>0</v>
      </c>
      <c r="D43" s="490">
        <v>0</v>
      </c>
      <c r="E43" s="490">
        <v>85</v>
      </c>
      <c r="F43" s="490">
        <v>0</v>
      </c>
      <c r="G43" s="490">
        <v>0</v>
      </c>
      <c r="H43" s="103">
        <v>0</v>
      </c>
      <c r="I43" s="103">
        <v>0</v>
      </c>
      <c r="J43" s="103">
        <v>0</v>
      </c>
      <c r="K43" s="103">
        <v>0</v>
      </c>
      <c r="L43" s="103">
        <v>0</v>
      </c>
      <c r="M43" s="103">
        <v>0</v>
      </c>
      <c r="N43" s="103">
        <v>0</v>
      </c>
      <c r="O43" s="142">
        <f t="shared" si="35"/>
        <v>85</v>
      </c>
      <c r="P43" s="333"/>
      <c r="Q43" s="285"/>
      <c r="R43" s="285" t="s">
        <v>410</v>
      </c>
      <c r="S43" s="278">
        <v>8832.5</v>
      </c>
      <c r="T43" s="278">
        <v>-33927.379999999997</v>
      </c>
      <c r="U43" s="278">
        <v>7420.94</v>
      </c>
      <c r="V43" s="278">
        <v>-3586.25</v>
      </c>
      <c r="W43" s="278">
        <v>2237.5</v>
      </c>
    </row>
    <row r="44" spans="1:23" x14ac:dyDescent="0.3">
      <c r="A44" s="210" t="s">
        <v>206</v>
      </c>
      <c r="B44" s="210" t="s">
        <v>207</v>
      </c>
      <c r="C44" s="490">
        <f>S76</f>
        <v>900</v>
      </c>
      <c r="D44" s="490">
        <v>2662.5</v>
      </c>
      <c r="E44" s="490">
        <v>3225</v>
      </c>
      <c r="F44" s="490">
        <v>3175</v>
      </c>
      <c r="G44" s="490">
        <v>2350</v>
      </c>
      <c r="H44" s="103">
        <v>0</v>
      </c>
      <c r="I44" s="103">
        <v>0</v>
      </c>
      <c r="J44" s="103">
        <v>0</v>
      </c>
      <c r="K44" s="103">
        <v>0</v>
      </c>
      <c r="L44" s="103">
        <v>0</v>
      </c>
      <c r="M44" s="103">
        <v>0</v>
      </c>
      <c r="N44" s="103">
        <v>0</v>
      </c>
      <c r="O44" s="142">
        <f t="shared" si="35"/>
        <v>8750</v>
      </c>
      <c r="P44" s="333"/>
      <c r="Q44" s="285"/>
      <c r="R44" s="285" t="s">
        <v>447</v>
      </c>
      <c r="S44" s="278">
        <v>0</v>
      </c>
      <c r="T44" s="278">
        <v>0</v>
      </c>
      <c r="U44" s="278">
        <v>0</v>
      </c>
      <c r="V44" s="278">
        <v>0</v>
      </c>
      <c r="W44" s="278">
        <v>0</v>
      </c>
    </row>
    <row r="45" spans="1:23" x14ac:dyDescent="0.3">
      <c r="A45" s="210" t="s">
        <v>208</v>
      </c>
      <c r="B45" s="210" t="s">
        <v>209</v>
      </c>
      <c r="C45" s="490">
        <v>0</v>
      </c>
      <c r="D45" s="490">
        <v>0</v>
      </c>
      <c r="E45" s="490">
        <v>0</v>
      </c>
      <c r="F45" s="490">
        <v>0</v>
      </c>
      <c r="G45" s="490">
        <v>0</v>
      </c>
      <c r="H45" s="113">
        <v>0</v>
      </c>
      <c r="I45" s="113">
        <v>0</v>
      </c>
      <c r="J45" s="113">
        <v>0</v>
      </c>
      <c r="K45" s="113">
        <v>0</v>
      </c>
      <c r="L45" s="113">
        <v>0</v>
      </c>
      <c r="M45" s="113">
        <v>0</v>
      </c>
      <c r="N45" s="113">
        <v>0</v>
      </c>
      <c r="O45" s="142">
        <f t="shared" si="35"/>
        <v>0</v>
      </c>
      <c r="P45" s="333"/>
      <c r="Q45" s="285"/>
      <c r="R45" s="285" t="s">
        <v>508</v>
      </c>
      <c r="S45" s="278">
        <v>425</v>
      </c>
      <c r="T45" s="278">
        <v>337.5</v>
      </c>
      <c r="U45" s="278">
        <v>106</v>
      </c>
      <c r="V45" s="278">
        <v>162</v>
      </c>
      <c r="W45" s="278">
        <v>246</v>
      </c>
    </row>
    <row r="46" spans="1:23" ht="15" thickBot="1" x14ac:dyDescent="0.35">
      <c r="A46" s="210" t="s">
        <v>210</v>
      </c>
      <c r="B46" s="210" t="s">
        <v>211</v>
      </c>
      <c r="C46" s="375">
        <v>0</v>
      </c>
      <c r="D46" s="375">
        <v>0</v>
      </c>
      <c r="E46" s="375">
        <v>0</v>
      </c>
      <c r="F46" s="375">
        <v>0</v>
      </c>
      <c r="G46" s="375">
        <v>0</v>
      </c>
      <c r="H46" s="113">
        <v>0</v>
      </c>
      <c r="I46" s="113">
        <v>0</v>
      </c>
      <c r="J46" s="113">
        <v>0</v>
      </c>
      <c r="K46" s="113">
        <v>0</v>
      </c>
      <c r="L46" s="113">
        <v>0</v>
      </c>
      <c r="M46" s="113">
        <v>0</v>
      </c>
      <c r="N46" s="113">
        <v>0</v>
      </c>
      <c r="O46" s="142">
        <f t="shared" si="35"/>
        <v>0</v>
      </c>
      <c r="P46" s="333"/>
      <c r="Q46" s="285"/>
      <c r="R46" s="285" t="s">
        <v>509</v>
      </c>
      <c r="S46" s="286">
        <v>0</v>
      </c>
      <c r="T46" s="286">
        <v>0</v>
      </c>
      <c r="U46" s="286">
        <v>0</v>
      </c>
      <c r="V46" s="286">
        <v>150</v>
      </c>
      <c r="W46" s="286">
        <v>0</v>
      </c>
    </row>
    <row r="47" spans="1:23" x14ac:dyDescent="0.3">
      <c r="A47" s="210" t="s">
        <v>212</v>
      </c>
      <c r="B47" s="210" t="s">
        <v>213</v>
      </c>
      <c r="C47" s="490">
        <f>S77</f>
        <v>2048.48</v>
      </c>
      <c r="D47" s="490">
        <f t="shared" ref="D47:G47" si="39">T77</f>
        <v>1735.54</v>
      </c>
      <c r="E47" s="490">
        <f t="shared" si="39"/>
        <v>4273.92</v>
      </c>
      <c r="F47" s="490">
        <f t="shared" si="39"/>
        <v>827.66</v>
      </c>
      <c r="G47" s="490">
        <f t="shared" si="39"/>
        <v>1261.1199999999999</v>
      </c>
      <c r="H47" s="113">
        <v>0</v>
      </c>
      <c r="I47" s="113">
        <v>0</v>
      </c>
      <c r="J47" s="113">
        <v>0</v>
      </c>
      <c r="K47" s="113">
        <v>0</v>
      </c>
      <c r="L47" s="113">
        <v>0</v>
      </c>
      <c r="M47" s="113">
        <v>0</v>
      </c>
      <c r="N47" s="113">
        <v>0</v>
      </c>
      <c r="O47" s="142">
        <f t="shared" si="35"/>
        <v>6362.7</v>
      </c>
      <c r="P47" s="333"/>
      <c r="Q47" s="285" t="s">
        <v>510</v>
      </c>
      <c r="R47" s="285"/>
      <c r="S47" s="281">
        <v>110641.42</v>
      </c>
      <c r="T47" s="281">
        <v>-72711.55</v>
      </c>
      <c r="U47" s="281">
        <v>-7870.56</v>
      </c>
      <c r="V47" s="281">
        <v>-4186.6400000000003</v>
      </c>
      <c r="W47" s="281">
        <v>17136.05</v>
      </c>
    </row>
    <row r="48" spans="1:23" x14ac:dyDescent="0.3">
      <c r="A48" s="210" t="s">
        <v>214</v>
      </c>
      <c r="B48" s="210" t="s">
        <v>215</v>
      </c>
      <c r="C48" s="375">
        <v>0</v>
      </c>
      <c r="D48" s="375">
        <v>0</v>
      </c>
      <c r="E48" s="375">
        <v>0</v>
      </c>
      <c r="F48" s="375">
        <v>0</v>
      </c>
      <c r="G48" s="375">
        <v>0</v>
      </c>
      <c r="H48" s="113">
        <v>0</v>
      </c>
      <c r="I48" s="113">
        <v>0</v>
      </c>
      <c r="J48" s="113">
        <v>0</v>
      </c>
      <c r="K48" s="113">
        <v>0</v>
      </c>
      <c r="L48" s="113">
        <v>0</v>
      </c>
      <c r="M48" s="113">
        <v>0</v>
      </c>
      <c r="N48" s="113">
        <v>0</v>
      </c>
      <c r="O48" s="142">
        <f t="shared" si="35"/>
        <v>0</v>
      </c>
      <c r="P48" s="333"/>
      <c r="Q48" s="285" t="s">
        <v>511</v>
      </c>
      <c r="R48" s="285"/>
      <c r="S48" s="281">
        <v>-14649.66</v>
      </c>
      <c r="T48" s="281">
        <v>-23015.07</v>
      </c>
      <c r="U48" s="281">
        <v>-29806</v>
      </c>
      <c r="V48" s="281">
        <v>-15486</v>
      </c>
      <c r="W48" s="281">
        <v>-17401.02</v>
      </c>
    </row>
    <row r="49" spans="1:28" x14ac:dyDescent="0.3">
      <c r="A49" s="210" t="s">
        <v>216</v>
      </c>
      <c r="B49" s="210" t="s">
        <v>217</v>
      </c>
      <c r="C49" s="375">
        <v>0</v>
      </c>
      <c r="D49" s="375">
        <v>0</v>
      </c>
      <c r="E49" s="375">
        <v>0</v>
      </c>
      <c r="F49" s="375">
        <v>0</v>
      </c>
      <c r="G49" s="375">
        <v>0</v>
      </c>
      <c r="H49" s="113">
        <v>0</v>
      </c>
      <c r="I49" s="113">
        <v>0</v>
      </c>
      <c r="J49" s="113">
        <v>0</v>
      </c>
      <c r="K49" s="113">
        <v>0</v>
      </c>
      <c r="L49" s="113">
        <v>0</v>
      </c>
      <c r="M49" s="113">
        <v>0</v>
      </c>
      <c r="N49" s="113">
        <v>0</v>
      </c>
      <c r="O49" s="142">
        <f t="shared" si="35"/>
        <v>0</v>
      </c>
      <c r="P49" s="333"/>
      <c r="Q49" s="285" t="s">
        <v>512</v>
      </c>
      <c r="R49" s="285"/>
      <c r="S49" s="281">
        <v>28825</v>
      </c>
      <c r="T49" s="281">
        <v>-26860</v>
      </c>
      <c r="U49" s="281">
        <v>-2470</v>
      </c>
      <c r="V49" s="281">
        <v>1405</v>
      </c>
      <c r="W49" s="281">
        <v>601</v>
      </c>
    </row>
    <row r="50" spans="1:28" ht="15" thickBot="1" x14ac:dyDescent="0.35">
      <c r="A50" s="210" t="s">
        <v>218</v>
      </c>
      <c r="B50" s="210" t="s">
        <v>219</v>
      </c>
      <c r="C50" s="490">
        <f>S78</f>
        <v>285.06</v>
      </c>
      <c r="D50" s="490">
        <f t="shared" ref="D50:G50" si="40">T78</f>
        <v>0</v>
      </c>
      <c r="E50" s="490">
        <f t="shared" si="40"/>
        <v>91.75</v>
      </c>
      <c r="F50" s="490">
        <f t="shared" si="40"/>
        <v>85.97</v>
      </c>
      <c r="G50" s="490">
        <f t="shared" si="40"/>
        <v>5388.1</v>
      </c>
      <c r="H50" s="113">
        <v>0</v>
      </c>
      <c r="I50" s="113">
        <v>0</v>
      </c>
      <c r="J50" s="113">
        <v>0</v>
      </c>
      <c r="K50" s="113">
        <v>0</v>
      </c>
      <c r="L50" s="113">
        <v>0</v>
      </c>
      <c r="M50" s="113">
        <v>0</v>
      </c>
      <c r="N50" s="113">
        <v>0</v>
      </c>
      <c r="O50" s="142">
        <f t="shared" si="35"/>
        <v>5565.8200000000006</v>
      </c>
      <c r="P50" s="333"/>
      <c r="Q50" s="285" t="s">
        <v>513</v>
      </c>
      <c r="R50" s="285"/>
      <c r="S50" s="291">
        <v>-2454.04</v>
      </c>
      <c r="T50" s="291">
        <v>-148.16999999999999</v>
      </c>
      <c r="U50" s="291">
        <v>601.85</v>
      </c>
      <c r="V50" s="291">
        <v>-6171.39</v>
      </c>
      <c r="W50" s="291">
        <v>6327.05</v>
      </c>
    </row>
    <row r="51" spans="1:28" ht="15" thickBot="1" x14ac:dyDescent="0.35">
      <c r="A51" s="210" t="s">
        <v>220</v>
      </c>
      <c r="B51" s="210" t="s">
        <v>221</v>
      </c>
      <c r="C51" s="490"/>
      <c r="D51" s="490"/>
      <c r="E51" s="490"/>
      <c r="F51" s="490"/>
      <c r="G51" s="490"/>
      <c r="H51" s="113">
        <v>0</v>
      </c>
      <c r="I51" s="113">
        <v>0</v>
      </c>
      <c r="J51" s="113">
        <v>0</v>
      </c>
      <c r="K51" s="113">
        <v>0</v>
      </c>
      <c r="L51" s="113">
        <v>0</v>
      </c>
      <c r="M51" s="113">
        <v>0</v>
      </c>
      <c r="N51" s="113">
        <v>0</v>
      </c>
      <c r="O51" s="142">
        <f t="shared" si="35"/>
        <v>0</v>
      </c>
      <c r="P51" s="333"/>
      <c r="Q51" s="285"/>
      <c r="R51" s="285"/>
      <c r="S51" s="316">
        <v>670142.56000000006</v>
      </c>
      <c r="T51" s="287">
        <v>-31864.09</v>
      </c>
      <c r="U51" s="287">
        <v>126905.05</v>
      </c>
      <c r="V51" s="287">
        <v>166082.09</v>
      </c>
      <c r="W51" s="287">
        <v>210235.5</v>
      </c>
      <c r="X51" s="309" t="s">
        <v>0</v>
      </c>
      <c r="Y51" s="310"/>
      <c r="Z51" s="310"/>
    </row>
    <row r="52" spans="1:28" x14ac:dyDescent="0.3">
      <c r="A52" s="296" t="s">
        <v>222</v>
      </c>
      <c r="B52" s="296" t="s">
        <v>223</v>
      </c>
      <c r="C52" s="496">
        <f>S79</f>
        <v>14873.24</v>
      </c>
      <c r="D52" s="496">
        <f t="shared" ref="D52:G52" si="41">T79</f>
        <v>80.88</v>
      </c>
      <c r="E52" s="496">
        <f t="shared" si="41"/>
        <v>18.28</v>
      </c>
      <c r="F52" s="496">
        <f t="shared" si="41"/>
        <v>4253.95</v>
      </c>
      <c r="G52" s="496">
        <f t="shared" si="41"/>
        <v>16146.03</v>
      </c>
      <c r="H52" s="103">
        <v>0</v>
      </c>
      <c r="I52" s="103">
        <v>0</v>
      </c>
      <c r="J52" s="103">
        <v>0</v>
      </c>
      <c r="K52" s="103">
        <v>0</v>
      </c>
      <c r="L52" s="103">
        <v>0</v>
      </c>
      <c r="M52" s="103">
        <v>0</v>
      </c>
      <c r="N52" s="103">
        <v>0</v>
      </c>
      <c r="O52" s="142">
        <f t="shared" si="35"/>
        <v>20418.260000000002</v>
      </c>
      <c r="P52" s="333"/>
      <c r="Q52" s="285"/>
      <c r="R52" s="285"/>
      <c r="S52" s="482">
        <v>670142.56000000006</v>
      </c>
      <c r="T52" s="482">
        <v>-31864.09</v>
      </c>
      <c r="U52" s="482">
        <v>126905.05</v>
      </c>
      <c r="V52" s="482">
        <v>166082.09</v>
      </c>
      <c r="W52" s="482">
        <v>210235.5</v>
      </c>
    </row>
    <row r="53" spans="1:28" x14ac:dyDescent="0.3">
      <c r="A53" s="293"/>
      <c r="B53" s="297" t="s">
        <v>224</v>
      </c>
      <c r="C53" s="374">
        <f>SUM(C31:C52)</f>
        <v>133810.85</v>
      </c>
      <c r="D53" s="374">
        <f>SUM(D31:D52)</f>
        <v>78315.279999999984</v>
      </c>
      <c r="E53" s="374">
        <f>SUM(E31:E52)</f>
        <v>125798.48000000001</v>
      </c>
      <c r="F53" s="374">
        <f>SUM(F31:F52)</f>
        <v>112336.85</v>
      </c>
      <c r="G53" s="374">
        <f>SUM(G31:G52)</f>
        <v>240093.4</v>
      </c>
      <c r="H53" s="110">
        <f t="shared" ref="H53:N53" si="42">SUM(H31:H52)</f>
        <v>0</v>
      </c>
      <c r="I53" s="110">
        <f t="shared" si="42"/>
        <v>0</v>
      </c>
      <c r="J53" s="110">
        <f t="shared" si="42"/>
        <v>0</v>
      </c>
      <c r="K53" s="110">
        <f t="shared" si="42"/>
        <v>0</v>
      </c>
      <c r="L53" s="110">
        <f t="shared" si="42"/>
        <v>0</v>
      </c>
      <c r="M53" s="110">
        <f t="shared" si="42"/>
        <v>0</v>
      </c>
      <c r="N53" s="110">
        <f t="shared" si="42"/>
        <v>0</v>
      </c>
      <c r="O53" s="118">
        <f t="shared" si="35"/>
        <v>478228.73</v>
      </c>
      <c r="P53" s="333"/>
      <c r="Q53" s="285"/>
      <c r="R53" s="285"/>
      <c r="S53" s="278"/>
      <c r="T53" s="278"/>
      <c r="U53" s="278"/>
      <c r="V53" s="278"/>
      <c r="W53" s="278"/>
    </row>
    <row r="54" spans="1:28" x14ac:dyDescent="0.3">
      <c r="A54" s="298"/>
      <c r="B54" s="213" t="s">
        <v>225</v>
      </c>
      <c r="C54" s="376">
        <f t="shared" ref="C54:H54" si="43">C53+C30</f>
        <v>219728.31</v>
      </c>
      <c r="D54" s="376">
        <f t="shared" si="43"/>
        <v>189322.41</v>
      </c>
      <c r="E54" s="376">
        <f t="shared" si="43"/>
        <v>251964.43</v>
      </c>
      <c r="F54" s="376">
        <f t="shared" si="43"/>
        <v>175425.08000000002</v>
      </c>
      <c r="G54" s="376">
        <f t="shared" si="43"/>
        <v>302270.27</v>
      </c>
      <c r="H54" s="111">
        <f t="shared" si="43"/>
        <v>0</v>
      </c>
      <c r="I54" s="111">
        <f t="shared" ref="I54:K54" si="44">I53+I30</f>
        <v>0</v>
      </c>
      <c r="J54" s="111">
        <f t="shared" si="44"/>
        <v>0</v>
      </c>
      <c r="K54" s="111">
        <f t="shared" si="44"/>
        <v>0</v>
      </c>
      <c r="L54" s="111">
        <f>L53+L30</f>
        <v>0</v>
      </c>
      <c r="M54" s="111">
        <f>M53+M30</f>
        <v>0</v>
      </c>
      <c r="N54" s="111">
        <f>N53+N30</f>
        <v>0</v>
      </c>
      <c r="O54" s="145">
        <f>O53+O30</f>
        <v>926584.36999999988</v>
      </c>
      <c r="P54" s="333"/>
      <c r="Q54" s="318" t="s">
        <v>514</v>
      </c>
      <c r="R54" s="285"/>
      <c r="S54" s="317">
        <v>5725</v>
      </c>
      <c r="T54" s="317">
        <v>6895.58</v>
      </c>
      <c r="U54" s="317">
        <v>8614.98</v>
      </c>
      <c r="V54" s="317">
        <v>5252.97</v>
      </c>
      <c r="W54" s="317">
        <v>5437.46</v>
      </c>
    </row>
    <row r="55" spans="1:28" x14ac:dyDescent="0.3">
      <c r="A55" s="210" t="s">
        <v>226</v>
      </c>
      <c r="B55" s="210" t="s">
        <v>227</v>
      </c>
      <c r="C55" s="490">
        <v>0</v>
      </c>
      <c r="D55" s="490">
        <v>0</v>
      </c>
      <c r="E55" s="490">
        <v>6319.58</v>
      </c>
      <c r="F55" s="490">
        <v>9230.76</v>
      </c>
      <c r="G55" s="490">
        <v>9230.76</v>
      </c>
      <c r="H55" s="113">
        <v>0</v>
      </c>
      <c r="I55" s="113">
        <v>0</v>
      </c>
      <c r="J55" s="113">
        <v>0</v>
      </c>
      <c r="K55" s="113">
        <v>0</v>
      </c>
      <c r="L55" s="113">
        <v>0</v>
      </c>
      <c r="M55" s="113">
        <v>0</v>
      </c>
      <c r="N55" s="113">
        <v>0</v>
      </c>
      <c r="O55" s="142">
        <f>SUM(C55:N55)</f>
        <v>24781.1</v>
      </c>
      <c r="P55" s="333"/>
      <c r="Q55" s="285" t="s">
        <v>515</v>
      </c>
      <c r="R55" s="285"/>
      <c r="S55" s="278"/>
      <c r="T55" s="278"/>
      <c r="U55" s="278"/>
      <c r="V55" s="278"/>
      <c r="W55" s="278"/>
    </row>
    <row r="56" spans="1:28" x14ac:dyDescent="0.3">
      <c r="A56" s="210" t="s">
        <v>228</v>
      </c>
      <c r="B56" s="210" t="s">
        <v>229</v>
      </c>
      <c r="C56" s="375">
        <f>C55*0.09</f>
        <v>0</v>
      </c>
      <c r="D56" s="375">
        <f t="shared" ref="D56:G56" si="45">D55*0.09</f>
        <v>0</v>
      </c>
      <c r="E56" s="375">
        <f t="shared" si="45"/>
        <v>568.76220000000001</v>
      </c>
      <c r="F56" s="375">
        <f t="shared" si="45"/>
        <v>830.76840000000004</v>
      </c>
      <c r="G56" s="375">
        <f t="shared" si="45"/>
        <v>830.76840000000004</v>
      </c>
      <c r="H56" s="113">
        <v>0</v>
      </c>
      <c r="I56" s="113">
        <v>0</v>
      </c>
      <c r="J56" s="113">
        <v>0</v>
      </c>
      <c r="K56" s="113">
        <v>0</v>
      </c>
      <c r="L56" s="113">
        <v>0</v>
      </c>
      <c r="M56" s="113">
        <v>0</v>
      </c>
      <c r="N56" s="113">
        <v>0</v>
      </c>
      <c r="O56" s="142">
        <f t="shared" ref="O56:O107" si="46">SUM(C56:N56)</f>
        <v>2230.299</v>
      </c>
      <c r="P56" s="333"/>
      <c r="Q56" s="285"/>
      <c r="R56" s="285" t="s">
        <v>516</v>
      </c>
      <c r="S56" s="278">
        <v>-176.18</v>
      </c>
      <c r="T56" s="278">
        <v>-624.1</v>
      </c>
      <c r="U56" s="278">
        <v>28732.16</v>
      </c>
      <c r="V56" s="278">
        <v>-602.08000000000004</v>
      </c>
      <c r="W56" s="278">
        <v>-446.24</v>
      </c>
    </row>
    <row r="57" spans="1:28" x14ac:dyDescent="0.3">
      <c r="A57" s="210" t="s">
        <v>230</v>
      </c>
      <c r="B57" s="210" t="s">
        <v>231</v>
      </c>
      <c r="C57" s="375">
        <v>0</v>
      </c>
      <c r="D57" s="375">
        <v>0</v>
      </c>
      <c r="E57" s="375">
        <v>0</v>
      </c>
      <c r="F57" s="375">
        <v>0</v>
      </c>
      <c r="G57" s="375">
        <v>0</v>
      </c>
      <c r="H57" s="113">
        <v>0</v>
      </c>
      <c r="I57" s="113">
        <v>0</v>
      </c>
      <c r="J57" s="113">
        <v>0</v>
      </c>
      <c r="K57" s="113">
        <v>0</v>
      </c>
      <c r="L57" s="113">
        <v>0</v>
      </c>
      <c r="M57" s="113">
        <v>0</v>
      </c>
      <c r="N57" s="113">
        <v>0</v>
      </c>
      <c r="O57" s="142">
        <f t="shared" si="46"/>
        <v>0</v>
      </c>
      <c r="P57" s="333"/>
      <c r="Q57" s="285"/>
      <c r="R57" s="285" t="s">
        <v>517</v>
      </c>
      <c r="S57" s="278">
        <v>505.5</v>
      </c>
      <c r="T57" s="278">
        <v>0</v>
      </c>
      <c r="U57" s="278">
        <v>0</v>
      </c>
      <c r="V57" s="278">
        <v>0</v>
      </c>
      <c r="W57" s="278">
        <v>887.54</v>
      </c>
    </row>
    <row r="58" spans="1:28" ht="15" thickBot="1" x14ac:dyDescent="0.35">
      <c r="A58" s="210" t="s">
        <v>232</v>
      </c>
      <c r="B58" s="210" t="s">
        <v>233</v>
      </c>
      <c r="C58" s="490">
        <f>S81</f>
        <v>5884.62</v>
      </c>
      <c r="D58" s="490">
        <f t="shared" ref="D58:G58" si="47">T81</f>
        <v>5590.39</v>
      </c>
      <c r="E58" s="493">
        <f t="shared" si="47"/>
        <v>8532.7000000000007</v>
      </c>
      <c r="F58" s="490">
        <f t="shared" si="47"/>
        <v>4413.47</v>
      </c>
      <c r="G58" s="490">
        <f t="shared" si="47"/>
        <v>5296.16</v>
      </c>
      <c r="H58" s="103">
        <v>0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42">
        <f t="shared" si="46"/>
        <v>29717.34</v>
      </c>
      <c r="P58" s="333"/>
      <c r="Q58" s="285"/>
      <c r="R58" s="285" t="s">
        <v>518</v>
      </c>
      <c r="S58" s="286">
        <v>72544.97</v>
      </c>
      <c r="T58" s="286">
        <v>95580.34</v>
      </c>
      <c r="U58" s="286">
        <v>76540.149999999994</v>
      </c>
      <c r="V58" s="286">
        <v>51903.54</v>
      </c>
      <c r="W58" s="286">
        <v>51313.55</v>
      </c>
    </row>
    <row r="59" spans="1:28" x14ac:dyDescent="0.3">
      <c r="A59" s="210" t="s">
        <v>234</v>
      </c>
      <c r="B59" s="210" t="s">
        <v>235</v>
      </c>
      <c r="C59" s="375">
        <v>0</v>
      </c>
      <c r="D59" s="375">
        <v>0</v>
      </c>
      <c r="E59" s="375">
        <v>0</v>
      </c>
      <c r="F59" s="375">
        <v>0</v>
      </c>
      <c r="G59" s="375">
        <v>0</v>
      </c>
      <c r="H59" s="113">
        <v>0</v>
      </c>
      <c r="I59" s="113">
        <v>0</v>
      </c>
      <c r="J59" s="113">
        <v>0</v>
      </c>
      <c r="K59" s="113">
        <v>0</v>
      </c>
      <c r="L59" s="113">
        <v>0</v>
      </c>
      <c r="M59" s="113">
        <v>0</v>
      </c>
      <c r="N59" s="113">
        <v>0</v>
      </c>
      <c r="O59" s="142">
        <f t="shared" si="46"/>
        <v>0</v>
      </c>
      <c r="P59" s="333"/>
      <c r="Q59" s="285" t="s">
        <v>519</v>
      </c>
      <c r="R59" s="285"/>
      <c r="S59" s="281">
        <v>72874.289999999994</v>
      </c>
      <c r="T59" s="281">
        <v>94956.24</v>
      </c>
      <c r="U59" s="281">
        <v>105272.31</v>
      </c>
      <c r="V59" s="281">
        <v>51301.46</v>
      </c>
      <c r="W59" s="281">
        <v>51754.85</v>
      </c>
      <c r="X59" s="312">
        <f>S59+S54+S60+S61</f>
        <v>85917.459999999992</v>
      </c>
      <c r="Y59" s="312">
        <f t="shared" ref="Y59:AB59" si="48">T59+T54+T60+T61</f>
        <v>111007.13000000002</v>
      </c>
      <c r="Z59" s="312">
        <f t="shared" si="48"/>
        <v>126165.94999999998</v>
      </c>
      <c r="AA59" s="312">
        <f t="shared" si="48"/>
        <v>63088.229999999996</v>
      </c>
      <c r="AB59" s="312">
        <f t="shared" si="48"/>
        <v>62176.869999999995</v>
      </c>
    </row>
    <row r="60" spans="1:28" x14ac:dyDescent="0.3">
      <c r="A60" s="210" t="s">
        <v>236</v>
      </c>
      <c r="B60" s="210" t="s">
        <v>237</v>
      </c>
      <c r="C60" s="375">
        <v>0</v>
      </c>
      <c r="D60" s="375">
        <v>0</v>
      </c>
      <c r="E60" s="375">
        <v>0</v>
      </c>
      <c r="F60" s="375">
        <v>0</v>
      </c>
      <c r="G60" s="375">
        <v>0</v>
      </c>
      <c r="H60" s="113">
        <v>0</v>
      </c>
      <c r="I60" s="113">
        <v>0</v>
      </c>
      <c r="J60" s="113">
        <v>0</v>
      </c>
      <c r="K60" s="113">
        <v>0</v>
      </c>
      <c r="L60" s="113">
        <v>0</v>
      </c>
      <c r="M60" s="113">
        <v>0</v>
      </c>
      <c r="N60" s="113">
        <v>0</v>
      </c>
      <c r="O60" s="142">
        <f t="shared" si="46"/>
        <v>0</v>
      </c>
      <c r="P60" s="333"/>
      <c r="Q60" s="285" t="s">
        <v>520</v>
      </c>
      <c r="R60" s="285"/>
      <c r="S60" s="281">
        <v>2569.59</v>
      </c>
      <c r="T60" s="281">
        <v>3150.82</v>
      </c>
      <c r="U60" s="281">
        <v>4193.29</v>
      </c>
      <c r="V60" s="281">
        <v>2234.0700000000002</v>
      </c>
      <c r="W60" s="281">
        <v>0</v>
      </c>
    </row>
    <row r="61" spans="1:28" x14ac:dyDescent="0.3">
      <c r="A61" s="210" t="s">
        <v>238</v>
      </c>
      <c r="B61" s="210" t="s">
        <v>239</v>
      </c>
      <c r="C61" s="490">
        <f>S82</f>
        <v>25687.24</v>
      </c>
      <c r="D61" s="490">
        <f t="shared" ref="D61:G61" si="49">T82</f>
        <v>26695.91</v>
      </c>
      <c r="E61" s="490">
        <f t="shared" si="49"/>
        <v>66861.350000000006</v>
      </c>
      <c r="F61" s="490">
        <f t="shared" si="49"/>
        <v>26610.13</v>
      </c>
      <c r="G61" s="490">
        <f t="shared" si="49"/>
        <v>42875.22</v>
      </c>
      <c r="H61" s="103">
        <v>0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42">
        <f>SUM(C61:N61)</f>
        <v>188729.85</v>
      </c>
      <c r="P61" s="333"/>
      <c r="Q61" s="285" t="s">
        <v>521</v>
      </c>
      <c r="R61" s="285"/>
      <c r="S61" s="281">
        <v>4748.58</v>
      </c>
      <c r="T61" s="281">
        <v>6004.49</v>
      </c>
      <c r="U61" s="281">
        <v>8085.37</v>
      </c>
      <c r="V61" s="281">
        <v>4299.7299999999996</v>
      </c>
      <c r="W61" s="281">
        <v>4984.5600000000004</v>
      </c>
    </row>
    <row r="62" spans="1:28" x14ac:dyDescent="0.3">
      <c r="A62" s="210" t="s">
        <v>240</v>
      </c>
      <c r="B62" s="210" t="s">
        <v>241</v>
      </c>
      <c r="C62" s="490">
        <f>S83</f>
        <v>6897.08</v>
      </c>
      <c r="D62" s="490">
        <f t="shared" ref="D62:G62" si="50">T83</f>
        <v>8097.08</v>
      </c>
      <c r="E62" s="490">
        <f t="shared" si="50"/>
        <v>7970.62</v>
      </c>
      <c r="F62" s="490">
        <f t="shared" si="50"/>
        <v>4647.08</v>
      </c>
      <c r="G62" s="490">
        <f t="shared" si="50"/>
        <v>4647.08</v>
      </c>
      <c r="H62" s="103">
        <v>0</v>
      </c>
      <c r="I62" s="103">
        <v>0</v>
      </c>
      <c r="J62" s="103">
        <v>0</v>
      </c>
      <c r="K62" s="103">
        <v>0</v>
      </c>
      <c r="L62" s="103">
        <v>0</v>
      </c>
      <c r="M62" s="103">
        <v>0</v>
      </c>
      <c r="N62" s="103">
        <v>0</v>
      </c>
      <c r="O62" s="142">
        <f t="shared" si="46"/>
        <v>32258.940000000002</v>
      </c>
      <c r="P62" s="333"/>
      <c r="Q62" s="285" t="s">
        <v>522</v>
      </c>
      <c r="R62" s="285"/>
      <c r="S62" s="278">
        <v>0</v>
      </c>
      <c r="T62" s="278">
        <v>0</v>
      </c>
      <c r="U62" s="278">
        <v>15961.82</v>
      </c>
      <c r="V62" s="278">
        <v>0</v>
      </c>
      <c r="W62" s="278">
        <v>0</v>
      </c>
    </row>
    <row r="63" spans="1:28" x14ac:dyDescent="0.3">
      <c r="A63" s="210" t="s">
        <v>242</v>
      </c>
      <c r="B63" s="210" t="s">
        <v>243</v>
      </c>
      <c r="C63" s="372">
        <v>0</v>
      </c>
      <c r="D63" s="372">
        <v>0</v>
      </c>
      <c r="E63" s="372">
        <v>0</v>
      </c>
      <c r="F63" s="372">
        <v>0</v>
      </c>
      <c r="G63" s="372">
        <v>0</v>
      </c>
      <c r="H63" s="103">
        <v>0</v>
      </c>
      <c r="I63" s="103">
        <v>0</v>
      </c>
      <c r="J63" s="103">
        <v>0</v>
      </c>
      <c r="K63" s="103">
        <v>0</v>
      </c>
      <c r="L63" s="103">
        <v>0</v>
      </c>
      <c r="M63" s="103">
        <v>0</v>
      </c>
      <c r="N63" s="103">
        <v>0</v>
      </c>
      <c r="O63" s="142">
        <f t="shared" si="46"/>
        <v>0</v>
      </c>
      <c r="P63" s="333"/>
      <c r="Q63" s="285" t="s">
        <v>523</v>
      </c>
      <c r="R63" s="285"/>
      <c r="S63" s="281">
        <v>110542.61</v>
      </c>
      <c r="T63" s="281">
        <v>45434.52</v>
      </c>
      <c r="U63" s="281">
        <v>43876.33</v>
      </c>
      <c r="V63" s="281">
        <v>39137.910000000003</v>
      </c>
      <c r="W63" s="281">
        <v>47576.44</v>
      </c>
    </row>
    <row r="64" spans="1:28" x14ac:dyDescent="0.3">
      <c r="A64" s="210" t="s">
        <v>244</v>
      </c>
      <c r="B64" s="210" t="s">
        <v>245</v>
      </c>
      <c r="C64" s="372">
        <v>0</v>
      </c>
      <c r="D64" s="372">
        <v>0</v>
      </c>
      <c r="E64" s="372">
        <v>0</v>
      </c>
      <c r="F64" s="372">
        <v>0</v>
      </c>
      <c r="G64" s="372">
        <v>0</v>
      </c>
      <c r="H64" s="103">
        <v>0</v>
      </c>
      <c r="I64" s="103">
        <v>0</v>
      </c>
      <c r="J64" s="103">
        <v>0</v>
      </c>
      <c r="K64" s="103">
        <v>0</v>
      </c>
      <c r="L64" s="103">
        <v>0</v>
      </c>
      <c r="M64" s="103">
        <v>0</v>
      </c>
      <c r="N64" s="103">
        <v>0</v>
      </c>
      <c r="O64" s="142">
        <f t="shared" si="46"/>
        <v>0</v>
      </c>
      <c r="P64" s="333"/>
      <c r="Q64" s="285" t="s">
        <v>524</v>
      </c>
      <c r="R64" s="285"/>
      <c r="S64" s="281">
        <v>723.59</v>
      </c>
      <c r="T64" s="281">
        <v>139.55000000000001</v>
      </c>
      <c r="U64" s="281">
        <v>1758.52</v>
      </c>
      <c r="V64" s="281">
        <v>31.86</v>
      </c>
      <c r="W64" s="281">
        <v>25.6</v>
      </c>
    </row>
    <row r="65" spans="1:23" x14ac:dyDescent="0.3">
      <c r="A65" s="210" t="s">
        <v>246</v>
      </c>
      <c r="B65" s="210" t="s">
        <v>247</v>
      </c>
      <c r="C65" s="372">
        <v>0</v>
      </c>
      <c r="D65" s="372">
        <v>0</v>
      </c>
      <c r="E65" s="372">
        <v>0</v>
      </c>
      <c r="F65" s="372">
        <v>0</v>
      </c>
      <c r="G65" s="372">
        <v>0</v>
      </c>
      <c r="H65" s="103">
        <v>0</v>
      </c>
      <c r="I65" s="103">
        <v>0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142">
        <f t="shared" si="46"/>
        <v>0</v>
      </c>
      <c r="P65" s="333"/>
      <c r="Q65" s="285" t="s">
        <v>525</v>
      </c>
      <c r="R65" s="285"/>
      <c r="S65" s="281">
        <v>1004.99</v>
      </c>
      <c r="T65" s="281">
        <v>401.32</v>
      </c>
      <c r="U65" s="281">
        <v>1637.13</v>
      </c>
      <c r="V65" s="281">
        <v>928.34</v>
      </c>
      <c r="W65" s="281">
        <v>2494.9</v>
      </c>
    </row>
    <row r="66" spans="1:23" x14ac:dyDescent="0.3">
      <c r="A66" s="210" t="s">
        <v>248</v>
      </c>
      <c r="B66" s="210" t="s">
        <v>249</v>
      </c>
      <c r="C66" s="372">
        <v>0</v>
      </c>
      <c r="D66" s="372">
        <v>0</v>
      </c>
      <c r="E66" s="372">
        <v>0</v>
      </c>
      <c r="F66" s="372">
        <v>0</v>
      </c>
      <c r="G66" s="372">
        <v>0</v>
      </c>
      <c r="H66" s="103">
        <v>0</v>
      </c>
      <c r="I66" s="103">
        <v>0</v>
      </c>
      <c r="J66" s="103">
        <v>0</v>
      </c>
      <c r="K66" s="103">
        <v>0</v>
      </c>
      <c r="L66" s="103">
        <v>0</v>
      </c>
      <c r="M66" s="103">
        <v>0</v>
      </c>
      <c r="N66" s="103">
        <v>0</v>
      </c>
      <c r="O66" s="142">
        <f t="shared" si="46"/>
        <v>0</v>
      </c>
      <c r="P66" s="333"/>
      <c r="Q66" s="285" t="s">
        <v>526</v>
      </c>
      <c r="R66" s="285"/>
      <c r="S66" s="281">
        <v>-389.6</v>
      </c>
      <c r="T66" s="281">
        <v>365.06</v>
      </c>
      <c r="U66" s="281">
        <v>0</v>
      </c>
      <c r="V66" s="281">
        <v>586.28</v>
      </c>
      <c r="W66" s="281">
        <v>51.94</v>
      </c>
    </row>
    <row r="67" spans="1:23" x14ac:dyDescent="0.3">
      <c r="A67" s="210" t="s">
        <v>250</v>
      </c>
      <c r="B67" s="210" t="s">
        <v>251</v>
      </c>
      <c r="C67" s="490">
        <f>S84</f>
        <v>6307</v>
      </c>
      <c r="D67" s="490">
        <f t="shared" ref="D67:G67" si="51">T84</f>
        <v>1125</v>
      </c>
      <c r="E67" s="490">
        <f t="shared" si="51"/>
        <v>10619.3</v>
      </c>
      <c r="F67" s="490">
        <f t="shared" si="51"/>
        <v>5378.11</v>
      </c>
      <c r="G67" s="490">
        <f t="shared" si="51"/>
        <v>0</v>
      </c>
      <c r="H67" s="103">
        <v>0</v>
      </c>
      <c r="I67" s="103">
        <v>0</v>
      </c>
      <c r="J67" s="103">
        <v>0</v>
      </c>
      <c r="K67" s="103">
        <v>0</v>
      </c>
      <c r="L67" s="103">
        <v>0</v>
      </c>
      <c r="M67" s="103">
        <v>0</v>
      </c>
      <c r="N67" s="103">
        <v>0</v>
      </c>
      <c r="O67" s="142">
        <f t="shared" si="46"/>
        <v>23429.41</v>
      </c>
      <c r="P67" s="333"/>
      <c r="Q67" s="285" t="s">
        <v>527</v>
      </c>
      <c r="R67" s="285"/>
      <c r="S67" s="281">
        <v>717.01</v>
      </c>
      <c r="T67" s="281">
        <v>538.05999999999995</v>
      </c>
      <c r="U67" s="281">
        <v>0</v>
      </c>
      <c r="V67" s="281">
        <v>294.79000000000002</v>
      </c>
      <c r="W67" s="281">
        <v>251.62</v>
      </c>
    </row>
    <row r="68" spans="1:23" x14ac:dyDescent="0.3">
      <c r="A68" s="210" t="s">
        <v>252</v>
      </c>
      <c r="B68" s="210" t="s">
        <v>253</v>
      </c>
      <c r="C68" s="372">
        <v>0</v>
      </c>
      <c r="D68" s="372">
        <v>0</v>
      </c>
      <c r="E68" s="372">
        <v>0</v>
      </c>
      <c r="F68" s="372">
        <v>0</v>
      </c>
      <c r="G68" s="372">
        <v>0</v>
      </c>
      <c r="H68" s="103">
        <v>0</v>
      </c>
      <c r="I68" s="103">
        <v>0</v>
      </c>
      <c r="J68" s="103">
        <v>0</v>
      </c>
      <c r="K68" s="103">
        <v>0</v>
      </c>
      <c r="L68" s="103">
        <v>0</v>
      </c>
      <c r="M68" s="103">
        <v>0</v>
      </c>
      <c r="N68" s="103">
        <v>0</v>
      </c>
      <c r="O68" s="142">
        <f t="shared" si="46"/>
        <v>0</v>
      </c>
      <c r="P68" s="333"/>
      <c r="Q68" s="285" t="s">
        <v>528</v>
      </c>
      <c r="R68" s="285"/>
      <c r="S68" s="278"/>
      <c r="T68" s="278"/>
      <c r="U68" s="278"/>
      <c r="V68" s="278"/>
      <c r="W68" s="278"/>
    </row>
    <row r="69" spans="1:23" x14ac:dyDescent="0.3">
      <c r="A69" s="210" t="s">
        <v>254</v>
      </c>
      <c r="B69" s="210" t="s">
        <v>255</v>
      </c>
      <c r="C69" s="372">
        <v>0</v>
      </c>
      <c r="D69" s="372">
        <v>0</v>
      </c>
      <c r="E69" s="372">
        <v>0</v>
      </c>
      <c r="F69" s="372">
        <v>0</v>
      </c>
      <c r="G69" s="372">
        <v>0</v>
      </c>
      <c r="H69" s="103">
        <v>0</v>
      </c>
      <c r="I69" s="103">
        <v>0</v>
      </c>
      <c r="J69" s="103">
        <v>0</v>
      </c>
      <c r="K69" s="103">
        <v>0</v>
      </c>
      <c r="L69" s="103">
        <v>0</v>
      </c>
      <c r="M69" s="103">
        <v>0</v>
      </c>
      <c r="N69" s="103">
        <v>0</v>
      </c>
      <c r="O69" s="142">
        <f t="shared" si="46"/>
        <v>0</v>
      </c>
      <c r="P69" s="333"/>
      <c r="Q69" s="285"/>
      <c r="R69" s="285" t="s">
        <v>529</v>
      </c>
      <c r="S69" s="278">
        <v>-45965</v>
      </c>
      <c r="T69" s="278">
        <v>0</v>
      </c>
      <c r="U69" s="278">
        <v>0</v>
      </c>
      <c r="V69" s="278">
        <v>90.69</v>
      </c>
      <c r="W69" s="278">
        <v>-950</v>
      </c>
    </row>
    <row r="70" spans="1:23" ht="15" thickBot="1" x14ac:dyDescent="0.35">
      <c r="A70" s="210" t="s">
        <v>256</v>
      </c>
      <c r="B70" s="210" t="s">
        <v>257</v>
      </c>
      <c r="C70" s="372">
        <v>0</v>
      </c>
      <c r="D70" s="372">
        <v>0</v>
      </c>
      <c r="E70" s="372">
        <v>0</v>
      </c>
      <c r="F70" s="372">
        <v>0</v>
      </c>
      <c r="G70" s="372">
        <v>0</v>
      </c>
      <c r="H70" s="103">
        <v>0</v>
      </c>
      <c r="I70" s="103">
        <v>0</v>
      </c>
      <c r="J70" s="103">
        <v>0</v>
      </c>
      <c r="K70" s="103">
        <v>0</v>
      </c>
      <c r="L70" s="103">
        <v>0</v>
      </c>
      <c r="M70" s="103">
        <v>0</v>
      </c>
      <c r="N70" s="103">
        <v>0</v>
      </c>
      <c r="O70" s="142">
        <f t="shared" si="46"/>
        <v>0</v>
      </c>
      <c r="P70" s="333"/>
      <c r="Q70" s="285"/>
      <c r="R70" s="285" t="s">
        <v>530</v>
      </c>
      <c r="S70" s="286">
        <v>-6602.78</v>
      </c>
      <c r="T70" s="286">
        <v>16831.61</v>
      </c>
      <c r="U70" s="286">
        <v>784.08</v>
      </c>
      <c r="V70" s="286">
        <v>12831.4</v>
      </c>
      <c r="W70" s="286">
        <v>12909.1</v>
      </c>
    </row>
    <row r="71" spans="1:23" x14ac:dyDescent="0.3">
      <c r="A71" s="210" t="s">
        <v>258</v>
      </c>
      <c r="B71" s="210" t="s">
        <v>259</v>
      </c>
      <c r="C71" s="490">
        <f>S86</f>
        <v>1056.3</v>
      </c>
      <c r="D71" s="490">
        <f t="shared" ref="D71:G71" si="52">T86</f>
        <v>0</v>
      </c>
      <c r="E71" s="490">
        <f t="shared" si="52"/>
        <v>2284.87</v>
      </c>
      <c r="F71" s="490">
        <f t="shared" si="52"/>
        <v>330.43</v>
      </c>
      <c r="G71" s="490">
        <f t="shared" si="52"/>
        <v>4709.2700000000004</v>
      </c>
      <c r="H71" s="103">
        <v>0</v>
      </c>
      <c r="I71" s="103">
        <v>0</v>
      </c>
      <c r="J71" s="103">
        <v>0</v>
      </c>
      <c r="K71" s="103">
        <v>0</v>
      </c>
      <c r="L71" s="103">
        <v>0</v>
      </c>
      <c r="M71" s="103">
        <v>0</v>
      </c>
      <c r="N71" s="103">
        <v>0</v>
      </c>
      <c r="O71" s="142">
        <f t="shared" si="46"/>
        <v>8380.8700000000008</v>
      </c>
      <c r="P71" s="333"/>
      <c r="Q71" s="285" t="s">
        <v>531</v>
      </c>
      <c r="R71" s="285"/>
      <c r="S71" s="281">
        <v>-52567.78</v>
      </c>
      <c r="T71" s="281">
        <v>16831.61</v>
      </c>
      <c r="U71" s="281">
        <v>784.08</v>
      </c>
      <c r="V71" s="281">
        <v>12922.09</v>
      </c>
      <c r="W71" s="281">
        <v>11959.1</v>
      </c>
    </row>
    <row r="72" spans="1:23" x14ac:dyDescent="0.3">
      <c r="A72" s="210" t="s">
        <v>260</v>
      </c>
      <c r="B72" s="210" t="s">
        <v>261</v>
      </c>
      <c r="C72" s="490">
        <f>S90</f>
        <v>390.11</v>
      </c>
      <c r="D72" s="490">
        <f t="shared" ref="D72:G72" si="53">T90</f>
        <v>14.94</v>
      </c>
      <c r="E72" s="490">
        <f t="shared" si="53"/>
        <v>943.14</v>
      </c>
      <c r="F72" s="490">
        <f t="shared" si="53"/>
        <v>1008.98</v>
      </c>
      <c r="G72" s="490">
        <f t="shared" si="53"/>
        <v>1832.23</v>
      </c>
      <c r="H72" s="103">
        <v>0</v>
      </c>
      <c r="I72" s="103">
        <v>0</v>
      </c>
      <c r="J72" s="103">
        <v>0</v>
      </c>
      <c r="K72" s="103">
        <v>0</v>
      </c>
      <c r="L72" s="103">
        <v>0</v>
      </c>
      <c r="M72" s="103">
        <v>0</v>
      </c>
      <c r="N72" s="103">
        <v>0</v>
      </c>
      <c r="O72" s="142">
        <f t="shared" si="46"/>
        <v>4189.3999999999996</v>
      </c>
      <c r="P72" s="333"/>
      <c r="Q72" s="285" t="s">
        <v>532</v>
      </c>
      <c r="R72" s="285"/>
      <c r="S72" s="281">
        <v>54697.75</v>
      </c>
      <c r="T72" s="281">
        <v>9927.24</v>
      </c>
      <c r="U72" s="281">
        <v>50520.160000000003</v>
      </c>
      <c r="V72" s="281">
        <v>-2907</v>
      </c>
      <c r="W72" s="281">
        <v>0</v>
      </c>
    </row>
    <row r="73" spans="1:23" x14ac:dyDescent="0.3">
      <c r="A73" s="210" t="s">
        <v>262</v>
      </c>
      <c r="B73" s="210" t="s">
        <v>263</v>
      </c>
      <c r="C73" s="372">
        <v>0</v>
      </c>
      <c r="D73" s="372">
        <v>0</v>
      </c>
      <c r="E73" s="372">
        <v>0</v>
      </c>
      <c r="F73" s="372">
        <v>0</v>
      </c>
      <c r="G73" s="372">
        <v>0</v>
      </c>
      <c r="H73" s="103">
        <v>0</v>
      </c>
      <c r="I73" s="103">
        <v>0</v>
      </c>
      <c r="J73" s="103">
        <v>0</v>
      </c>
      <c r="K73" s="103">
        <v>0</v>
      </c>
      <c r="L73" s="103">
        <v>0</v>
      </c>
      <c r="M73" s="103">
        <v>0</v>
      </c>
      <c r="N73" s="103">
        <v>0</v>
      </c>
      <c r="O73" s="142">
        <f t="shared" si="46"/>
        <v>0</v>
      </c>
      <c r="P73" s="333"/>
      <c r="Q73" s="285" t="s">
        <v>533</v>
      </c>
      <c r="R73" s="285"/>
      <c r="S73" s="281">
        <v>975.5</v>
      </c>
      <c r="T73" s="281">
        <v>199</v>
      </c>
      <c r="U73" s="281">
        <v>1566.49</v>
      </c>
      <c r="V73" s="281">
        <v>0</v>
      </c>
      <c r="W73" s="281">
        <v>2588.5500000000002</v>
      </c>
    </row>
    <row r="74" spans="1:23" x14ac:dyDescent="0.3">
      <c r="A74" s="210" t="s">
        <v>264</v>
      </c>
      <c r="B74" s="210" t="s">
        <v>265</v>
      </c>
      <c r="C74" s="490">
        <f>S91</f>
        <v>115</v>
      </c>
      <c r="D74" s="490">
        <f t="shared" ref="D74:G74" si="54">T91</f>
        <v>0</v>
      </c>
      <c r="E74" s="490">
        <f t="shared" si="54"/>
        <v>0</v>
      </c>
      <c r="F74" s="490">
        <f t="shared" si="54"/>
        <v>0</v>
      </c>
      <c r="G74" s="490">
        <f t="shared" si="54"/>
        <v>0</v>
      </c>
      <c r="H74" s="103">
        <v>0</v>
      </c>
      <c r="I74" s="103">
        <v>0</v>
      </c>
      <c r="J74" s="103">
        <v>0</v>
      </c>
      <c r="K74" s="103">
        <v>0</v>
      </c>
      <c r="L74" s="103">
        <v>0</v>
      </c>
      <c r="M74" s="103">
        <v>0</v>
      </c>
      <c r="N74" s="103">
        <v>0</v>
      </c>
      <c r="O74" s="142">
        <f t="shared" si="46"/>
        <v>115</v>
      </c>
      <c r="P74" s="333"/>
      <c r="Q74" s="285" t="s">
        <v>534</v>
      </c>
      <c r="R74" s="285"/>
      <c r="S74" s="281">
        <v>196.14</v>
      </c>
      <c r="T74" s="281">
        <v>905.47</v>
      </c>
      <c r="U74" s="281">
        <v>2523.31</v>
      </c>
      <c r="V74" s="281">
        <v>1530.68</v>
      </c>
      <c r="W74" s="281">
        <v>431.72</v>
      </c>
    </row>
    <row r="75" spans="1:23" x14ac:dyDescent="0.3">
      <c r="A75" s="210" t="s">
        <v>266</v>
      </c>
      <c r="B75" s="210" t="s">
        <v>267</v>
      </c>
      <c r="C75" s="490">
        <f>S92</f>
        <v>1111.8499999999999</v>
      </c>
      <c r="D75" s="490">
        <f t="shared" ref="D75:G75" si="55">T92</f>
        <v>0</v>
      </c>
      <c r="E75" s="490">
        <f t="shared" si="55"/>
        <v>19436.86</v>
      </c>
      <c r="F75" s="490">
        <f t="shared" si="55"/>
        <v>-3814.39</v>
      </c>
      <c r="G75" s="490">
        <f t="shared" si="55"/>
        <v>5752.24</v>
      </c>
      <c r="H75" s="103">
        <v>0</v>
      </c>
      <c r="I75" s="103">
        <v>0</v>
      </c>
      <c r="J75" s="103">
        <v>0</v>
      </c>
      <c r="K75" s="103">
        <v>0</v>
      </c>
      <c r="L75" s="103">
        <v>0</v>
      </c>
      <c r="M75" s="103">
        <v>0</v>
      </c>
      <c r="N75" s="103">
        <v>0</v>
      </c>
      <c r="O75" s="142">
        <f t="shared" si="46"/>
        <v>22486.559999999998</v>
      </c>
      <c r="P75" s="333"/>
      <c r="Q75" s="285" t="s">
        <v>535</v>
      </c>
      <c r="R75" s="285"/>
      <c r="S75" s="281">
        <v>0</v>
      </c>
      <c r="T75" s="281">
        <v>0</v>
      </c>
      <c r="U75" s="281">
        <v>85</v>
      </c>
      <c r="V75" s="281">
        <v>0</v>
      </c>
      <c r="W75" s="281">
        <v>0</v>
      </c>
    </row>
    <row r="76" spans="1:23" x14ac:dyDescent="0.3">
      <c r="A76" s="210" t="s">
        <v>268</v>
      </c>
      <c r="B76" s="210" t="s">
        <v>269</v>
      </c>
      <c r="C76" s="490">
        <f>S93+S94</f>
        <v>0</v>
      </c>
      <c r="D76" s="490">
        <f t="shared" ref="D76:G76" si="56">T93+T94</f>
        <v>42</v>
      </c>
      <c r="E76" s="490">
        <f t="shared" si="56"/>
        <v>577.79000000000008</v>
      </c>
      <c r="F76" s="490">
        <f t="shared" si="56"/>
        <v>1088.2</v>
      </c>
      <c r="G76" s="490">
        <f t="shared" si="56"/>
        <v>558.96</v>
      </c>
      <c r="H76" s="103">
        <v>0</v>
      </c>
      <c r="I76" s="103">
        <v>0</v>
      </c>
      <c r="J76" s="103">
        <v>0</v>
      </c>
      <c r="K76" s="103">
        <v>0</v>
      </c>
      <c r="L76" s="103">
        <v>0</v>
      </c>
      <c r="M76" s="103">
        <v>0</v>
      </c>
      <c r="N76" s="103">
        <v>0</v>
      </c>
      <c r="O76" s="142">
        <f t="shared" si="46"/>
        <v>2266.9500000000003</v>
      </c>
      <c r="P76" s="333"/>
      <c r="Q76" s="285" t="s">
        <v>536</v>
      </c>
      <c r="R76" s="285"/>
      <c r="S76" s="281">
        <v>900</v>
      </c>
      <c r="T76" s="281">
        <v>2662.5</v>
      </c>
      <c r="U76" s="281">
        <v>3225</v>
      </c>
      <c r="V76" s="281">
        <v>3175</v>
      </c>
      <c r="W76" s="281">
        <v>2350</v>
      </c>
    </row>
    <row r="77" spans="1:23" x14ac:dyDescent="0.3">
      <c r="A77" s="210" t="s">
        <v>270</v>
      </c>
      <c r="B77" s="210" t="s">
        <v>271</v>
      </c>
      <c r="C77" s="490">
        <f>S96</f>
        <v>291.95</v>
      </c>
      <c r="D77" s="490">
        <f t="shared" ref="D77:G77" si="57">T96</f>
        <v>0</v>
      </c>
      <c r="E77" s="490">
        <f t="shared" si="57"/>
        <v>1629.79</v>
      </c>
      <c r="F77" s="490">
        <f t="shared" si="57"/>
        <v>1880.75</v>
      </c>
      <c r="G77" s="490">
        <f t="shared" si="57"/>
        <v>2410.61</v>
      </c>
      <c r="H77" s="103">
        <v>0</v>
      </c>
      <c r="I77" s="103">
        <v>0</v>
      </c>
      <c r="J77" s="103">
        <v>0</v>
      </c>
      <c r="K77" s="103">
        <v>0</v>
      </c>
      <c r="L77" s="103">
        <v>0</v>
      </c>
      <c r="M77" s="103">
        <v>0</v>
      </c>
      <c r="N77" s="103">
        <v>0</v>
      </c>
      <c r="O77" s="142">
        <f t="shared" si="46"/>
        <v>6213.1</v>
      </c>
      <c r="P77" s="333"/>
      <c r="Q77" s="285" t="s">
        <v>537</v>
      </c>
      <c r="R77" s="285"/>
      <c r="S77" s="281">
        <v>2048.48</v>
      </c>
      <c r="T77" s="281">
        <v>1735.54</v>
      </c>
      <c r="U77" s="281">
        <v>4273.92</v>
      </c>
      <c r="V77" s="281">
        <v>827.66</v>
      </c>
      <c r="W77" s="281">
        <v>1261.1199999999999</v>
      </c>
    </row>
    <row r="78" spans="1:23" x14ac:dyDescent="0.3">
      <c r="A78" s="210" t="s">
        <v>272</v>
      </c>
      <c r="B78" s="210" t="s">
        <v>273</v>
      </c>
      <c r="C78" s="490">
        <f>S95</f>
        <v>310.22000000000003</v>
      </c>
      <c r="D78" s="490">
        <f t="shared" ref="D78:G78" si="58">T95</f>
        <v>0</v>
      </c>
      <c r="E78" s="490">
        <f t="shared" si="58"/>
        <v>305.01</v>
      </c>
      <c r="F78" s="490">
        <f t="shared" si="58"/>
        <v>0</v>
      </c>
      <c r="G78" s="490">
        <f t="shared" si="58"/>
        <v>302.43</v>
      </c>
      <c r="H78" s="103">
        <v>0</v>
      </c>
      <c r="I78" s="103">
        <v>0</v>
      </c>
      <c r="J78" s="103">
        <v>0</v>
      </c>
      <c r="K78" s="103">
        <v>0</v>
      </c>
      <c r="L78" s="103">
        <v>0</v>
      </c>
      <c r="M78" s="103">
        <v>0</v>
      </c>
      <c r="N78" s="103">
        <v>0</v>
      </c>
      <c r="O78" s="142">
        <f t="shared" si="46"/>
        <v>917.66000000000008</v>
      </c>
      <c r="P78" s="333"/>
      <c r="Q78" s="285" t="s">
        <v>538</v>
      </c>
      <c r="R78" s="285"/>
      <c r="S78" s="281">
        <v>285.06</v>
      </c>
      <c r="T78" s="281">
        <v>0</v>
      </c>
      <c r="U78" s="281">
        <v>91.75</v>
      </c>
      <c r="V78" s="281">
        <v>85.97</v>
      </c>
      <c r="W78" s="281">
        <v>5388.1</v>
      </c>
    </row>
    <row r="79" spans="1:23" x14ac:dyDescent="0.3">
      <c r="A79" s="210" t="s">
        <v>274</v>
      </c>
      <c r="B79" s="210" t="s">
        <v>275</v>
      </c>
      <c r="C79" s="490">
        <v>0</v>
      </c>
      <c r="D79" s="490">
        <v>12.2</v>
      </c>
      <c r="E79" s="490">
        <v>1060.46</v>
      </c>
      <c r="F79" s="490">
        <v>1480.84</v>
      </c>
      <c r="G79" s="490">
        <v>2081.5300000000002</v>
      </c>
      <c r="H79" s="103">
        <v>0</v>
      </c>
      <c r="I79" s="103">
        <v>0</v>
      </c>
      <c r="J79" s="103">
        <v>0</v>
      </c>
      <c r="K79" s="103">
        <v>0</v>
      </c>
      <c r="L79" s="103">
        <v>0</v>
      </c>
      <c r="M79" s="103">
        <v>0</v>
      </c>
      <c r="N79" s="103">
        <v>0</v>
      </c>
      <c r="O79" s="142">
        <f t="shared" si="46"/>
        <v>4635.0300000000007</v>
      </c>
      <c r="P79" s="333"/>
      <c r="Q79" s="285" t="s">
        <v>539</v>
      </c>
      <c r="R79" s="285"/>
      <c r="S79" s="281">
        <v>14873.24</v>
      </c>
      <c r="T79" s="281">
        <v>80.88</v>
      </c>
      <c r="U79" s="281">
        <v>18.28</v>
      </c>
      <c r="V79" s="281">
        <v>4253.95</v>
      </c>
      <c r="W79" s="281">
        <v>16146.03</v>
      </c>
    </row>
    <row r="80" spans="1:23" x14ac:dyDescent="0.3">
      <c r="A80" s="210" t="s">
        <v>276</v>
      </c>
      <c r="B80" s="210" t="s">
        <v>277</v>
      </c>
      <c r="C80" s="490">
        <v>0</v>
      </c>
      <c r="D80" s="490">
        <v>0</v>
      </c>
      <c r="E80" s="490">
        <v>121.39</v>
      </c>
      <c r="F80" s="490">
        <v>0</v>
      </c>
      <c r="G80" s="490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03">
        <v>0</v>
      </c>
      <c r="N80" s="103">
        <v>0</v>
      </c>
      <c r="O80" s="142">
        <f t="shared" si="46"/>
        <v>121.39</v>
      </c>
      <c r="P80" s="333"/>
      <c r="Q80" s="285" t="s">
        <v>540</v>
      </c>
      <c r="R80" s="285"/>
      <c r="S80" s="281">
        <v>0</v>
      </c>
      <c r="T80" s="281">
        <v>0</v>
      </c>
      <c r="U80" s="281">
        <v>6319.58</v>
      </c>
      <c r="V80" s="281">
        <v>9230.76</v>
      </c>
      <c r="W80" s="281">
        <v>9230.76</v>
      </c>
    </row>
    <row r="81" spans="1:23" x14ac:dyDescent="0.3">
      <c r="A81" s="210" t="s">
        <v>278</v>
      </c>
      <c r="B81" s="210" t="s">
        <v>279</v>
      </c>
      <c r="C81" s="490">
        <f>S99</f>
        <v>206.55</v>
      </c>
      <c r="D81" s="490">
        <f t="shared" ref="D81:G81" si="59">T99</f>
        <v>83.4</v>
      </c>
      <c r="E81" s="490">
        <f t="shared" si="59"/>
        <v>208.19</v>
      </c>
      <c r="F81" s="490">
        <f t="shared" si="59"/>
        <v>774.46</v>
      </c>
      <c r="G81" s="490">
        <f t="shared" si="59"/>
        <v>575.53</v>
      </c>
      <c r="H81" s="103">
        <v>0</v>
      </c>
      <c r="I81" s="103">
        <v>0</v>
      </c>
      <c r="J81" s="103">
        <v>0</v>
      </c>
      <c r="K81" s="103">
        <v>0</v>
      </c>
      <c r="L81" s="103">
        <v>0</v>
      </c>
      <c r="M81" s="103">
        <v>0</v>
      </c>
      <c r="N81" s="103">
        <v>0</v>
      </c>
      <c r="O81" s="142">
        <f t="shared" si="46"/>
        <v>1848.13</v>
      </c>
      <c r="P81" s="333"/>
      <c r="Q81" s="285" t="s">
        <v>541</v>
      </c>
      <c r="R81" s="285"/>
      <c r="S81" s="281">
        <v>5884.62</v>
      </c>
      <c r="T81" s="281">
        <v>5590.39</v>
      </c>
      <c r="U81" s="281">
        <v>8532.7000000000007</v>
      </c>
      <c r="V81" s="281">
        <v>4413.47</v>
      </c>
      <c r="W81" s="281">
        <v>5296.16</v>
      </c>
    </row>
    <row r="82" spans="1:23" x14ac:dyDescent="0.3">
      <c r="A82" s="210" t="s">
        <v>280</v>
      </c>
      <c r="B82" s="210" t="s">
        <v>281</v>
      </c>
      <c r="C82" s="490">
        <f>S101</f>
        <v>0</v>
      </c>
      <c r="D82" s="490">
        <f t="shared" ref="D82:G82" si="60">T101</f>
        <v>0</v>
      </c>
      <c r="E82" s="490">
        <f t="shared" si="60"/>
        <v>13242.22</v>
      </c>
      <c r="F82" s="490">
        <f t="shared" si="60"/>
        <v>0</v>
      </c>
      <c r="G82" s="490">
        <f t="shared" si="60"/>
        <v>0</v>
      </c>
      <c r="H82" s="103">
        <v>0</v>
      </c>
      <c r="I82" s="103">
        <v>0</v>
      </c>
      <c r="J82" s="103">
        <v>0</v>
      </c>
      <c r="K82" s="103">
        <v>0</v>
      </c>
      <c r="L82" s="103">
        <v>0</v>
      </c>
      <c r="M82" s="103">
        <v>0</v>
      </c>
      <c r="N82" s="103">
        <v>0</v>
      </c>
      <c r="O82" s="142">
        <f t="shared" si="46"/>
        <v>13242.22</v>
      </c>
      <c r="P82" s="333"/>
      <c r="Q82" s="285" t="s">
        <v>542</v>
      </c>
      <c r="R82" s="285"/>
      <c r="S82" s="281">
        <v>25687.24</v>
      </c>
      <c r="T82" s="281">
        <v>26695.91</v>
      </c>
      <c r="U82" s="281">
        <v>66861.350000000006</v>
      </c>
      <c r="V82" s="281">
        <v>26610.13</v>
      </c>
      <c r="W82" s="281">
        <v>42875.22</v>
      </c>
    </row>
    <row r="83" spans="1:23" x14ac:dyDescent="0.3">
      <c r="A83" s="210" t="s">
        <v>282</v>
      </c>
      <c r="B83" s="210" t="s">
        <v>283</v>
      </c>
      <c r="C83" s="490">
        <f>S102</f>
        <v>0</v>
      </c>
      <c r="D83" s="490">
        <f t="shared" ref="D83:G83" si="61">T102</f>
        <v>0</v>
      </c>
      <c r="E83" s="490">
        <f t="shared" si="61"/>
        <v>191</v>
      </c>
      <c r="F83" s="490">
        <f t="shared" si="61"/>
        <v>257.25</v>
      </c>
      <c r="G83" s="490">
        <f t="shared" si="61"/>
        <v>22867.38</v>
      </c>
      <c r="H83" s="103">
        <v>0</v>
      </c>
      <c r="I83" s="103">
        <v>0</v>
      </c>
      <c r="J83" s="103">
        <v>0</v>
      </c>
      <c r="K83" s="103">
        <v>0</v>
      </c>
      <c r="L83" s="103">
        <v>0</v>
      </c>
      <c r="M83" s="103">
        <v>0</v>
      </c>
      <c r="N83" s="103">
        <v>0</v>
      </c>
      <c r="O83" s="142">
        <f t="shared" si="46"/>
        <v>23315.63</v>
      </c>
      <c r="P83" s="333"/>
      <c r="Q83" s="285" t="s">
        <v>543</v>
      </c>
      <c r="R83" s="285"/>
      <c r="S83" s="281">
        <v>6897.08</v>
      </c>
      <c r="T83" s="281">
        <v>8097.08</v>
      </c>
      <c r="U83" s="281">
        <v>7970.62</v>
      </c>
      <c r="V83" s="281">
        <v>4647.08</v>
      </c>
      <c r="W83" s="281">
        <v>4647.08</v>
      </c>
    </row>
    <row r="84" spans="1:23" x14ac:dyDescent="0.3">
      <c r="A84" s="210" t="s">
        <v>284</v>
      </c>
      <c r="B84" s="210" t="s">
        <v>285</v>
      </c>
      <c r="C84" s="490"/>
      <c r="D84" s="490"/>
      <c r="E84" s="490"/>
      <c r="F84" s="490"/>
      <c r="G84" s="490"/>
      <c r="H84" s="103">
        <v>0</v>
      </c>
      <c r="I84" s="103">
        <v>0</v>
      </c>
      <c r="J84" s="103">
        <v>0</v>
      </c>
      <c r="K84" s="103">
        <v>0</v>
      </c>
      <c r="L84" s="103">
        <v>0</v>
      </c>
      <c r="M84" s="103">
        <v>0</v>
      </c>
      <c r="N84" s="103">
        <v>0</v>
      </c>
      <c r="O84" s="142">
        <f t="shared" si="46"/>
        <v>0</v>
      </c>
      <c r="P84" s="333"/>
      <c r="Q84" s="285" t="s">
        <v>544</v>
      </c>
      <c r="R84" s="285"/>
      <c r="S84" s="281">
        <v>6307</v>
      </c>
      <c r="T84" s="281">
        <v>1125</v>
      </c>
      <c r="U84" s="281">
        <v>10619.3</v>
      </c>
      <c r="V84" s="281">
        <v>5378.11</v>
      </c>
      <c r="W84" s="281">
        <v>0</v>
      </c>
    </row>
    <row r="85" spans="1:23" x14ac:dyDescent="0.3">
      <c r="A85" s="210" t="s">
        <v>286</v>
      </c>
      <c r="B85" s="210" t="s">
        <v>287</v>
      </c>
      <c r="C85" s="490">
        <f>S103+S104</f>
        <v>715.29</v>
      </c>
      <c r="D85" s="490">
        <f t="shared" ref="D85:G85" si="62">T103+T104</f>
        <v>103.05</v>
      </c>
      <c r="E85" s="490">
        <f t="shared" si="62"/>
        <v>13265.71</v>
      </c>
      <c r="F85" s="490">
        <f t="shared" si="62"/>
        <v>356.67</v>
      </c>
      <c r="G85" s="490">
        <f t="shared" si="62"/>
        <v>1986.77</v>
      </c>
      <c r="H85" s="103">
        <v>0</v>
      </c>
      <c r="I85" s="103">
        <v>0</v>
      </c>
      <c r="J85" s="103">
        <v>0</v>
      </c>
      <c r="K85" s="103">
        <v>0</v>
      </c>
      <c r="L85" s="103">
        <v>0</v>
      </c>
      <c r="M85" s="103">
        <v>0</v>
      </c>
      <c r="N85" s="103">
        <v>0</v>
      </c>
      <c r="O85" s="142">
        <f t="shared" si="46"/>
        <v>16427.489999999998</v>
      </c>
      <c r="P85" s="333"/>
      <c r="Q85" s="285" t="s">
        <v>545</v>
      </c>
      <c r="R85" s="285"/>
      <c r="S85" s="278">
        <v>771.75</v>
      </c>
      <c r="T85" s="278">
        <v>350</v>
      </c>
      <c r="U85" s="278">
        <v>0</v>
      </c>
      <c r="V85" s="278">
        <v>11.85</v>
      </c>
      <c r="W85" s="278">
        <v>27.75</v>
      </c>
    </row>
    <row r="86" spans="1:23" x14ac:dyDescent="0.3">
      <c r="A86" s="210" t="s">
        <v>288</v>
      </c>
      <c r="B86" s="210" t="s">
        <v>289</v>
      </c>
      <c r="C86" s="490">
        <f>S105</f>
        <v>0</v>
      </c>
      <c r="D86" s="490">
        <f t="shared" ref="D86:G86" si="63">T105</f>
        <v>0</v>
      </c>
      <c r="E86" s="490">
        <f t="shared" si="63"/>
        <v>0</v>
      </c>
      <c r="F86" s="490">
        <f t="shared" si="63"/>
        <v>0</v>
      </c>
      <c r="G86" s="490">
        <f t="shared" si="63"/>
        <v>230</v>
      </c>
      <c r="H86" s="103">
        <v>0</v>
      </c>
      <c r="I86" s="103">
        <v>0</v>
      </c>
      <c r="J86" s="103">
        <v>0</v>
      </c>
      <c r="K86" s="103">
        <v>0</v>
      </c>
      <c r="L86" s="103">
        <v>0</v>
      </c>
      <c r="M86" s="103">
        <v>0</v>
      </c>
      <c r="N86" s="103">
        <v>0</v>
      </c>
      <c r="O86" s="142">
        <f t="shared" si="46"/>
        <v>230</v>
      </c>
      <c r="P86" s="333"/>
      <c r="Q86" s="285" t="s">
        <v>546</v>
      </c>
      <c r="R86" s="285"/>
      <c r="S86" s="281">
        <v>1056.3</v>
      </c>
      <c r="T86" s="281">
        <v>0</v>
      </c>
      <c r="U86" s="281">
        <v>2284.87</v>
      </c>
      <c r="V86" s="281">
        <v>330.43</v>
      </c>
      <c r="W86" s="281">
        <v>4709.2700000000004</v>
      </c>
    </row>
    <row r="87" spans="1:23" x14ac:dyDescent="0.3">
      <c r="A87" s="210" t="s">
        <v>290</v>
      </c>
      <c r="B87" s="210" t="s">
        <v>291</v>
      </c>
      <c r="C87" s="490">
        <f>S111</f>
        <v>963.91</v>
      </c>
      <c r="D87" s="490">
        <f t="shared" ref="D87:G87" si="64">T111</f>
        <v>1556.76</v>
      </c>
      <c r="E87" s="490">
        <f t="shared" si="64"/>
        <v>1391.86</v>
      </c>
      <c r="F87" s="490">
        <f t="shared" si="64"/>
        <v>1077.4000000000001</v>
      </c>
      <c r="G87" s="490">
        <f t="shared" si="64"/>
        <v>1205.01</v>
      </c>
      <c r="H87" s="103">
        <v>0</v>
      </c>
      <c r="I87" s="103">
        <v>0</v>
      </c>
      <c r="J87" s="103">
        <v>0</v>
      </c>
      <c r="K87" s="103">
        <v>0</v>
      </c>
      <c r="L87" s="103">
        <v>0</v>
      </c>
      <c r="M87" s="103">
        <v>0</v>
      </c>
      <c r="N87" s="103">
        <v>0</v>
      </c>
      <c r="O87" s="142">
        <f t="shared" si="46"/>
        <v>6194.9400000000005</v>
      </c>
      <c r="P87" s="333"/>
      <c r="Q87" s="285" t="s">
        <v>547</v>
      </c>
      <c r="R87" s="285"/>
      <c r="S87" s="278"/>
      <c r="T87" s="278"/>
      <c r="U87" s="278"/>
      <c r="V87" s="278"/>
      <c r="W87" s="278"/>
    </row>
    <row r="88" spans="1:23" x14ac:dyDescent="0.3">
      <c r="A88" s="210" t="s">
        <v>292</v>
      </c>
      <c r="B88" s="210" t="s">
        <v>293</v>
      </c>
      <c r="C88" s="490">
        <v>0</v>
      </c>
      <c r="D88" s="490">
        <v>0</v>
      </c>
      <c r="E88" s="490">
        <v>971.96</v>
      </c>
      <c r="F88" s="490">
        <v>0</v>
      </c>
      <c r="G88" s="490">
        <v>192.26</v>
      </c>
      <c r="H88" s="103">
        <v>0</v>
      </c>
      <c r="I88" s="103">
        <v>0</v>
      </c>
      <c r="J88" s="103">
        <v>0</v>
      </c>
      <c r="K88" s="103">
        <v>0</v>
      </c>
      <c r="L88" s="103">
        <v>0</v>
      </c>
      <c r="M88" s="103">
        <v>0</v>
      </c>
      <c r="N88" s="103">
        <v>0</v>
      </c>
      <c r="O88" s="142">
        <f t="shared" si="46"/>
        <v>1164.22</v>
      </c>
      <c r="P88" s="333"/>
      <c r="Q88" s="285"/>
      <c r="R88" s="285" t="s">
        <v>548</v>
      </c>
      <c r="S88" s="278">
        <v>100</v>
      </c>
      <c r="T88" s="278">
        <v>0</v>
      </c>
      <c r="U88" s="278">
        <v>200</v>
      </c>
      <c r="V88" s="278">
        <v>706.13</v>
      </c>
      <c r="W88" s="278">
        <v>918.77</v>
      </c>
    </row>
    <row r="89" spans="1:23" ht="15" thickBot="1" x14ac:dyDescent="0.35">
      <c r="A89" s="210" t="s">
        <v>294</v>
      </c>
      <c r="B89" s="210" t="s">
        <v>295</v>
      </c>
      <c r="C89" s="372">
        <v>0</v>
      </c>
      <c r="D89" s="372">
        <v>0</v>
      </c>
      <c r="E89" s="372">
        <v>0</v>
      </c>
      <c r="F89" s="372">
        <v>0</v>
      </c>
      <c r="G89" s="372">
        <v>0</v>
      </c>
      <c r="H89" s="103">
        <v>0</v>
      </c>
      <c r="I89" s="103">
        <v>0</v>
      </c>
      <c r="J89" s="103">
        <v>0</v>
      </c>
      <c r="K89" s="103">
        <v>0</v>
      </c>
      <c r="L89" s="103">
        <v>0</v>
      </c>
      <c r="M89" s="103">
        <v>0</v>
      </c>
      <c r="N89" s="103">
        <v>0</v>
      </c>
      <c r="O89" s="142">
        <f t="shared" si="46"/>
        <v>0</v>
      </c>
      <c r="P89" s="333"/>
      <c r="Q89" s="285"/>
      <c r="R89" s="285" t="s">
        <v>549</v>
      </c>
      <c r="S89" s="286">
        <v>290.11</v>
      </c>
      <c r="T89" s="286">
        <v>14.94</v>
      </c>
      <c r="U89" s="286">
        <v>743.14</v>
      </c>
      <c r="V89" s="286">
        <v>302.85000000000002</v>
      </c>
      <c r="W89" s="286">
        <v>913.46</v>
      </c>
    </row>
    <row r="90" spans="1:23" x14ac:dyDescent="0.3">
      <c r="A90" s="210" t="s">
        <v>296</v>
      </c>
      <c r="B90" s="210" t="s">
        <v>297</v>
      </c>
      <c r="C90" s="490">
        <f>S113</f>
        <v>458.66</v>
      </c>
      <c r="D90" s="490">
        <f t="shared" ref="D90:G90" si="65">T113</f>
        <v>0</v>
      </c>
      <c r="E90" s="490">
        <f t="shared" si="65"/>
        <v>0</v>
      </c>
      <c r="F90" s="490">
        <f t="shared" si="65"/>
        <v>125.75</v>
      </c>
      <c r="G90" s="490">
        <f t="shared" si="65"/>
        <v>578.08000000000004</v>
      </c>
      <c r="H90" s="103">
        <v>0</v>
      </c>
      <c r="I90" s="103">
        <v>0</v>
      </c>
      <c r="J90" s="103">
        <v>0</v>
      </c>
      <c r="K90" s="103">
        <v>0</v>
      </c>
      <c r="L90" s="103">
        <v>0</v>
      </c>
      <c r="M90" s="103">
        <v>0</v>
      </c>
      <c r="N90" s="103">
        <v>0</v>
      </c>
      <c r="O90" s="142">
        <f t="shared" si="46"/>
        <v>1162.4900000000002</v>
      </c>
      <c r="P90" s="333"/>
      <c r="Q90" s="285" t="s">
        <v>550</v>
      </c>
      <c r="R90" s="285"/>
      <c r="S90" s="281">
        <v>390.11</v>
      </c>
      <c r="T90" s="281">
        <v>14.94</v>
      </c>
      <c r="U90" s="281">
        <v>943.14</v>
      </c>
      <c r="V90" s="281">
        <v>1008.98</v>
      </c>
      <c r="W90" s="281">
        <v>1832.23</v>
      </c>
    </row>
    <row r="91" spans="1:23" x14ac:dyDescent="0.3">
      <c r="A91" s="210" t="s">
        <v>298</v>
      </c>
      <c r="B91" s="210" t="s">
        <v>299</v>
      </c>
      <c r="C91" s="490">
        <f>S114</f>
        <v>12.28</v>
      </c>
      <c r="D91" s="490">
        <f t="shared" ref="D91:G91" si="66">T114</f>
        <v>504</v>
      </c>
      <c r="E91" s="490">
        <f t="shared" si="66"/>
        <v>103.82</v>
      </c>
      <c r="F91" s="490">
        <f t="shared" si="66"/>
        <v>2405.7600000000002</v>
      </c>
      <c r="G91" s="490">
        <f t="shared" si="66"/>
        <v>0</v>
      </c>
      <c r="H91" s="103">
        <v>0</v>
      </c>
      <c r="I91" s="103">
        <v>0</v>
      </c>
      <c r="J91" s="103">
        <v>0</v>
      </c>
      <c r="K91" s="103">
        <v>0</v>
      </c>
      <c r="L91" s="103">
        <v>0</v>
      </c>
      <c r="M91" s="103">
        <v>0</v>
      </c>
      <c r="N91" s="103">
        <v>0</v>
      </c>
      <c r="O91" s="142">
        <f t="shared" si="46"/>
        <v>3025.86</v>
      </c>
      <c r="P91" s="333"/>
      <c r="Q91" s="285" t="s">
        <v>551</v>
      </c>
      <c r="R91" s="285"/>
      <c r="S91" s="281">
        <v>115</v>
      </c>
      <c r="T91" s="281">
        <v>0</v>
      </c>
      <c r="U91" s="281">
        <v>0</v>
      </c>
      <c r="V91" s="281">
        <v>0</v>
      </c>
      <c r="W91" s="281">
        <v>0</v>
      </c>
    </row>
    <row r="92" spans="1:23" x14ac:dyDescent="0.3">
      <c r="A92" s="210" t="s">
        <v>300</v>
      </c>
      <c r="B92" s="210" t="s">
        <v>301</v>
      </c>
      <c r="C92" s="490">
        <v>715.29</v>
      </c>
      <c r="D92" s="490">
        <v>103.05</v>
      </c>
      <c r="E92" s="490">
        <v>974.71</v>
      </c>
      <c r="F92" s="490">
        <v>356.67</v>
      </c>
      <c r="G92" s="490">
        <v>1923.77</v>
      </c>
      <c r="H92" s="103">
        <v>0</v>
      </c>
      <c r="I92" s="103">
        <v>0</v>
      </c>
      <c r="J92" s="103">
        <v>0</v>
      </c>
      <c r="K92" s="103">
        <v>0</v>
      </c>
      <c r="L92" s="103">
        <v>0</v>
      </c>
      <c r="M92" s="103">
        <v>0</v>
      </c>
      <c r="N92" s="103">
        <v>0</v>
      </c>
      <c r="O92" s="142">
        <f t="shared" si="46"/>
        <v>4073.49</v>
      </c>
      <c r="P92" s="333"/>
      <c r="Q92" s="285" t="s">
        <v>552</v>
      </c>
      <c r="R92" s="285"/>
      <c r="S92" s="281">
        <v>1111.8499999999999</v>
      </c>
      <c r="T92" s="281">
        <v>0</v>
      </c>
      <c r="U92" s="281">
        <v>19436.86</v>
      </c>
      <c r="V92" s="281">
        <v>-3814.39</v>
      </c>
      <c r="W92" s="281">
        <v>5752.24</v>
      </c>
    </row>
    <row r="93" spans="1:23" x14ac:dyDescent="0.3">
      <c r="A93" s="210" t="s">
        <v>302</v>
      </c>
      <c r="B93" s="210" t="s">
        <v>303</v>
      </c>
      <c r="C93" s="372">
        <f>S115+S116</f>
        <v>31.75</v>
      </c>
      <c r="D93" s="372">
        <f t="shared" ref="D93:G93" si="67">T115+T116</f>
        <v>0</v>
      </c>
      <c r="E93" s="372">
        <f t="shared" si="67"/>
        <v>1773.46</v>
      </c>
      <c r="F93" s="372">
        <f t="shared" si="67"/>
        <v>0</v>
      </c>
      <c r="G93" s="372">
        <f t="shared" si="67"/>
        <v>0</v>
      </c>
      <c r="H93" s="103">
        <v>0</v>
      </c>
      <c r="I93" s="103">
        <v>0</v>
      </c>
      <c r="J93" s="103">
        <v>0</v>
      </c>
      <c r="K93" s="103">
        <v>0</v>
      </c>
      <c r="L93" s="103">
        <v>0</v>
      </c>
      <c r="M93" s="103">
        <v>0</v>
      </c>
      <c r="N93" s="103">
        <v>0</v>
      </c>
      <c r="O93" s="142">
        <f t="shared" si="46"/>
        <v>1805.21</v>
      </c>
      <c r="P93" s="333"/>
      <c r="Q93" s="285" t="s">
        <v>553</v>
      </c>
      <c r="R93" s="285"/>
      <c r="S93" s="281">
        <v>0</v>
      </c>
      <c r="T93" s="281">
        <v>42</v>
      </c>
      <c r="U93" s="281">
        <v>512.59</v>
      </c>
      <c r="V93" s="281">
        <v>1088.2</v>
      </c>
      <c r="W93" s="281">
        <v>558.96</v>
      </c>
    </row>
    <row r="94" spans="1:23" x14ac:dyDescent="0.3">
      <c r="A94" s="210" t="s">
        <v>304</v>
      </c>
      <c r="B94" s="210" t="s">
        <v>305</v>
      </c>
      <c r="C94" s="372">
        <v>0</v>
      </c>
      <c r="D94" s="372">
        <v>0</v>
      </c>
      <c r="E94" s="372">
        <v>0</v>
      </c>
      <c r="F94" s="372">
        <v>0</v>
      </c>
      <c r="G94" s="372">
        <v>0</v>
      </c>
      <c r="H94" s="103">
        <v>0</v>
      </c>
      <c r="I94" s="103">
        <v>0</v>
      </c>
      <c r="J94" s="103">
        <v>0</v>
      </c>
      <c r="K94" s="103">
        <v>0</v>
      </c>
      <c r="L94" s="103">
        <v>0</v>
      </c>
      <c r="M94" s="103">
        <v>0</v>
      </c>
      <c r="N94" s="103">
        <v>0</v>
      </c>
      <c r="O94" s="142">
        <f t="shared" si="46"/>
        <v>0</v>
      </c>
      <c r="P94" s="333"/>
      <c r="Q94" s="285" t="s">
        <v>554</v>
      </c>
      <c r="R94" s="285"/>
      <c r="S94" s="281">
        <v>0</v>
      </c>
      <c r="T94" s="281">
        <v>0</v>
      </c>
      <c r="U94" s="281">
        <v>65.2</v>
      </c>
      <c r="V94" s="281">
        <v>0</v>
      </c>
      <c r="W94" s="281">
        <v>0</v>
      </c>
    </row>
    <row r="95" spans="1:23" x14ac:dyDescent="0.3">
      <c r="A95" s="210" t="s">
        <v>306</v>
      </c>
      <c r="B95" s="210" t="s">
        <v>307</v>
      </c>
      <c r="C95" s="372">
        <v>0</v>
      </c>
      <c r="D95" s="372">
        <v>0</v>
      </c>
      <c r="E95" s="372">
        <v>0</v>
      </c>
      <c r="F95" s="372">
        <v>0</v>
      </c>
      <c r="G95" s="372">
        <v>0</v>
      </c>
      <c r="H95" s="103">
        <v>0</v>
      </c>
      <c r="I95" s="103">
        <v>0</v>
      </c>
      <c r="J95" s="103">
        <v>0</v>
      </c>
      <c r="K95" s="103">
        <v>0</v>
      </c>
      <c r="L95" s="103">
        <v>0</v>
      </c>
      <c r="M95" s="103">
        <v>0</v>
      </c>
      <c r="N95" s="103">
        <v>0</v>
      </c>
      <c r="O95" s="142">
        <f t="shared" si="46"/>
        <v>0</v>
      </c>
      <c r="P95" s="333"/>
      <c r="Q95" s="285" t="s">
        <v>555</v>
      </c>
      <c r="R95" s="285"/>
      <c r="S95" s="281">
        <v>310.22000000000003</v>
      </c>
      <c r="T95" s="281">
        <v>0</v>
      </c>
      <c r="U95" s="281">
        <v>305.01</v>
      </c>
      <c r="V95" s="281">
        <v>0</v>
      </c>
      <c r="W95" s="281">
        <v>302.43</v>
      </c>
    </row>
    <row r="96" spans="1:23" x14ac:dyDescent="0.3">
      <c r="A96" s="210" t="s">
        <v>308</v>
      </c>
      <c r="B96" s="210" t="s">
        <v>309</v>
      </c>
      <c r="C96" s="372">
        <v>0</v>
      </c>
      <c r="D96" s="372">
        <v>0</v>
      </c>
      <c r="E96" s="372">
        <v>0</v>
      </c>
      <c r="F96" s="372">
        <v>0</v>
      </c>
      <c r="G96" s="372">
        <v>0</v>
      </c>
      <c r="H96" s="103">
        <v>0</v>
      </c>
      <c r="I96" s="103">
        <v>0</v>
      </c>
      <c r="J96" s="103">
        <v>0</v>
      </c>
      <c r="K96" s="103">
        <v>0</v>
      </c>
      <c r="L96" s="103">
        <v>0</v>
      </c>
      <c r="M96" s="103">
        <v>0</v>
      </c>
      <c r="N96" s="103">
        <v>0</v>
      </c>
      <c r="O96" s="142">
        <f t="shared" si="46"/>
        <v>0</v>
      </c>
      <c r="P96" s="333"/>
      <c r="Q96" s="285" t="s">
        <v>556</v>
      </c>
      <c r="R96" s="285"/>
      <c r="S96" s="281">
        <v>291.95</v>
      </c>
      <c r="T96" s="281">
        <v>0</v>
      </c>
      <c r="U96" s="281">
        <v>1629.79</v>
      </c>
      <c r="V96" s="281">
        <v>1880.75</v>
      </c>
      <c r="W96" s="281">
        <v>2410.61</v>
      </c>
    </row>
    <row r="97" spans="1:23" x14ac:dyDescent="0.3">
      <c r="A97" s="210" t="s">
        <v>310</v>
      </c>
      <c r="B97" s="210" t="s">
        <v>311</v>
      </c>
      <c r="C97" s="372">
        <v>0</v>
      </c>
      <c r="D97" s="372">
        <v>0</v>
      </c>
      <c r="E97" s="372">
        <v>0</v>
      </c>
      <c r="F97" s="372">
        <v>0</v>
      </c>
      <c r="G97" s="372">
        <v>0</v>
      </c>
      <c r="H97" s="103">
        <v>0</v>
      </c>
      <c r="I97" s="103">
        <v>0</v>
      </c>
      <c r="J97" s="103">
        <v>0</v>
      </c>
      <c r="K97" s="103">
        <v>0</v>
      </c>
      <c r="L97" s="103">
        <v>0</v>
      </c>
      <c r="M97" s="103">
        <v>0</v>
      </c>
      <c r="N97" s="103">
        <v>0</v>
      </c>
      <c r="O97" s="142">
        <f t="shared" si="46"/>
        <v>0</v>
      </c>
      <c r="P97" s="333"/>
      <c r="Q97" s="285" t="s">
        <v>557</v>
      </c>
      <c r="R97" s="285"/>
      <c r="S97" s="281">
        <v>0</v>
      </c>
      <c r="T97" s="281">
        <v>12.2</v>
      </c>
      <c r="U97" s="281">
        <v>1060.46</v>
      </c>
      <c r="V97" s="281">
        <v>1480.84</v>
      </c>
      <c r="W97" s="281">
        <v>2081.5300000000002</v>
      </c>
    </row>
    <row r="98" spans="1:23" x14ac:dyDescent="0.3">
      <c r="A98" s="210" t="s">
        <v>312</v>
      </c>
      <c r="B98" s="210" t="s">
        <v>313</v>
      </c>
      <c r="C98" s="372">
        <v>0</v>
      </c>
      <c r="D98" s="372">
        <v>0</v>
      </c>
      <c r="E98" s="372">
        <v>0</v>
      </c>
      <c r="F98" s="372">
        <v>0</v>
      </c>
      <c r="G98" s="372">
        <v>0</v>
      </c>
      <c r="H98" s="103">
        <v>0</v>
      </c>
      <c r="I98" s="103">
        <v>0</v>
      </c>
      <c r="J98" s="103">
        <v>0</v>
      </c>
      <c r="K98" s="103">
        <v>0</v>
      </c>
      <c r="L98" s="103">
        <v>0</v>
      </c>
      <c r="M98" s="103">
        <v>0</v>
      </c>
      <c r="N98" s="103">
        <v>0</v>
      </c>
      <c r="O98" s="142">
        <f t="shared" si="46"/>
        <v>0</v>
      </c>
      <c r="P98" s="333"/>
      <c r="Q98" s="285" t="s">
        <v>558</v>
      </c>
      <c r="R98" s="285"/>
      <c r="S98" s="281">
        <v>0</v>
      </c>
      <c r="T98" s="281">
        <v>0</v>
      </c>
      <c r="U98" s="281">
        <v>121.39</v>
      </c>
      <c r="V98" s="281">
        <v>0</v>
      </c>
      <c r="W98" s="281">
        <v>0</v>
      </c>
    </row>
    <row r="99" spans="1:23" x14ac:dyDescent="0.3">
      <c r="A99" s="210" t="s">
        <v>314</v>
      </c>
      <c r="B99" s="210" t="s">
        <v>315</v>
      </c>
      <c r="C99" s="490">
        <f>S117</f>
        <v>58027.34</v>
      </c>
      <c r="D99" s="490">
        <f t="shared" ref="D99:G99" si="68">T117</f>
        <v>52132.68</v>
      </c>
      <c r="E99" s="490">
        <f t="shared" si="68"/>
        <v>56803.8</v>
      </c>
      <c r="F99" s="490">
        <f t="shared" si="68"/>
        <v>51394.8</v>
      </c>
      <c r="G99" s="490">
        <f t="shared" si="68"/>
        <v>52631.05</v>
      </c>
      <c r="H99" s="103">
        <v>0</v>
      </c>
      <c r="I99" s="103">
        <v>0</v>
      </c>
      <c r="J99" s="103">
        <v>0</v>
      </c>
      <c r="K99" s="103">
        <v>0</v>
      </c>
      <c r="L99" s="103">
        <v>0</v>
      </c>
      <c r="M99" s="103">
        <v>0</v>
      </c>
      <c r="N99" s="103">
        <v>0</v>
      </c>
      <c r="O99" s="142">
        <f t="shared" si="46"/>
        <v>270989.67</v>
      </c>
      <c r="P99" s="333"/>
      <c r="Q99" s="285" t="s">
        <v>559</v>
      </c>
      <c r="R99" s="285"/>
      <c r="S99" s="281">
        <v>206.55</v>
      </c>
      <c r="T99" s="281">
        <v>83.4</v>
      </c>
      <c r="U99" s="281">
        <v>208.19</v>
      </c>
      <c r="V99" s="281">
        <v>774.46</v>
      </c>
      <c r="W99" s="281">
        <v>575.53</v>
      </c>
    </row>
    <row r="100" spans="1:23" x14ac:dyDescent="0.3">
      <c r="A100" s="210" t="s">
        <v>316</v>
      </c>
      <c r="B100" s="210" t="s">
        <v>317</v>
      </c>
      <c r="C100" s="490">
        <f>S118</f>
        <v>273.33999999999997</v>
      </c>
      <c r="D100" s="490">
        <f t="shared" ref="D100:G100" si="69">T118</f>
        <v>0</v>
      </c>
      <c r="E100" s="490">
        <f t="shared" si="69"/>
        <v>0</v>
      </c>
      <c r="F100" s="490">
        <f t="shared" si="69"/>
        <v>114.5</v>
      </c>
      <c r="G100" s="490">
        <f t="shared" si="69"/>
        <v>0</v>
      </c>
      <c r="H100" s="103">
        <v>0</v>
      </c>
      <c r="I100" s="103">
        <v>0</v>
      </c>
      <c r="J100" s="103">
        <v>0</v>
      </c>
      <c r="K100" s="103">
        <v>0</v>
      </c>
      <c r="L100" s="103">
        <v>0</v>
      </c>
      <c r="M100" s="103">
        <v>0</v>
      </c>
      <c r="N100" s="103">
        <v>0</v>
      </c>
      <c r="O100" s="142">
        <f t="shared" si="46"/>
        <v>387.84</v>
      </c>
      <c r="P100" s="333"/>
      <c r="Q100" s="285" t="s">
        <v>560</v>
      </c>
      <c r="R100" s="285"/>
      <c r="S100" s="278">
        <v>0</v>
      </c>
      <c r="T100" s="278">
        <v>0</v>
      </c>
      <c r="U100" s="278">
        <v>1612.45</v>
      </c>
      <c r="V100" s="278">
        <v>1719.24</v>
      </c>
      <c r="W100" s="278">
        <v>460.57</v>
      </c>
    </row>
    <row r="101" spans="1:23" x14ac:dyDescent="0.3">
      <c r="A101" s="210" t="s">
        <v>318</v>
      </c>
      <c r="B101" s="210" t="s">
        <v>319</v>
      </c>
      <c r="C101" s="372">
        <v>0</v>
      </c>
      <c r="D101" s="372">
        <v>0</v>
      </c>
      <c r="E101" s="372">
        <v>0</v>
      </c>
      <c r="F101" s="372">
        <v>0</v>
      </c>
      <c r="G101" s="372">
        <v>0</v>
      </c>
      <c r="H101" s="103">
        <v>0</v>
      </c>
      <c r="I101" s="103">
        <v>0</v>
      </c>
      <c r="J101" s="103">
        <v>0</v>
      </c>
      <c r="K101" s="103">
        <v>0</v>
      </c>
      <c r="L101" s="103">
        <v>0</v>
      </c>
      <c r="M101" s="103">
        <v>0</v>
      </c>
      <c r="N101" s="103">
        <v>0</v>
      </c>
      <c r="O101" s="142">
        <f t="shared" si="46"/>
        <v>0</v>
      </c>
      <c r="P101" s="333"/>
      <c r="Q101" s="285" t="s">
        <v>561</v>
      </c>
      <c r="R101" s="285"/>
      <c r="S101" s="281">
        <v>0</v>
      </c>
      <c r="T101" s="281">
        <v>0</v>
      </c>
      <c r="U101" s="281">
        <v>13242.22</v>
      </c>
      <c r="V101" s="281">
        <v>0</v>
      </c>
      <c r="W101" s="281">
        <v>0</v>
      </c>
    </row>
    <row r="102" spans="1:23" x14ac:dyDescent="0.3">
      <c r="A102" s="210" t="s">
        <v>320</v>
      </c>
      <c r="B102" s="210" t="s">
        <v>321</v>
      </c>
      <c r="C102" s="490">
        <v>152.25</v>
      </c>
      <c r="D102" s="490">
        <v>714.82</v>
      </c>
      <c r="E102" s="490">
        <v>1500.94</v>
      </c>
      <c r="F102" s="490">
        <v>0</v>
      </c>
      <c r="G102" s="490">
        <v>6284.19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42">
        <f t="shared" si="46"/>
        <v>8652.2000000000007</v>
      </c>
      <c r="P102" s="333"/>
      <c r="Q102" s="285" t="s">
        <v>562</v>
      </c>
      <c r="R102" s="285"/>
      <c r="S102" s="281">
        <v>0</v>
      </c>
      <c r="T102" s="281">
        <v>0</v>
      </c>
      <c r="U102" s="281">
        <v>191</v>
      </c>
      <c r="V102" s="281">
        <v>257.25</v>
      </c>
      <c r="W102" s="281">
        <v>22867.38</v>
      </c>
    </row>
    <row r="103" spans="1:23" x14ac:dyDescent="0.3">
      <c r="A103" s="210" t="s">
        <v>322</v>
      </c>
      <c r="B103" s="210" t="s">
        <v>323</v>
      </c>
      <c r="C103" s="490">
        <v>0</v>
      </c>
      <c r="D103" s="490">
        <v>0</v>
      </c>
      <c r="E103" s="490">
        <v>379.85</v>
      </c>
      <c r="F103" s="490">
        <v>0</v>
      </c>
      <c r="G103" s="490">
        <v>0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42">
        <f t="shared" si="46"/>
        <v>379.85</v>
      </c>
      <c r="P103" s="333"/>
      <c r="Q103" s="285" t="s">
        <v>563</v>
      </c>
      <c r="R103" s="285"/>
      <c r="S103" s="281">
        <v>0</v>
      </c>
      <c r="T103" s="281">
        <v>0</v>
      </c>
      <c r="U103" s="281">
        <v>12291</v>
      </c>
      <c r="V103" s="281">
        <v>0</v>
      </c>
      <c r="W103" s="281">
        <v>63</v>
      </c>
    </row>
    <row r="104" spans="1:23" x14ac:dyDescent="0.3">
      <c r="A104" s="210" t="s">
        <v>324</v>
      </c>
      <c r="B104" s="210" t="s">
        <v>325</v>
      </c>
      <c r="C104" s="491">
        <v>0</v>
      </c>
      <c r="D104" s="491">
        <v>0</v>
      </c>
      <c r="E104" s="491">
        <v>0</v>
      </c>
      <c r="F104" s="491">
        <v>0</v>
      </c>
      <c r="G104" s="491">
        <v>11.2</v>
      </c>
      <c r="H104" s="103">
        <v>0</v>
      </c>
      <c r="I104" s="103">
        <v>0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42">
        <f t="shared" si="46"/>
        <v>11.2</v>
      </c>
      <c r="P104" s="333"/>
      <c r="Q104" s="285" t="s">
        <v>564</v>
      </c>
      <c r="R104" s="285"/>
      <c r="S104" s="281">
        <v>715.29</v>
      </c>
      <c r="T104" s="281">
        <v>103.05</v>
      </c>
      <c r="U104" s="281">
        <v>974.71</v>
      </c>
      <c r="V104" s="281">
        <v>356.67</v>
      </c>
      <c r="W104" s="281">
        <v>1923.77</v>
      </c>
    </row>
    <row r="105" spans="1:23" x14ac:dyDescent="0.3">
      <c r="A105" s="296" t="s">
        <v>326</v>
      </c>
      <c r="B105" s="296" t="s">
        <v>327</v>
      </c>
      <c r="C105" s="490">
        <f>S120</f>
        <v>152.25</v>
      </c>
      <c r="D105" s="490">
        <f t="shared" ref="D105:G105" si="70">T120</f>
        <v>714.82</v>
      </c>
      <c r="E105" s="490">
        <f t="shared" si="70"/>
        <v>1121.0899999999999</v>
      </c>
      <c r="F105" s="490">
        <f t="shared" si="70"/>
        <v>0</v>
      </c>
      <c r="G105" s="490">
        <f t="shared" si="70"/>
        <v>6272.99</v>
      </c>
      <c r="H105" s="103">
        <v>0</v>
      </c>
      <c r="I105" s="103">
        <v>0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42">
        <f t="shared" si="46"/>
        <v>8261.15</v>
      </c>
      <c r="P105" s="333"/>
      <c r="Q105" s="285" t="s">
        <v>565</v>
      </c>
      <c r="R105" s="285"/>
      <c r="S105" s="281">
        <v>0</v>
      </c>
      <c r="T105" s="281">
        <v>0</v>
      </c>
      <c r="U105" s="281">
        <v>0</v>
      </c>
      <c r="V105" s="281">
        <v>0</v>
      </c>
      <c r="W105" s="281">
        <v>230</v>
      </c>
    </row>
    <row r="106" spans="1:23" x14ac:dyDescent="0.3">
      <c r="A106" s="296"/>
      <c r="B106" s="300" t="s">
        <v>382</v>
      </c>
      <c r="C106" s="491">
        <f>S124</f>
        <v>14929.75</v>
      </c>
      <c r="D106" s="491">
        <f t="shared" ref="D106:G106" si="71">T124</f>
        <v>9814.1</v>
      </c>
      <c r="E106" s="491">
        <f t="shared" si="71"/>
        <v>9749.73</v>
      </c>
      <c r="F106" s="491">
        <f t="shared" si="71"/>
        <v>17796.43</v>
      </c>
      <c r="G106" s="491">
        <f t="shared" si="71"/>
        <v>8542.0499999999993</v>
      </c>
      <c r="H106" s="470"/>
      <c r="I106" s="470"/>
      <c r="J106" s="470"/>
      <c r="K106" s="470"/>
      <c r="L106" s="470"/>
      <c r="M106" s="470"/>
      <c r="N106" s="470"/>
      <c r="O106" s="142"/>
      <c r="P106" s="333"/>
      <c r="Q106" s="285"/>
      <c r="R106" s="285"/>
      <c r="S106" s="281"/>
      <c r="T106" s="281"/>
      <c r="U106" s="281"/>
      <c r="V106" s="281"/>
      <c r="W106" s="281"/>
    </row>
    <row r="107" spans="1:23" x14ac:dyDescent="0.3">
      <c r="A107" s="293"/>
      <c r="B107" s="297" t="s">
        <v>328</v>
      </c>
      <c r="C107" s="303">
        <f>SUM(C55:C106)</f>
        <v>124690.03</v>
      </c>
      <c r="D107" s="303">
        <f t="shared" ref="D107:G107" si="72">SUM(D55:D106)</f>
        <v>107304.20000000003</v>
      </c>
      <c r="E107" s="303">
        <f t="shared" si="72"/>
        <v>228909.96219999998</v>
      </c>
      <c r="F107" s="303">
        <f t="shared" si="72"/>
        <v>127744.81839999999</v>
      </c>
      <c r="G107" s="303">
        <f t="shared" si="72"/>
        <v>183827.53840000002</v>
      </c>
      <c r="H107" s="110">
        <f>SUM(H54:H105)</f>
        <v>0</v>
      </c>
      <c r="I107" s="110">
        <f t="shared" ref="I107:N107" si="73">SUM(I54:I105)</f>
        <v>0</v>
      </c>
      <c r="J107" s="110">
        <f>SUM(J54:J105)</f>
        <v>0</v>
      </c>
      <c r="K107" s="110">
        <f t="shared" si="73"/>
        <v>0</v>
      </c>
      <c r="L107" s="110">
        <f t="shared" si="73"/>
        <v>0</v>
      </c>
      <c r="M107" s="110">
        <f t="shared" si="73"/>
        <v>0</v>
      </c>
      <c r="N107" s="110">
        <f t="shared" si="73"/>
        <v>0</v>
      </c>
      <c r="O107" s="118">
        <f t="shared" si="46"/>
        <v>772476.54900000012</v>
      </c>
      <c r="P107" s="333"/>
      <c r="Q107" s="285" t="s">
        <v>566</v>
      </c>
      <c r="R107" s="285"/>
      <c r="S107" s="278"/>
      <c r="T107" s="278"/>
      <c r="U107" s="278"/>
      <c r="V107" s="278"/>
      <c r="W107" s="278"/>
    </row>
    <row r="108" spans="1:23" x14ac:dyDescent="0.3">
      <c r="A108" s="295"/>
      <c r="B108" s="295"/>
      <c r="C108" s="304"/>
      <c r="D108" s="304"/>
      <c r="E108" s="304"/>
      <c r="F108" s="304"/>
      <c r="G108" s="304"/>
      <c r="H108" s="111"/>
      <c r="I108" s="122"/>
      <c r="J108" s="122"/>
      <c r="K108" s="111"/>
      <c r="L108" s="111"/>
      <c r="M108" s="111"/>
      <c r="N108" s="111"/>
      <c r="O108" s="145"/>
      <c r="P108" s="333"/>
      <c r="Q108" s="285"/>
      <c r="R108" s="285" t="s">
        <v>567</v>
      </c>
      <c r="S108" s="278">
        <v>0</v>
      </c>
      <c r="T108" s="278">
        <v>0</v>
      </c>
      <c r="U108" s="278">
        <v>40.049999999999997</v>
      </c>
      <c r="V108" s="278">
        <v>0</v>
      </c>
      <c r="W108" s="278">
        <v>0</v>
      </c>
    </row>
    <row r="109" spans="1:23" s="165" customFormat="1" ht="15" thickBot="1" x14ac:dyDescent="0.35">
      <c r="A109" s="306" t="s">
        <v>0</v>
      </c>
      <c r="B109" s="306" t="s">
        <v>329</v>
      </c>
      <c r="C109" s="306">
        <f>C25-(C107+C54)</f>
        <v>311724.22000000009</v>
      </c>
      <c r="D109" s="306">
        <f>D25-(D107+D54)</f>
        <v>-322490.70000000007</v>
      </c>
      <c r="E109" s="306">
        <f>E25-(E107+E54)</f>
        <v>-335969.34220000001</v>
      </c>
      <c r="F109" s="306">
        <f>F25-(F107+F54)</f>
        <v>-136087.80840000001</v>
      </c>
      <c r="G109" s="306">
        <f>G25-(G107+G54)</f>
        <v>-248862.30840000004</v>
      </c>
      <c r="H109" s="162">
        <f t="shared" ref="H109:O109" si="74">H25-H107</f>
        <v>0</v>
      </c>
      <c r="I109" s="162">
        <f t="shared" si="74"/>
        <v>0</v>
      </c>
      <c r="J109" s="162">
        <f t="shared" si="74"/>
        <v>0</v>
      </c>
      <c r="K109" s="162">
        <f t="shared" si="74"/>
        <v>0</v>
      </c>
      <c r="L109" s="162">
        <f t="shared" si="74"/>
        <v>0</v>
      </c>
      <c r="M109" s="162">
        <f t="shared" si="74"/>
        <v>0</v>
      </c>
      <c r="N109" s="162">
        <f t="shared" si="74"/>
        <v>0</v>
      </c>
      <c r="O109" s="163">
        <f t="shared" si="74"/>
        <v>408869.26099999994</v>
      </c>
      <c r="P109" s="335"/>
      <c r="Q109" s="285"/>
      <c r="R109" s="285" t="s">
        <v>568</v>
      </c>
      <c r="S109" s="278">
        <v>61.7</v>
      </c>
      <c r="T109" s="278">
        <v>30</v>
      </c>
      <c r="U109" s="278">
        <v>36.630000000000003</v>
      </c>
      <c r="V109" s="278">
        <v>68.040000000000006</v>
      </c>
      <c r="W109" s="278">
        <v>81.599999999999994</v>
      </c>
    </row>
    <row r="110" spans="1:23" ht="15.6" thickTop="1" thickBot="1" x14ac:dyDescent="0.35">
      <c r="A110" s="211"/>
      <c r="B110" s="211"/>
      <c r="C110" s="307"/>
      <c r="D110" s="307"/>
      <c r="E110" s="307"/>
      <c r="F110" s="307"/>
      <c r="G110" s="307"/>
      <c r="H110" s="116"/>
      <c r="K110" s="116"/>
      <c r="L110" s="116"/>
      <c r="M110" s="116"/>
      <c r="N110" s="116"/>
      <c r="Q110" s="285"/>
      <c r="R110" s="285" t="s">
        <v>569</v>
      </c>
      <c r="S110" s="286">
        <v>902.21</v>
      </c>
      <c r="T110" s="286">
        <v>1526.76</v>
      </c>
      <c r="U110" s="286">
        <v>1315.18</v>
      </c>
      <c r="V110" s="286">
        <v>1009.36</v>
      </c>
      <c r="W110" s="286">
        <v>1123.4100000000001</v>
      </c>
    </row>
    <row r="111" spans="1:23" s="166" customFormat="1" ht="15" thickBot="1" x14ac:dyDescent="0.35">
      <c r="A111" s="167"/>
      <c r="B111" s="167" t="s">
        <v>330</v>
      </c>
      <c r="C111" s="308">
        <v>128</v>
      </c>
      <c r="D111" s="308">
        <v>123</v>
      </c>
      <c r="E111" s="308">
        <v>120</v>
      </c>
      <c r="F111" s="308">
        <v>125</v>
      </c>
      <c r="G111" s="308">
        <v>113</v>
      </c>
      <c r="H111" s="168">
        <v>135</v>
      </c>
      <c r="I111" s="168">
        <v>0</v>
      </c>
      <c r="J111" s="168">
        <v>0</v>
      </c>
      <c r="K111" s="168">
        <v>0</v>
      </c>
      <c r="L111" s="168">
        <v>0</v>
      </c>
      <c r="M111" s="168">
        <v>0</v>
      </c>
      <c r="N111" s="168">
        <v>0</v>
      </c>
      <c r="O111" s="192">
        <f>(I111+J111)</f>
        <v>0</v>
      </c>
      <c r="P111" s="336"/>
      <c r="Q111" s="285" t="s">
        <v>570</v>
      </c>
      <c r="R111" s="285"/>
      <c r="S111" s="281">
        <v>963.91</v>
      </c>
      <c r="T111" s="281">
        <v>1556.76</v>
      </c>
      <c r="U111" s="281">
        <v>1391.86</v>
      </c>
      <c r="V111" s="281">
        <v>1077.4000000000001</v>
      </c>
      <c r="W111" s="281">
        <v>1205.01</v>
      </c>
    </row>
    <row r="112" spans="1:23" x14ac:dyDescent="0.3">
      <c r="A112" s="211"/>
      <c r="B112" s="300"/>
      <c r="C112" s="300"/>
      <c r="D112" s="300"/>
      <c r="E112" s="300"/>
      <c r="F112" s="300"/>
      <c r="G112" s="300"/>
      <c r="H112" s="101">
        <f>SUM(C111:G111)/5</f>
        <v>121.8</v>
      </c>
      <c r="O112" s="112" t="s">
        <v>0</v>
      </c>
      <c r="Q112" s="285" t="s">
        <v>571</v>
      </c>
      <c r="R112" s="285"/>
      <c r="S112" s="281">
        <v>0</v>
      </c>
      <c r="T112" s="281">
        <v>0</v>
      </c>
      <c r="U112" s="281">
        <v>971.96</v>
      </c>
      <c r="V112" s="281">
        <v>0</v>
      </c>
      <c r="W112" s="281">
        <v>192.26</v>
      </c>
    </row>
    <row r="113" spans="1:23" x14ac:dyDescent="0.3">
      <c r="C113" s="485">
        <f>C107+C54</f>
        <v>344418.33999999997</v>
      </c>
      <c r="D113" s="485">
        <f t="shared" ref="D113:G113" si="75">D107+D54</f>
        <v>296626.61000000004</v>
      </c>
      <c r="E113" s="485">
        <f t="shared" si="75"/>
        <v>480874.3922</v>
      </c>
      <c r="F113" s="485">
        <f t="shared" si="75"/>
        <v>303169.89840000001</v>
      </c>
      <c r="G113" s="485">
        <f t="shared" si="75"/>
        <v>486097.80840000004</v>
      </c>
      <c r="I113" s="123" t="s">
        <v>0</v>
      </c>
      <c r="J113" s="123" t="s">
        <v>0</v>
      </c>
      <c r="Q113" s="285" t="s">
        <v>572</v>
      </c>
      <c r="R113" s="285"/>
      <c r="S113" s="281">
        <v>458.66</v>
      </c>
      <c r="T113" s="281">
        <v>0</v>
      </c>
      <c r="U113" s="281">
        <v>0</v>
      </c>
      <c r="V113" s="281">
        <v>125.75</v>
      </c>
      <c r="W113" s="281">
        <v>578.08000000000004</v>
      </c>
    </row>
    <row r="114" spans="1:23" x14ac:dyDescent="0.3">
      <c r="A114" s="195" t="s">
        <v>332</v>
      </c>
      <c r="C114" s="320"/>
      <c r="Q114" s="285" t="s">
        <v>573</v>
      </c>
      <c r="R114" s="285"/>
      <c r="S114" s="281">
        <v>12.28</v>
      </c>
      <c r="T114" s="281">
        <v>504</v>
      </c>
      <c r="U114" s="281">
        <v>103.82</v>
      </c>
      <c r="V114" s="281">
        <v>2405.7600000000002</v>
      </c>
      <c r="W114" s="281">
        <v>0</v>
      </c>
    </row>
    <row r="115" spans="1:23" x14ac:dyDescent="0.3">
      <c r="A115" s="196" t="s">
        <v>50</v>
      </c>
      <c r="C115" s="485">
        <f>C113-C25</f>
        <v>-311724.22000000009</v>
      </c>
      <c r="D115" s="485">
        <f>D113-D25</f>
        <v>322490.70000000007</v>
      </c>
      <c r="E115" s="485">
        <f>E113-E25</f>
        <v>335969.34220000001</v>
      </c>
      <c r="F115" s="485">
        <f>F113-F25</f>
        <v>136087.80840000001</v>
      </c>
      <c r="G115" s="485">
        <f>G113-G25</f>
        <v>248862.30840000004</v>
      </c>
      <c r="Q115" s="285" t="s">
        <v>574</v>
      </c>
      <c r="R115" s="285"/>
      <c r="S115" s="281">
        <v>31.75</v>
      </c>
      <c r="T115" s="281">
        <v>0</v>
      </c>
      <c r="U115" s="281">
        <v>0</v>
      </c>
      <c r="V115" s="281">
        <v>0</v>
      </c>
      <c r="W115" s="281">
        <v>0</v>
      </c>
    </row>
    <row r="116" spans="1:23" x14ac:dyDescent="0.3">
      <c r="A116" s="196" t="s">
        <v>333</v>
      </c>
      <c r="B116" s="197" t="s">
        <v>333</v>
      </c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  <c r="M116" s="198"/>
      <c r="N116" s="198"/>
      <c r="O116" s="198"/>
      <c r="P116" s="198"/>
      <c r="Q116" s="285" t="s">
        <v>575</v>
      </c>
      <c r="R116" s="285"/>
      <c r="S116" s="281">
        <v>0</v>
      </c>
      <c r="T116" s="281">
        <v>0</v>
      </c>
      <c r="U116" s="315">
        <v>1773.46</v>
      </c>
      <c r="V116" s="281">
        <v>0</v>
      </c>
      <c r="W116" s="281">
        <v>0</v>
      </c>
    </row>
    <row r="117" spans="1:23" x14ac:dyDescent="0.3">
      <c r="A117" s="196" t="s">
        <v>335</v>
      </c>
      <c r="B117" s="197" t="s">
        <v>335</v>
      </c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285" t="s">
        <v>576</v>
      </c>
      <c r="R117" s="285"/>
      <c r="S117" s="281">
        <v>58027.34</v>
      </c>
      <c r="T117" s="281">
        <v>52132.68</v>
      </c>
      <c r="U117" s="281">
        <v>56803.8</v>
      </c>
      <c r="V117" s="281">
        <v>51394.8</v>
      </c>
      <c r="W117" s="281">
        <v>52631.05</v>
      </c>
    </row>
    <row r="118" spans="1:23" x14ac:dyDescent="0.3">
      <c r="A118" s="196" t="s">
        <v>337</v>
      </c>
      <c r="B118" s="197" t="s">
        <v>337</v>
      </c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285" t="s">
        <v>577</v>
      </c>
      <c r="R118" s="285"/>
      <c r="S118" s="281">
        <v>273.33999999999997</v>
      </c>
      <c r="T118" s="281">
        <v>0</v>
      </c>
      <c r="U118" s="281">
        <v>0</v>
      </c>
      <c r="V118" s="281">
        <v>114.5</v>
      </c>
      <c r="W118" s="281">
        <v>0</v>
      </c>
    </row>
    <row r="119" spans="1:23" x14ac:dyDescent="0.3">
      <c r="I119" s="200"/>
      <c r="J119" s="200"/>
      <c r="O119" s="200"/>
      <c r="P119" s="200"/>
      <c r="Q119" s="285" t="s">
        <v>578</v>
      </c>
      <c r="R119" s="285"/>
      <c r="S119" s="278"/>
      <c r="T119" s="278"/>
      <c r="U119" s="278"/>
      <c r="V119" s="278"/>
      <c r="W119" s="278"/>
    </row>
    <row r="120" spans="1:23" x14ac:dyDescent="0.3">
      <c r="Q120" s="285"/>
      <c r="R120" s="285" t="s">
        <v>579</v>
      </c>
      <c r="S120" s="281">
        <v>152.25</v>
      </c>
      <c r="T120" s="281">
        <v>714.82</v>
      </c>
      <c r="U120" s="281">
        <v>1121.0899999999999</v>
      </c>
      <c r="V120" s="281">
        <v>0</v>
      </c>
      <c r="W120" s="281">
        <v>6272.99</v>
      </c>
    </row>
    <row r="121" spans="1:23" x14ac:dyDescent="0.3">
      <c r="Q121" s="285"/>
      <c r="R121" s="285" t="s">
        <v>580</v>
      </c>
      <c r="S121" s="278">
        <v>0</v>
      </c>
      <c r="T121" s="278">
        <v>0</v>
      </c>
      <c r="U121" s="278">
        <v>379.85</v>
      </c>
      <c r="V121" s="278">
        <v>0</v>
      </c>
      <c r="W121" s="278">
        <v>0</v>
      </c>
    </row>
    <row r="122" spans="1:23" ht="15" thickBot="1" x14ac:dyDescent="0.35">
      <c r="Q122" s="285"/>
      <c r="R122" s="285" t="s">
        <v>581</v>
      </c>
      <c r="S122" s="286">
        <v>0</v>
      </c>
      <c r="T122" s="286">
        <v>0</v>
      </c>
      <c r="U122" s="286">
        <v>0</v>
      </c>
      <c r="V122" s="286">
        <v>0</v>
      </c>
      <c r="W122" s="286">
        <v>11.2</v>
      </c>
    </row>
    <row r="123" spans="1:23" x14ac:dyDescent="0.3">
      <c r="Q123" s="285" t="s">
        <v>582</v>
      </c>
      <c r="R123" s="285"/>
      <c r="S123" s="281">
        <v>152.25</v>
      </c>
      <c r="T123" s="281">
        <v>714.82</v>
      </c>
      <c r="U123" s="281">
        <v>1500.94</v>
      </c>
      <c r="V123" s="281">
        <v>0</v>
      </c>
      <c r="W123" s="281">
        <v>6284.19</v>
      </c>
    </row>
    <row r="124" spans="1:23" ht="15" thickBot="1" x14ac:dyDescent="0.35">
      <c r="Q124" s="285" t="s">
        <v>583</v>
      </c>
      <c r="R124" s="285"/>
      <c r="S124" s="291">
        <v>14929.75</v>
      </c>
      <c r="T124" s="291">
        <v>9814.1</v>
      </c>
      <c r="U124" s="291">
        <v>9749.73</v>
      </c>
      <c r="V124" s="291">
        <v>17796.43</v>
      </c>
      <c r="W124" s="291">
        <v>8542.0499999999993</v>
      </c>
    </row>
    <row r="125" spans="1:23" ht="15" thickBot="1" x14ac:dyDescent="0.35">
      <c r="Q125" s="285"/>
      <c r="R125" s="285"/>
      <c r="S125" s="487">
        <v>344518.69</v>
      </c>
      <c r="T125" s="487">
        <v>297064.21000000002</v>
      </c>
      <c r="U125" s="487">
        <v>479965.74</v>
      </c>
      <c r="V125" s="487">
        <v>252244.23</v>
      </c>
      <c r="W125" s="487">
        <v>330483.23</v>
      </c>
    </row>
    <row r="126" spans="1:23" x14ac:dyDescent="0.3">
      <c r="Q126" s="285"/>
      <c r="R126" s="285"/>
      <c r="S126" s="482">
        <v>325623.87</v>
      </c>
      <c r="T126" s="482">
        <v>-328928.3</v>
      </c>
      <c r="U126" s="482">
        <v>-353060.69</v>
      </c>
      <c r="V126" s="482">
        <v>-86162.14</v>
      </c>
      <c r="W126" s="482">
        <v>-120247.73</v>
      </c>
    </row>
    <row r="127" spans="1:23" x14ac:dyDescent="0.3">
      <c r="Q127" s="285"/>
      <c r="R127" s="285"/>
      <c r="S127" s="278"/>
      <c r="T127" s="278"/>
      <c r="U127" s="278"/>
      <c r="V127" s="278"/>
      <c r="W127" s="278"/>
    </row>
    <row r="128" spans="1:23" x14ac:dyDescent="0.3">
      <c r="Q128" s="285"/>
      <c r="R128" s="285"/>
      <c r="S128" s="278"/>
      <c r="T128" s="278"/>
      <c r="U128" s="278"/>
      <c r="V128" s="278"/>
      <c r="W128" s="278"/>
    </row>
    <row r="129" spans="17:23" x14ac:dyDescent="0.3">
      <c r="Q129" s="285"/>
      <c r="R129" s="285"/>
      <c r="S129" s="278"/>
      <c r="T129" s="278"/>
      <c r="U129" s="278"/>
      <c r="V129" s="278"/>
      <c r="W129" s="278"/>
    </row>
    <row r="130" spans="17:23" x14ac:dyDescent="0.3">
      <c r="Q130" s="285" t="s">
        <v>584</v>
      </c>
      <c r="R130" s="285"/>
      <c r="S130" s="311">
        <v>1860</v>
      </c>
      <c r="T130" s="278">
        <v>0</v>
      </c>
      <c r="U130" s="278">
        <v>0</v>
      </c>
      <c r="V130" s="278">
        <v>0</v>
      </c>
      <c r="W130" s="278">
        <v>0</v>
      </c>
    </row>
    <row r="131" spans="17:23" ht="15" thickBot="1" x14ac:dyDescent="0.35">
      <c r="Q131" s="285" t="s">
        <v>585</v>
      </c>
      <c r="R131" s="285"/>
      <c r="S131" s="280">
        <v>0</v>
      </c>
      <c r="T131" s="280">
        <v>0</v>
      </c>
      <c r="U131" s="280">
        <v>0</v>
      </c>
      <c r="V131" s="280">
        <v>0</v>
      </c>
      <c r="W131" s="280">
        <v>1100</v>
      </c>
    </row>
    <row r="132" spans="17:23" ht="15" thickBot="1" x14ac:dyDescent="0.35">
      <c r="Q132" s="285"/>
      <c r="R132" s="285"/>
      <c r="S132" s="288">
        <v>1860</v>
      </c>
      <c r="T132" s="288">
        <v>0</v>
      </c>
      <c r="U132" s="288">
        <v>0</v>
      </c>
      <c r="V132" s="288">
        <v>0</v>
      </c>
      <c r="W132" s="288">
        <v>1100</v>
      </c>
    </row>
    <row r="133" spans="17:23" ht="15" thickBot="1" x14ac:dyDescent="0.35">
      <c r="Q133" s="285"/>
      <c r="R133" s="285"/>
      <c r="S133" s="288">
        <v>1860</v>
      </c>
      <c r="T133" s="288">
        <v>0</v>
      </c>
      <c r="U133" s="288">
        <v>0</v>
      </c>
      <c r="V133" s="288">
        <v>0</v>
      </c>
      <c r="W133" s="288">
        <v>1100</v>
      </c>
    </row>
    <row r="134" spans="17:23" ht="15" thickBot="1" x14ac:dyDescent="0.35">
      <c r="Q134" s="285"/>
      <c r="R134" s="285"/>
      <c r="S134" s="288">
        <v>1860</v>
      </c>
      <c r="T134" s="288">
        <v>0</v>
      </c>
      <c r="U134" s="288">
        <v>0</v>
      </c>
      <c r="V134" s="288">
        <v>0</v>
      </c>
      <c r="W134" s="288">
        <v>1100</v>
      </c>
    </row>
    <row r="135" spans="17:23" ht="15" thickBot="1" x14ac:dyDescent="0.35">
      <c r="Q135" s="285"/>
      <c r="R135" s="285"/>
      <c r="S135" s="289">
        <v>327483.87</v>
      </c>
      <c r="T135" s="289">
        <v>-328928.3</v>
      </c>
      <c r="U135" s="289">
        <v>-353060.69</v>
      </c>
      <c r="V135" s="289">
        <v>-86162.14</v>
      </c>
      <c r="W135" s="289">
        <v>-119147.73</v>
      </c>
    </row>
    <row r="136" spans="17:23" ht="15" thickTop="1" x14ac:dyDescent="0.3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Total</vt:lpstr>
      <vt:lpstr>Van Adult</vt:lpstr>
      <vt:lpstr>Tor Adult</vt:lpstr>
      <vt:lpstr>Van Testing </vt:lpstr>
      <vt:lpstr>Tor Testing</vt:lpstr>
      <vt:lpstr>MD-Sales</vt:lpstr>
      <vt:lpstr>Eddy</vt:lpstr>
      <vt:lpstr>Kyoko</vt:lpstr>
      <vt:lpstr>Actuals Van YTD May</vt:lpstr>
      <vt:lpstr>Actuals TOR YTD May</vt:lpstr>
      <vt:lpstr>SYC MnthlyPnL</vt:lpstr>
      <vt:lpstr>SYC Camp Revenue </vt:lpstr>
      <vt:lpstr>SYCamp# &amp; Expenses</vt:lpstr>
      <vt:lpstr>'Van Adult'!TblNm</vt:lpstr>
    </vt:vector>
  </TitlesOfParts>
  <Manager/>
  <Company>Barclays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Rodney : Barclaycard US</dc:creator>
  <cp:keywords/>
  <dc:description/>
  <cp:lastModifiedBy>John Becker</cp:lastModifiedBy>
  <cp:revision/>
  <dcterms:created xsi:type="dcterms:W3CDTF">2019-04-08T20:12:22Z</dcterms:created>
  <dcterms:modified xsi:type="dcterms:W3CDTF">2019-06-21T15:28:44Z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754cbb2-29ed-4ffe-af90-a08465e0dd2c_Enabled">
    <vt:lpwstr>True</vt:lpwstr>
  </property>
  <property fmtid="{D5CDD505-2E9C-101B-9397-08002B2CF9AE}" pid="3" name="MSIP_Label_c754cbb2-29ed-4ffe-af90-a08465e0dd2c_SiteId">
    <vt:lpwstr>c4b62f1d-01e0-4107-a0cc-5ac886858b23</vt:lpwstr>
  </property>
  <property fmtid="{D5CDD505-2E9C-101B-9397-08002B2CF9AE}" pid="4" name="MSIP_Label_c754cbb2-29ed-4ffe-af90-a08465e0dd2c_Owner">
    <vt:lpwstr>RLynch@barclaycardus.com</vt:lpwstr>
  </property>
  <property fmtid="{D5CDD505-2E9C-101B-9397-08002B2CF9AE}" pid="5" name="MSIP_Label_c754cbb2-29ed-4ffe-af90-a08465e0dd2c_SetDate">
    <vt:lpwstr>2019-04-08T20:57:10.8744691Z</vt:lpwstr>
  </property>
  <property fmtid="{D5CDD505-2E9C-101B-9397-08002B2CF9AE}" pid="6" name="MSIP_Label_c754cbb2-29ed-4ffe-af90-a08465e0dd2c_Name">
    <vt:lpwstr>Unrestricted</vt:lpwstr>
  </property>
  <property fmtid="{D5CDD505-2E9C-101B-9397-08002B2CF9AE}" pid="7" name="MSIP_Label_c754cbb2-29ed-4ffe-af90-a08465e0dd2c_Application">
    <vt:lpwstr>Microsoft Azure Information Protection</vt:lpwstr>
  </property>
  <property fmtid="{D5CDD505-2E9C-101B-9397-08002B2CF9AE}" pid="8" name="MSIP_Label_c754cbb2-29ed-4ffe-af90-a08465e0dd2c_Extended_MSFT_Method">
    <vt:lpwstr>Manual</vt:lpwstr>
  </property>
  <property fmtid="{D5CDD505-2E9C-101B-9397-08002B2CF9AE}" pid="9" name="barclaysdc">
    <vt:lpwstr>Unrestricted</vt:lpwstr>
  </property>
  <property fmtid="{D5CDD505-2E9C-101B-9397-08002B2CF9AE}" pid="10" name="_NewReviewCycle">
    <vt:lpwstr/>
  </property>
  <property fmtid="{D5CDD505-2E9C-101B-9397-08002B2CF9AE}" pid="11" name="SV_QUERY_LIST_4F35BF76-6C0D-4D9B-82B2-816C12CF3733">
    <vt:lpwstr>empty_477D106A-C0D6-4607-AEBD-E2C9D60EA279</vt:lpwstr>
  </property>
</Properties>
</file>