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50" windowWidth="14355" windowHeight="4680" activeTab="5"/>
  </bookViews>
  <sheets>
    <sheet name="Telekom TV" sheetId="8" r:id="rId1"/>
    <sheet name="Consum apa" sheetId="2" r:id="rId2"/>
    <sheet name="Consum curent" sheetId="6" r:id="rId3"/>
    <sheet name="Drumuri" sheetId="9" r:id="rId4"/>
    <sheet name="Intretinere" sheetId="11" r:id="rId5"/>
    <sheet name="Total cheltuieli" sheetId="3" r:id="rId6"/>
  </sheets>
  <calcPr calcId="124519"/>
</workbook>
</file>

<file path=xl/calcChain.xml><?xml version="1.0" encoding="utf-8"?>
<calcChain xmlns="http://schemas.openxmlformats.org/spreadsheetml/2006/main">
  <c r="T12" i="3"/>
  <c r="G3" i="8"/>
  <c r="F2"/>
  <c r="E3" s="1"/>
  <c r="C28" i="3"/>
  <c r="C27"/>
  <c r="C26"/>
  <c r="C25"/>
  <c r="C24"/>
  <c r="C23"/>
  <c r="C22"/>
  <c r="C21"/>
  <c r="C20"/>
  <c r="C19"/>
  <c r="C18"/>
  <c r="C14"/>
  <c r="L5" i="11"/>
  <c r="L6"/>
  <c r="L7"/>
  <c r="L8"/>
  <c r="L9"/>
  <c r="L10"/>
  <c r="L11"/>
  <c r="L12"/>
  <c r="L13"/>
  <c r="L14"/>
  <c r="L15"/>
  <c r="L16"/>
  <c r="L17"/>
  <c r="L18"/>
  <c r="L19"/>
  <c r="L20"/>
  <c r="H20"/>
  <c r="H19"/>
  <c r="H18"/>
  <c r="H17"/>
  <c r="H16"/>
  <c r="H15"/>
  <c r="H14"/>
  <c r="H13"/>
  <c r="H12"/>
  <c r="H11"/>
  <c r="H10"/>
  <c r="H9"/>
  <c r="H8"/>
  <c r="H7"/>
  <c r="F20"/>
  <c r="O20" s="1"/>
  <c r="F19"/>
  <c r="O19" s="1"/>
  <c r="F18"/>
  <c r="O18" s="1"/>
  <c r="F17"/>
  <c r="O17" s="1"/>
  <c r="F16"/>
  <c r="O16" s="1"/>
  <c r="F15"/>
  <c r="O15" s="1"/>
  <c r="F14"/>
  <c r="O14" s="1"/>
  <c r="F13"/>
  <c r="O13" s="1"/>
  <c r="F12"/>
  <c r="O12" s="1"/>
  <c r="F11"/>
  <c r="O11" s="1"/>
  <c r="F10"/>
  <c r="O10" s="1"/>
  <c r="F9"/>
  <c r="O9" s="1"/>
  <c r="F8"/>
  <c r="O8" s="1"/>
  <c r="F7"/>
  <c r="O7" s="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L4"/>
  <c r="E4"/>
  <c r="D4"/>
  <c r="L3"/>
  <c r="H3"/>
  <c r="F3"/>
  <c r="O3" s="1"/>
  <c r="D3"/>
  <c r="E3"/>
  <c r="I12" i="2"/>
  <c r="I4"/>
  <c r="I5"/>
  <c r="I6"/>
  <c r="I7"/>
  <c r="I8"/>
  <c r="I9"/>
  <c r="D9" i="6"/>
  <c r="O10" i="3"/>
  <c r="P10" s="1"/>
  <c r="O9"/>
  <c r="P9" s="1"/>
  <c r="I7"/>
  <c r="D2" i="9"/>
  <c r="V2"/>
  <c r="T2"/>
  <c r="R2"/>
  <c r="P2"/>
  <c r="N2"/>
  <c r="L2"/>
  <c r="J2"/>
  <c r="H2"/>
  <c r="F2"/>
  <c r="B2"/>
  <c r="I6" i="3" s="1"/>
  <c r="E2" i="8"/>
  <c r="I16" i="2" l="1"/>
  <c r="F6" i="3"/>
  <c r="O28"/>
  <c r="O27"/>
  <c r="O26"/>
  <c r="O25"/>
  <c r="O24"/>
  <c r="O23"/>
  <c r="O22"/>
  <c r="O21"/>
  <c r="O20"/>
  <c r="O19"/>
  <c r="O18"/>
  <c r="O5"/>
  <c r="H16" i="2"/>
  <c r="H15"/>
  <c r="I15" s="1"/>
  <c r="F16" i="3" s="1"/>
  <c r="H14" i="2"/>
  <c r="I14" s="1"/>
  <c r="H13"/>
  <c r="I13" s="1"/>
  <c r="H12"/>
  <c r="H11"/>
  <c r="F12" i="3" s="1"/>
  <c r="H10" i="2"/>
  <c r="I10" s="1"/>
  <c r="H9"/>
  <c r="H8"/>
  <c r="H7"/>
  <c r="F8" i="3" s="1"/>
  <c r="H6" i="2"/>
  <c r="F7" i="3" s="1"/>
  <c r="H5" i="2"/>
  <c r="H4"/>
  <c r="F16"/>
  <c r="F15"/>
  <c r="F14"/>
  <c r="F13"/>
  <c r="F12"/>
  <c r="F11"/>
  <c r="F10"/>
  <c r="F9"/>
  <c r="F8"/>
  <c r="F7"/>
  <c r="F6"/>
  <c r="F4"/>
  <c r="F5"/>
  <c r="H6" i="11" l="1"/>
  <c r="F6"/>
  <c r="O6" s="1"/>
  <c r="C17" i="3" s="1"/>
  <c r="O17" s="1"/>
  <c r="H4" i="11"/>
  <c r="F4"/>
  <c r="H5"/>
  <c r="F5"/>
  <c r="P5" i="3"/>
  <c r="O4"/>
  <c r="P4" s="1"/>
  <c r="D3" i="6"/>
  <c r="O5" i="11" l="1"/>
  <c r="C16" i="3" s="1"/>
  <c r="O4" i="11"/>
  <c r="G4" i="6"/>
  <c r="G5"/>
  <c r="G16"/>
  <c r="G15"/>
  <c r="G14"/>
  <c r="G13"/>
  <c r="G12"/>
  <c r="G11"/>
  <c r="G10"/>
  <c r="G9"/>
  <c r="G8"/>
  <c r="G7"/>
  <c r="G6"/>
  <c r="E16"/>
  <c r="H16" s="1"/>
  <c r="E15"/>
  <c r="H15" s="1"/>
  <c r="E16" i="3" s="1"/>
  <c r="O16" s="1"/>
  <c r="P16" s="1"/>
  <c r="D16" i="6"/>
  <c r="D15"/>
  <c r="D14"/>
  <c r="E14" s="1"/>
  <c r="H14" s="1"/>
  <c r="O15" i="3" s="1"/>
  <c r="P15" s="1"/>
  <c r="D13" i="6"/>
  <c r="E13" s="1"/>
  <c r="H13" s="1"/>
  <c r="O14" i="3" s="1"/>
  <c r="P14" s="1"/>
  <c r="D12" i="6"/>
  <c r="E12" s="1"/>
  <c r="H12" s="1"/>
  <c r="O13" i="3" s="1"/>
  <c r="P13" s="1"/>
  <c r="D11" i="6"/>
  <c r="D10"/>
  <c r="E10" s="1"/>
  <c r="H10" s="1"/>
  <c r="O11" i="3" s="1"/>
  <c r="P11" s="1"/>
  <c r="D8" i="6"/>
  <c r="E9" s="1"/>
  <c r="H9" s="1"/>
  <c r="D7"/>
  <c r="E7" s="1"/>
  <c r="H7" s="1"/>
  <c r="E8" i="3" s="1"/>
  <c r="O8" s="1"/>
  <c r="P8" s="1"/>
  <c r="D6" i="6"/>
  <c r="D5"/>
  <c r="E5" s="1"/>
  <c r="D4"/>
  <c r="E4" s="1"/>
  <c r="H4" s="1"/>
  <c r="E6" l="1"/>
  <c r="H6" s="1"/>
  <c r="E7" i="3" s="1"/>
  <c r="O7" s="1"/>
  <c r="P7" s="1"/>
  <c r="H5" i="6"/>
  <c r="E6" i="3" s="1"/>
  <c r="O6" s="1"/>
  <c r="P6" s="1"/>
  <c r="E8" i="6"/>
  <c r="H8" s="1"/>
  <c r="E11"/>
  <c r="H11" s="1"/>
  <c r="O12" i="3" s="1"/>
  <c r="P12" s="1"/>
</calcChain>
</file>

<file path=xl/sharedStrings.xml><?xml version="1.0" encoding="utf-8"?>
<sst xmlns="http://schemas.openxmlformats.org/spreadsheetml/2006/main" count="147" uniqueCount="78">
  <si>
    <t>Luna</t>
  </si>
  <si>
    <t>Apa rece</t>
  </si>
  <si>
    <t>Total</t>
  </si>
  <si>
    <t>Curent</t>
  </si>
  <si>
    <t>decembrie</t>
  </si>
  <si>
    <t>An</t>
  </si>
  <si>
    <t>Inregistrat la data</t>
  </si>
  <si>
    <t>Metrorex</t>
  </si>
  <si>
    <t>Drumuri</t>
  </si>
  <si>
    <t>Cump</t>
  </si>
  <si>
    <t>Rate</t>
  </si>
  <si>
    <t>Ianuarie</t>
  </si>
  <si>
    <t>Decembrie</t>
  </si>
  <si>
    <t>RDS</t>
  </si>
  <si>
    <t>Enel</t>
  </si>
  <si>
    <t>Asoc</t>
  </si>
  <si>
    <t>Februarie</t>
  </si>
  <si>
    <t>Mancare Serviciu</t>
  </si>
  <si>
    <t>Martie</t>
  </si>
  <si>
    <t>Aprilie</t>
  </si>
  <si>
    <t>Mai</t>
  </si>
  <si>
    <t>Iunie</t>
  </si>
  <si>
    <t>Iulie</t>
  </si>
  <si>
    <t>August</t>
  </si>
  <si>
    <t>Noiembrie</t>
  </si>
  <si>
    <t>Octombrie</t>
  </si>
  <si>
    <t>Septembrie</t>
  </si>
  <si>
    <t>Bucatarie</t>
  </si>
  <si>
    <t>Baie 2</t>
  </si>
  <si>
    <t>Ipoteca</t>
  </si>
  <si>
    <t>Nev pers</t>
  </si>
  <si>
    <t>Economii</t>
  </si>
  <si>
    <t>BCR</t>
  </si>
  <si>
    <t>Baie 1</t>
  </si>
  <si>
    <t>Gaze</t>
  </si>
  <si>
    <t>Telekom</t>
  </si>
  <si>
    <t>Engie</t>
  </si>
  <si>
    <t>Nr zile</t>
  </si>
  <si>
    <t>Cost</t>
  </si>
  <si>
    <t>mc</t>
  </si>
  <si>
    <t>Ian</t>
  </si>
  <si>
    <t>Dec</t>
  </si>
  <si>
    <t>Nov</t>
  </si>
  <si>
    <t>Oct</t>
  </si>
  <si>
    <t>Sept</t>
  </si>
  <si>
    <t>Aug</t>
  </si>
  <si>
    <t>Iul</t>
  </si>
  <si>
    <t>Iun</t>
  </si>
  <si>
    <t>Platit</t>
  </si>
  <si>
    <t>RON</t>
  </si>
  <si>
    <t>Curs lei (B1)</t>
  </si>
  <si>
    <t>Euro</t>
  </si>
  <si>
    <t>Feb</t>
  </si>
  <si>
    <t>Mar</t>
  </si>
  <si>
    <t>Apr</t>
  </si>
  <si>
    <t>Jun</t>
  </si>
  <si>
    <t>Jul</t>
  </si>
  <si>
    <t>Sep</t>
  </si>
  <si>
    <t>Raiffesen</t>
  </si>
  <si>
    <t>Zile Lucrate</t>
  </si>
  <si>
    <t>Fond reparatii</t>
  </si>
  <si>
    <t>LIBRA</t>
  </si>
  <si>
    <t>Salarii</t>
  </si>
  <si>
    <t>Chelt Adm</t>
  </si>
  <si>
    <t>Adm imobil</t>
  </si>
  <si>
    <t>Interfon</t>
  </si>
  <si>
    <t>Pierderi</t>
  </si>
  <si>
    <t>Consum</t>
  </si>
  <si>
    <t>Salubritate</t>
  </si>
  <si>
    <t>Nr Pers</t>
  </si>
  <si>
    <t>Apa</t>
  </si>
  <si>
    <t>Canal</t>
  </si>
  <si>
    <t>82.96</t>
  </si>
  <si>
    <t>ian</t>
  </si>
  <si>
    <t>feb</t>
  </si>
  <si>
    <t>mar</t>
  </si>
  <si>
    <t>apr</t>
  </si>
  <si>
    <t>mai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</si>
</sst>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/>
    <xf numFmtId="0" fontId="1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E5" sqref="E5"/>
    </sheetView>
  </sheetViews>
  <sheetFormatPr defaultRowHeight="15"/>
  <cols>
    <col min="1" max="1" width="5" bestFit="1" customWidth="1"/>
    <col min="2" max="2" width="5.140625" bestFit="1" customWidth="1"/>
    <col min="3" max="3" width="5" bestFit="1" customWidth="1"/>
    <col min="4" max="4" width="11.5703125" bestFit="1" customWidth="1"/>
    <col min="5" max="6" width="7" bestFit="1" customWidth="1"/>
  </cols>
  <sheetData>
    <row r="1" spans="1:7">
      <c r="A1" s="19" t="s">
        <v>5</v>
      </c>
      <c r="B1" s="19" t="s">
        <v>0</v>
      </c>
      <c r="C1" s="3" t="s">
        <v>51</v>
      </c>
      <c r="D1" s="1" t="s">
        <v>50</v>
      </c>
      <c r="E1" s="1" t="s">
        <v>49</v>
      </c>
      <c r="F1" s="1" t="s">
        <v>48</v>
      </c>
    </row>
    <row r="2" spans="1:7">
      <c r="A2" s="19"/>
      <c r="B2" s="19"/>
      <c r="C2" s="3">
        <v>250</v>
      </c>
      <c r="D2" s="1">
        <v>4.47</v>
      </c>
      <c r="E2" s="1">
        <f>C2*D2</f>
        <v>1117.5</v>
      </c>
      <c r="F2" s="1">
        <f>SUM(E4:E28)</f>
        <v>2108.9600000000005</v>
      </c>
    </row>
    <row r="3" spans="1:7">
      <c r="A3" s="19"/>
      <c r="B3" s="19"/>
      <c r="C3" s="20"/>
      <c r="D3" s="21"/>
      <c r="E3" s="19">
        <f>E2-F2</f>
        <v>-991.46000000000049</v>
      </c>
      <c r="F3" s="19"/>
      <c r="G3">
        <f>E3/4.65</f>
        <v>-213.21720430107536</v>
      </c>
    </row>
    <row r="4" spans="1:7">
      <c r="A4" s="19">
        <v>2017</v>
      </c>
      <c r="B4" s="1" t="s">
        <v>20</v>
      </c>
      <c r="C4" s="1"/>
      <c r="D4" s="1"/>
      <c r="E4" s="4">
        <v>125.59</v>
      </c>
      <c r="F4" s="1"/>
    </row>
    <row r="5" spans="1:7">
      <c r="A5" s="19"/>
      <c r="B5" s="1" t="s">
        <v>47</v>
      </c>
      <c r="C5" s="1"/>
      <c r="D5" s="1"/>
      <c r="E5" s="4">
        <v>78.17</v>
      </c>
      <c r="F5" s="1"/>
    </row>
    <row r="6" spans="1:7">
      <c r="A6" s="19"/>
      <c r="B6" s="1" t="s">
        <v>46</v>
      </c>
      <c r="C6" s="1"/>
      <c r="D6" s="1"/>
      <c r="E6" s="4">
        <v>82.72</v>
      </c>
      <c r="F6" s="1"/>
    </row>
    <row r="7" spans="1:7">
      <c r="A7" s="19"/>
      <c r="B7" s="1" t="s">
        <v>45</v>
      </c>
      <c r="C7" s="1"/>
      <c r="D7" s="1"/>
      <c r="E7" s="4">
        <v>81.290000000000006</v>
      </c>
      <c r="F7" s="1"/>
    </row>
    <row r="8" spans="1:7">
      <c r="A8" s="19"/>
      <c r="B8" s="1" t="s">
        <v>44</v>
      </c>
      <c r="C8" s="1"/>
      <c r="D8" s="1"/>
      <c r="E8" s="4">
        <v>81.400000000000006</v>
      </c>
      <c r="F8" s="1"/>
    </row>
    <row r="9" spans="1:7">
      <c r="A9" s="19"/>
      <c r="B9" s="1" t="s">
        <v>43</v>
      </c>
      <c r="C9" s="1"/>
      <c r="D9" s="1"/>
      <c r="E9" s="4">
        <v>81.94</v>
      </c>
      <c r="F9" s="1"/>
    </row>
    <row r="10" spans="1:7">
      <c r="A10" s="19"/>
      <c r="B10" s="1" t="s">
        <v>42</v>
      </c>
      <c r="C10" s="1"/>
      <c r="D10" s="1"/>
      <c r="E10" s="4">
        <v>82.1</v>
      </c>
      <c r="F10" s="1"/>
    </row>
    <row r="11" spans="1:7">
      <c r="A11" s="19"/>
      <c r="B11" s="1" t="s">
        <v>41</v>
      </c>
      <c r="C11" s="1"/>
      <c r="D11" s="1"/>
      <c r="E11" s="4">
        <v>82.1</v>
      </c>
      <c r="F11" s="1"/>
    </row>
    <row r="12" spans="1:7">
      <c r="A12" s="19">
        <v>2018</v>
      </c>
      <c r="B12" s="1" t="s">
        <v>40</v>
      </c>
      <c r="C12" s="1"/>
      <c r="D12" s="1"/>
      <c r="E12" s="4">
        <v>82.86</v>
      </c>
      <c r="F12" s="1"/>
    </row>
    <row r="13" spans="1:7">
      <c r="A13" s="19"/>
      <c r="B13" s="1" t="s">
        <v>52</v>
      </c>
      <c r="C13" s="1"/>
      <c r="D13" s="1"/>
      <c r="E13" s="4">
        <v>83.59</v>
      </c>
      <c r="F13" s="1"/>
    </row>
    <row r="14" spans="1:7">
      <c r="A14" s="19"/>
      <c r="B14" s="1" t="s">
        <v>53</v>
      </c>
      <c r="C14" s="1"/>
      <c r="D14" s="1"/>
      <c r="E14" s="6">
        <v>83.15</v>
      </c>
      <c r="F14" s="1"/>
    </row>
    <row r="15" spans="1:7">
      <c r="A15" s="19"/>
      <c r="B15" s="1" t="s">
        <v>54</v>
      </c>
      <c r="C15" s="1"/>
      <c r="D15" s="1"/>
      <c r="E15" s="4">
        <v>83.23</v>
      </c>
      <c r="F15" s="1"/>
    </row>
    <row r="16" spans="1:7">
      <c r="A16" s="19"/>
      <c r="B16" s="1" t="s">
        <v>20</v>
      </c>
      <c r="C16" s="1"/>
      <c r="D16" s="1"/>
      <c r="E16" s="4">
        <v>83.15</v>
      </c>
      <c r="F16" s="1"/>
    </row>
    <row r="17" spans="1:6">
      <c r="A17" s="19"/>
      <c r="B17" s="1" t="s">
        <v>47</v>
      </c>
      <c r="C17" s="1"/>
      <c r="D17" s="1"/>
      <c r="E17" s="4">
        <v>83.17</v>
      </c>
      <c r="F17" s="1"/>
    </row>
    <row r="18" spans="1:6">
      <c r="A18" s="19"/>
      <c r="B18" s="1" t="s">
        <v>46</v>
      </c>
      <c r="C18" s="1"/>
      <c r="D18" s="1"/>
      <c r="E18" s="4">
        <v>82.98</v>
      </c>
      <c r="F18" s="1"/>
    </row>
    <row r="19" spans="1:6">
      <c r="A19" s="19"/>
      <c r="B19" s="1" t="s">
        <v>45</v>
      </c>
      <c r="C19" s="1"/>
      <c r="D19" s="1"/>
      <c r="E19" s="4">
        <v>83.19</v>
      </c>
      <c r="F19" s="1"/>
    </row>
    <row r="20" spans="1:6">
      <c r="A20" s="19"/>
      <c r="B20" s="1" t="s">
        <v>44</v>
      </c>
      <c r="C20" s="1"/>
      <c r="D20" s="1"/>
      <c r="E20" s="12">
        <v>82.62</v>
      </c>
      <c r="F20" s="1"/>
    </row>
    <row r="21" spans="1:6">
      <c r="A21" s="19"/>
      <c r="B21" s="1" t="s">
        <v>43</v>
      </c>
      <c r="C21" s="1"/>
      <c r="D21" s="1"/>
      <c r="E21" s="4">
        <v>82.96</v>
      </c>
      <c r="F21" s="1"/>
    </row>
    <row r="22" spans="1:6">
      <c r="A22" s="19"/>
      <c r="B22" s="1" t="s">
        <v>42</v>
      </c>
      <c r="C22" s="1"/>
      <c r="D22" s="1"/>
      <c r="E22" s="1">
        <v>83.25</v>
      </c>
      <c r="F22" s="1"/>
    </row>
    <row r="23" spans="1:6">
      <c r="A23" s="19"/>
      <c r="B23" s="1" t="s">
        <v>41</v>
      </c>
      <c r="C23" s="1"/>
      <c r="D23" s="1"/>
      <c r="E23" s="14">
        <v>83.25</v>
      </c>
      <c r="F23" s="1"/>
    </row>
    <row r="24" spans="1:6">
      <c r="A24" s="22">
        <v>2019</v>
      </c>
      <c r="B24" s="31" t="s">
        <v>73</v>
      </c>
      <c r="C24" s="32"/>
      <c r="D24" s="32"/>
      <c r="E24" s="14">
        <v>83.25</v>
      </c>
      <c r="F24" s="32"/>
    </row>
    <row r="25" spans="1:6">
      <c r="A25" s="29"/>
      <c r="B25" s="31" t="s">
        <v>74</v>
      </c>
      <c r="C25" s="32"/>
      <c r="D25" s="32"/>
      <c r="E25" s="14">
        <v>83.25</v>
      </c>
      <c r="F25" s="32"/>
    </row>
    <row r="26" spans="1:6">
      <c r="A26" s="29"/>
      <c r="B26" s="31" t="s">
        <v>75</v>
      </c>
      <c r="C26" s="32"/>
      <c r="D26" s="32"/>
      <c r="E26" s="14">
        <v>83.25</v>
      </c>
      <c r="F26" s="32"/>
    </row>
    <row r="27" spans="1:6">
      <c r="A27" s="29"/>
      <c r="B27" s="31" t="s">
        <v>76</v>
      </c>
      <c r="C27" s="32"/>
      <c r="D27" s="32"/>
      <c r="E27" s="14">
        <v>83.25</v>
      </c>
      <c r="F27" s="32"/>
    </row>
    <row r="28" spans="1:6">
      <c r="A28" s="23"/>
      <c r="B28" s="31" t="s">
        <v>77</v>
      </c>
      <c r="C28" s="32"/>
      <c r="D28" s="32"/>
      <c r="E28" s="14">
        <v>83.25</v>
      </c>
      <c r="F28" s="32"/>
    </row>
  </sheetData>
  <mergeCells count="7">
    <mergeCell ref="A24:A28"/>
    <mergeCell ref="E3:F3"/>
    <mergeCell ref="A4:A11"/>
    <mergeCell ref="A1:A3"/>
    <mergeCell ref="A12:A23"/>
    <mergeCell ref="B1:B3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14" sqref="C14"/>
    </sheetView>
  </sheetViews>
  <sheetFormatPr defaultRowHeight="15"/>
  <cols>
    <col min="1" max="1" width="5" bestFit="1" customWidth="1"/>
    <col min="2" max="2" width="11.42578125" bestFit="1" customWidth="1"/>
    <col min="3" max="3" width="9.28515625" bestFit="1" customWidth="1"/>
    <col min="4" max="5" width="6.28515625" bestFit="1" customWidth="1"/>
    <col min="6" max="6" width="5.42578125" bestFit="1" customWidth="1"/>
    <col min="7" max="7" width="8" bestFit="1" customWidth="1"/>
    <col min="8" max="8" width="6" bestFit="1" customWidth="1"/>
    <col min="9" max="9" width="7" bestFit="1" customWidth="1"/>
  </cols>
  <sheetData>
    <row r="1" spans="1:9">
      <c r="A1" s="19" t="s">
        <v>5</v>
      </c>
      <c r="B1" s="19" t="s">
        <v>0</v>
      </c>
      <c r="C1" s="19" t="s">
        <v>1</v>
      </c>
      <c r="D1" s="19"/>
      <c r="E1" s="19"/>
      <c r="F1" s="19"/>
      <c r="G1" s="19" t="s">
        <v>34</v>
      </c>
      <c r="H1" s="19"/>
      <c r="I1" s="19"/>
    </row>
    <row r="2" spans="1:9">
      <c r="A2" s="19"/>
      <c r="B2" s="19"/>
      <c r="C2" s="1" t="s">
        <v>27</v>
      </c>
      <c r="D2" s="1" t="s">
        <v>33</v>
      </c>
      <c r="E2" s="1" t="s">
        <v>28</v>
      </c>
      <c r="F2" s="19" t="s">
        <v>2</v>
      </c>
      <c r="G2" s="1"/>
      <c r="H2" s="19" t="s">
        <v>2</v>
      </c>
      <c r="I2" s="19"/>
    </row>
    <row r="3" spans="1:9">
      <c r="A3" s="19"/>
      <c r="B3" s="19"/>
      <c r="C3" s="1">
        <v>889.9</v>
      </c>
      <c r="D3" s="1">
        <v>326.3</v>
      </c>
      <c r="E3" s="1">
        <v>148.30000000000001</v>
      </c>
      <c r="F3" s="19"/>
      <c r="G3" s="1">
        <v>11028.3</v>
      </c>
      <c r="H3" s="1" t="s">
        <v>39</v>
      </c>
      <c r="I3" s="1" t="s">
        <v>38</v>
      </c>
    </row>
    <row r="4" spans="1:9">
      <c r="A4" s="1">
        <v>2017</v>
      </c>
      <c r="B4" s="1" t="s">
        <v>12</v>
      </c>
      <c r="C4" s="1">
        <v>895</v>
      </c>
      <c r="D4" s="1">
        <v>327</v>
      </c>
      <c r="E4" s="1">
        <v>149</v>
      </c>
      <c r="F4" s="1">
        <f>IF(SUM(C4:E4)-SUM(C3:E3)&lt;0,0,SUM(C4:E4)-SUM(C3:E3))</f>
        <v>6.5</v>
      </c>
      <c r="G4" s="1">
        <v>11232</v>
      </c>
      <c r="H4" s="1">
        <f t="shared" ref="H4:H16" si="0">IF(SUM(G4:G4)-SUM(G3:G3)&lt;0,0,SUM(G4:G4)-SUM(G3:G3))</f>
        <v>203.70000000000073</v>
      </c>
      <c r="I4" s="1">
        <f>ROUND(H4*10.864*0.1117*1.19,0)</f>
        <v>294</v>
      </c>
    </row>
    <row r="5" spans="1:9">
      <c r="A5" s="19">
        <v>2018</v>
      </c>
      <c r="B5" s="1" t="s">
        <v>11</v>
      </c>
      <c r="C5" s="1">
        <v>899</v>
      </c>
      <c r="D5" s="1">
        <v>328</v>
      </c>
      <c r="E5" s="1">
        <v>150</v>
      </c>
      <c r="F5" s="1">
        <f>IF(SUM(C5:E5)-SUM(C4:E4)&lt;0,0,SUM(C5:E5)-SUM(C4:E4))</f>
        <v>6</v>
      </c>
      <c r="G5" s="1">
        <v>11420</v>
      </c>
      <c r="H5" s="1">
        <f t="shared" si="0"/>
        <v>188</v>
      </c>
      <c r="I5" s="1">
        <f>287.69</f>
        <v>287.69</v>
      </c>
    </row>
    <row r="6" spans="1:9">
      <c r="A6" s="19"/>
      <c r="B6" s="1" t="s">
        <v>16</v>
      </c>
      <c r="C6" s="1">
        <v>906</v>
      </c>
      <c r="D6" s="1">
        <v>330</v>
      </c>
      <c r="E6" s="1">
        <v>152</v>
      </c>
      <c r="F6" s="1">
        <f t="shared" ref="F6:F16" si="1">IF(SUM(C6:E6)-SUM(C5:E5)&lt;0,0,SUM(C6:E6)-SUM(C5:E5))</f>
        <v>11</v>
      </c>
      <c r="G6" s="1">
        <v>11749</v>
      </c>
      <c r="H6" s="1">
        <f t="shared" si="0"/>
        <v>329</v>
      </c>
      <c r="I6" s="1">
        <f>504.6</f>
        <v>504.6</v>
      </c>
    </row>
    <row r="7" spans="1:9">
      <c r="A7" s="19"/>
      <c r="B7" s="1" t="s">
        <v>18</v>
      </c>
      <c r="C7" s="1">
        <v>915</v>
      </c>
      <c r="D7" s="1">
        <v>332</v>
      </c>
      <c r="E7" s="1">
        <v>155</v>
      </c>
      <c r="F7" s="1">
        <f t="shared" si="1"/>
        <v>14</v>
      </c>
      <c r="G7" s="1">
        <v>12039</v>
      </c>
      <c r="H7" s="1">
        <f t="shared" si="0"/>
        <v>290</v>
      </c>
      <c r="I7" s="1">
        <f t="shared" ref="I7:I16" si="2">ROUND(H7*10.8887*0.1185*1.19,0)</f>
        <v>445</v>
      </c>
    </row>
    <row r="8" spans="1:9">
      <c r="A8" s="19"/>
      <c r="B8" s="1" t="s">
        <v>19</v>
      </c>
      <c r="C8" s="1">
        <v>919</v>
      </c>
      <c r="D8" s="1">
        <v>333</v>
      </c>
      <c r="E8" s="1">
        <v>156</v>
      </c>
      <c r="F8" s="1">
        <f t="shared" si="1"/>
        <v>6</v>
      </c>
      <c r="G8" s="1">
        <v>12116</v>
      </c>
      <c r="H8" s="1">
        <f t="shared" si="0"/>
        <v>77</v>
      </c>
      <c r="I8" s="1">
        <f t="shared" si="2"/>
        <v>118</v>
      </c>
    </row>
    <row r="9" spans="1:9">
      <c r="A9" s="19"/>
      <c r="B9" s="1" t="s">
        <v>20</v>
      </c>
      <c r="C9" s="1">
        <v>924</v>
      </c>
      <c r="D9" s="1">
        <v>335</v>
      </c>
      <c r="E9" s="1">
        <v>159</v>
      </c>
      <c r="F9" s="1">
        <f t="shared" si="1"/>
        <v>10</v>
      </c>
      <c r="G9" s="1">
        <v>12139</v>
      </c>
      <c r="H9" s="1">
        <f t="shared" si="0"/>
        <v>23</v>
      </c>
      <c r="I9" s="1">
        <f>ROUND(H9*10.8887*0.1185*1.2,0)</f>
        <v>36</v>
      </c>
    </row>
    <row r="10" spans="1:9">
      <c r="A10" s="19"/>
      <c r="B10" s="1" t="s">
        <v>21</v>
      </c>
      <c r="C10" s="1">
        <v>928</v>
      </c>
      <c r="D10" s="1">
        <v>337</v>
      </c>
      <c r="E10" s="1">
        <v>162</v>
      </c>
      <c r="F10" s="1">
        <f t="shared" si="1"/>
        <v>9</v>
      </c>
      <c r="G10" s="1">
        <v>12162</v>
      </c>
      <c r="H10" s="1">
        <f t="shared" si="0"/>
        <v>23</v>
      </c>
      <c r="I10" s="1">
        <f t="shared" si="2"/>
        <v>35</v>
      </c>
    </row>
    <row r="11" spans="1:9">
      <c r="A11" s="19"/>
      <c r="B11" s="1" t="s">
        <v>22</v>
      </c>
      <c r="C11" s="1">
        <v>931</v>
      </c>
      <c r="D11" s="1">
        <v>339</v>
      </c>
      <c r="E11" s="1">
        <v>164</v>
      </c>
      <c r="F11" s="1">
        <f t="shared" si="1"/>
        <v>7</v>
      </c>
      <c r="G11" s="1">
        <v>12176</v>
      </c>
      <c r="H11" s="1">
        <f t="shared" si="0"/>
        <v>14</v>
      </c>
      <c r="I11" s="1">
        <v>23.74</v>
      </c>
    </row>
    <row r="12" spans="1:9">
      <c r="A12" s="19"/>
      <c r="B12" s="1" t="s">
        <v>23</v>
      </c>
      <c r="C12" s="1">
        <v>936</v>
      </c>
      <c r="D12" s="1">
        <v>342</v>
      </c>
      <c r="E12" s="1">
        <v>168</v>
      </c>
      <c r="F12" s="1">
        <f t="shared" si="1"/>
        <v>12</v>
      </c>
      <c r="G12" s="1">
        <v>12192</v>
      </c>
      <c r="H12" s="1">
        <f t="shared" si="0"/>
        <v>16</v>
      </c>
      <c r="I12" s="9">
        <f t="shared" si="2"/>
        <v>25</v>
      </c>
    </row>
    <row r="13" spans="1:9">
      <c r="A13" s="19"/>
      <c r="B13" s="1" t="s">
        <v>26</v>
      </c>
      <c r="C13" s="1">
        <v>944</v>
      </c>
      <c r="D13" s="1">
        <v>343</v>
      </c>
      <c r="E13" s="1">
        <v>170</v>
      </c>
      <c r="F13" s="1">
        <f t="shared" si="1"/>
        <v>11</v>
      </c>
      <c r="G13" s="1">
        <v>12228</v>
      </c>
      <c r="H13" s="1">
        <f t="shared" si="0"/>
        <v>36</v>
      </c>
      <c r="I13" s="1">
        <f t="shared" si="2"/>
        <v>55</v>
      </c>
    </row>
    <row r="14" spans="1:9">
      <c r="A14" s="19"/>
      <c r="B14" s="1" t="s">
        <v>25</v>
      </c>
      <c r="C14" s="1">
        <v>953</v>
      </c>
      <c r="D14" s="1">
        <v>343</v>
      </c>
      <c r="E14" s="1">
        <v>172</v>
      </c>
      <c r="F14" s="1">
        <f t="shared" si="1"/>
        <v>11</v>
      </c>
      <c r="G14" s="1">
        <v>12373</v>
      </c>
      <c r="H14" s="1">
        <f t="shared" si="0"/>
        <v>145</v>
      </c>
      <c r="I14" s="1">
        <f t="shared" si="2"/>
        <v>223</v>
      </c>
    </row>
    <row r="15" spans="1:9">
      <c r="A15" s="19"/>
      <c r="B15" s="1" t="s">
        <v>24</v>
      </c>
      <c r="C15" s="1"/>
      <c r="D15" s="1"/>
      <c r="E15" s="1"/>
      <c r="F15" s="1">
        <f t="shared" si="1"/>
        <v>0</v>
      </c>
      <c r="G15" s="1"/>
      <c r="H15" s="1">
        <f t="shared" si="0"/>
        <v>0</v>
      </c>
      <c r="I15" s="1">
        <f t="shared" si="2"/>
        <v>0</v>
      </c>
    </row>
    <row r="16" spans="1:9">
      <c r="A16" s="19"/>
      <c r="B16" s="1" t="s">
        <v>12</v>
      </c>
      <c r="C16" s="1"/>
      <c r="D16" s="1"/>
      <c r="E16" s="1"/>
      <c r="F16" s="1">
        <f t="shared" si="1"/>
        <v>0</v>
      </c>
      <c r="G16" s="1"/>
      <c r="H16" s="1">
        <f t="shared" si="0"/>
        <v>0</v>
      </c>
      <c r="I16" s="1">
        <f t="shared" si="2"/>
        <v>0</v>
      </c>
    </row>
  </sheetData>
  <mergeCells count="7">
    <mergeCell ref="G1:I1"/>
    <mergeCell ref="H2:I2"/>
    <mergeCell ref="A5:A16"/>
    <mergeCell ref="A1:A3"/>
    <mergeCell ref="F2:F3"/>
    <mergeCell ref="B1:B3"/>
    <mergeCell ref="C1:F1"/>
  </mergeCells>
  <pageMargins left="0.7" right="0.7" top="0.75" bottom="0.75" header="0.3" footer="0.3"/>
  <pageSetup paperSize="9" orientation="portrait" horizontalDpi="300" verticalDpi="300" r:id="rId1"/>
  <ignoredErrors>
    <ignoredError sqref="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F14" sqref="F14"/>
    </sheetView>
  </sheetViews>
  <sheetFormatPr defaultRowHeight="15"/>
  <cols>
    <col min="1" max="1" width="5" bestFit="1" customWidth="1"/>
    <col min="2" max="2" width="11.28515625" bestFit="1" customWidth="1"/>
    <col min="3" max="3" width="7.5703125" bestFit="1" customWidth="1"/>
    <col min="4" max="4" width="6" bestFit="1" customWidth="1"/>
    <col min="5" max="5" width="6.7109375" bestFit="1" customWidth="1"/>
    <col min="6" max="6" width="10.140625" customWidth="1"/>
    <col min="7" max="7" width="6.7109375" bestFit="1" customWidth="1"/>
    <col min="8" max="8" width="4.85546875" bestFit="1" customWidth="1"/>
  </cols>
  <sheetData>
    <row r="1" spans="1:8" ht="15" customHeight="1">
      <c r="A1" s="19" t="s">
        <v>5</v>
      </c>
      <c r="B1" s="19" t="s">
        <v>0</v>
      </c>
      <c r="C1" s="19" t="s">
        <v>3</v>
      </c>
      <c r="D1" s="19"/>
      <c r="E1" s="19"/>
      <c r="F1" s="22" t="s">
        <v>6</v>
      </c>
      <c r="G1" s="19" t="s">
        <v>37</v>
      </c>
      <c r="H1" s="19" t="s">
        <v>38</v>
      </c>
    </row>
    <row r="2" spans="1:8">
      <c r="A2" s="19"/>
      <c r="B2" s="19"/>
      <c r="C2" s="19"/>
      <c r="D2" s="19"/>
      <c r="E2" s="19" t="s">
        <v>2</v>
      </c>
      <c r="F2" s="23"/>
      <c r="G2" s="19"/>
      <c r="H2" s="19"/>
    </row>
    <row r="3" spans="1:8">
      <c r="A3" s="19"/>
      <c r="B3" s="19"/>
      <c r="C3" s="1">
        <v>28226</v>
      </c>
      <c r="D3" s="1">
        <f>ROUND(C3,0)</f>
        <v>28226</v>
      </c>
      <c r="E3" s="19"/>
      <c r="F3" s="2">
        <v>43082</v>
      </c>
      <c r="G3" s="1">
        <v>0</v>
      </c>
      <c r="H3" s="19"/>
    </row>
    <row r="4" spans="1:8">
      <c r="A4" s="1">
        <v>2017</v>
      </c>
      <c r="B4" s="1" t="s">
        <v>4</v>
      </c>
      <c r="C4" s="1">
        <v>28295</v>
      </c>
      <c r="D4" s="1">
        <f>ROUND(C4,0)</f>
        <v>28295</v>
      </c>
      <c r="E4" s="1">
        <f>IF(ISBLANK(C4),0,D4-D3)</f>
        <v>69</v>
      </c>
      <c r="F4" s="2">
        <v>43096</v>
      </c>
      <c r="G4" s="1">
        <f>IF(ISBLANK(C4),0,F4-F3)</f>
        <v>14</v>
      </c>
      <c r="H4" s="1">
        <f>ROUND(E4*0.586,0)</f>
        <v>40</v>
      </c>
    </row>
    <row r="5" spans="1:8">
      <c r="A5" s="19">
        <v>2018</v>
      </c>
      <c r="B5" s="1" t="s">
        <v>11</v>
      </c>
      <c r="C5" s="1">
        <v>28442</v>
      </c>
      <c r="D5" s="1">
        <f>ROUND(C5,0)</f>
        <v>28442</v>
      </c>
      <c r="E5" s="1">
        <f t="shared" ref="E5:E16" si="0">IF(ISBLANK(C5),0,D5-D4)</f>
        <v>147</v>
      </c>
      <c r="F5" s="2">
        <v>43126</v>
      </c>
      <c r="G5" s="1">
        <f>IF(ISBLANK(C5),0,F5-F4)</f>
        <v>30</v>
      </c>
      <c r="H5" s="1">
        <f>ROUND(E5*0.65,0)</f>
        <v>96</v>
      </c>
    </row>
    <row r="6" spans="1:8">
      <c r="A6" s="19"/>
      <c r="B6" s="1" t="s">
        <v>16</v>
      </c>
      <c r="C6" s="1">
        <v>28604</v>
      </c>
      <c r="D6" s="1">
        <f>ROUND(C6,0)</f>
        <v>28604</v>
      </c>
      <c r="E6" s="1">
        <f t="shared" si="0"/>
        <v>162</v>
      </c>
      <c r="F6" s="2">
        <v>43157</v>
      </c>
      <c r="G6" s="1">
        <f>IF(ISBLANK(C6),0,F6-F5)</f>
        <v>31</v>
      </c>
      <c r="H6" s="1">
        <f t="shared" ref="H6:H16" si="1">ROUND(E6*0.65,0)</f>
        <v>105</v>
      </c>
    </row>
    <row r="7" spans="1:8">
      <c r="A7" s="19"/>
      <c r="B7" s="1" t="s">
        <v>18</v>
      </c>
      <c r="C7" s="1">
        <v>28750</v>
      </c>
      <c r="D7" s="1">
        <f t="shared" ref="D7:D16" si="2">ROUND(C7,0)</f>
        <v>28750</v>
      </c>
      <c r="E7" s="1">
        <f t="shared" si="0"/>
        <v>146</v>
      </c>
      <c r="F7" s="2">
        <v>43185</v>
      </c>
      <c r="G7" s="1">
        <f t="shared" ref="G7:G16" si="3">IF(ISBLANK(C7),0,F7-F6)</f>
        <v>28</v>
      </c>
      <c r="H7" s="1">
        <f t="shared" si="1"/>
        <v>95</v>
      </c>
    </row>
    <row r="8" spans="1:8">
      <c r="A8" s="19"/>
      <c r="B8" s="1" t="s">
        <v>19</v>
      </c>
      <c r="C8" s="1">
        <v>28864</v>
      </c>
      <c r="D8" s="1">
        <f t="shared" si="2"/>
        <v>28864</v>
      </c>
      <c r="E8" s="1">
        <f t="shared" si="0"/>
        <v>114</v>
      </c>
      <c r="F8" s="2">
        <v>43216</v>
      </c>
      <c r="G8" s="1">
        <f t="shared" si="3"/>
        <v>31</v>
      </c>
      <c r="H8" s="1">
        <f t="shared" si="1"/>
        <v>74</v>
      </c>
    </row>
    <row r="9" spans="1:8">
      <c r="A9" s="19"/>
      <c r="B9" s="1" t="s">
        <v>20</v>
      </c>
      <c r="C9" s="8">
        <v>29031</v>
      </c>
      <c r="D9" s="8">
        <f>ROUND(C9,0)</f>
        <v>29031</v>
      </c>
      <c r="E9" s="1">
        <f>IF(ISBLANK(C9),0,D9-D8)</f>
        <v>167</v>
      </c>
      <c r="F9" s="2">
        <v>43262</v>
      </c>
      <c r="G9" s="1">
        <f>IF(ISBLANK(C9),0,F9-F8)</f>
        <v>46</v>
      </c>
      <c r="H9" s="1">
        <f t="shared" si="1"/>
        <v>109</v>
      </c>
    </row>
    <row r="10" spans="1:8">
      <c r="A10" s="19"/>
      <c r="B10" s="1" t="s">
        <v>21</v>
      </c>
      <c r="C10" s="8">
        <v>29080</v>
      </c>
      <c r="D10" s="1">
        <f>ROUND(C10,0)</f>
        <v>29080</v>
      </c>
      <c r="E10" s="1">
        <f>IF(ISBLANK(C10),0,D10-D9)</f>
        <v>49</v>
      </c>
      <c r="F10" s="2">
        <v>43277</v>
      </c>
      <c r="G10" s="1">
        <f>IF(ISBLANK(C10),0,F10-F9)</f>
        <v>15</v>
      </c>
      <c r="H10" s="1">
        <f t="shared" si="1"/>
        <v>32</v>
      </c>
    </row>
    <row r="11" spans="1:8">
      <c r="A11" s="19"/>
      <c r="B11" s="1" t="s">
        <v>22</v>
      </c>
      <c r="C11" s="1">
        <v>29153</v>
      </c>
      <c r="D11" s="1">
        <f t="shared" si="2"/>
        <v>29153</v>
      </c>
      <c r="E11" s="1">
        <f t="shared" si="0"/>
        <v>73</v>
      </c>
      <c r="F11" s="2">
        <v>43308</v>
      </c>
      <c r="G11" s="1">
        <f t="shared" si="3"/>
        <v>31</v>
      </c>
      <c r="H11" s="1">
        <f t="shared" si="1"/>
        <v>47</v>
      </c>
    </row>
    <row r="12" spans="1:8">
      <c r="A12" s="19"/>
      <c r="B12" s="1" t="s">
        <v>23</v>
      </c>
      <c r="C12" s="1">
        <v>29252</v>
      </c>
      <c r="D12" s="1">
        <f t="shared" si="2"/>
        <v>29252</v>
      </c>
      <c r="E12" s="1">
        <f t="shared" si="0"/>
        <v>99</v>
      </c>
      <c r="F12" s="2">
        <v>43338</v>
      </c>
      <c r="G12" s="1">
        <f t="shared" si="3"/>
        <v>30</v>
      </c>
      <c r="H12" s="1">
        <f t="shared" si="1"/>
        <v>64</v>
      </c>
    </row>
    <row r="13" spans="1:8">
      <c r="A13" s="19"/>
      <c r="B13" s="1" t="s">
        <v>26</v>
      </c>
      <c r="C13" s="1">
        <v>29405</v>
      </c>
      <c r="D13" s="1">
        <f t="shared" si="2"/>
        <v>29405</v>
      </c>
      <c r="E13" s="1">
        <f t="shared" si="0"/>
        <v>153</v>
      </c>
      <c r="F13" s="2">
        <v>43369</v>
      </c>
      <c r="G13" s="1">
        <f t="shared" si="3"/>
        <v>31</v>
      </c>
      <c r="H13" s="1">
        <f t="shared" si="1"/>
        <v>99</v>
      </c>
    </row>
    <row r="14" spans="1:8">
      <c r="A14" s="19"/>
      <c r="B14" s="1" t="s">
        <v>25</v>
      </c>
      <c r="C14" s="1">
        <v>29550</v>
      </c>
      <c r="D14" s="1">
        <f t="shared" si="2"/>
        <v>29550</v>
      </c>
      <c r="E14" s="1">
        <f t="shared" si="0"/>
        <v>145</v>
      </c>
      <c r="F14" s="2">
        <v>43399</v>
      </c>
      <c r="G14" s="1">
        <f t="shared" si="3"/>
        <v>30</v>
      </c>
      <c r="H14" s="1">
        <f t="shared" si="1"/>
        <v>94</v>
      </c>
    </row>
    <row r="15" spans="1:8">
      <c r="A15" s="19"/>
      <c r="B15" s="1" t="s">
        <v>24</v>
      </c>
      <c r="C15" s="1"/>
      <c r="D15" s="1">
        <f t="shared" si="2"/>
        <v>0</v>
      </c>
      <c r="E15" s="1">
        <f t="shared" si="0"/>
        <v>0</v>
      </c>
      <c r="F15" s="2"/>
      <c r="G15" s="1">
        <f t="shared" si="3"/>
        <v>0</v>
      </c>
      <c r="H15" s="1">
        <f t="shared" si="1"/>
        <v>0</v>
      </c>
    </row>
    <row r="16" spans="1:8">
      <c r="A16" s="19"/>
      <c r="B16" s="1" t="s">
        <v>12</v>
      </c>
      <c r="C16" s="1"/>
      <c r="D16" s="1">
        <f t="shared" si="2"/>
        <v>0</v>
      </c>
      <c r="E16" s="1">
        <f t="shared" si="0"/>
        <v>0</v>
      </c>
      <c r="F16" s="2"/>
      <c r="G16" s="1">
        <f t="shared" si="3"/>
        <v>0</v>
      </c>
      <c r="H16" s="1">
        <f t="shared" si="1"/>
        <v>0</v>
      </c>
    </row>
  </sheetData>
  <mergeCells count="9">
    <mergeCell ref="G1:G2"/>
    <mergeCell ref="H1:H3"/>
    <mergeCell ref="F1:F2"/>
    <mergeCell ref="A5:A16"/>
    <mergeCell ref="A1:A3"/>
    <mergeCell ref="B1:B3"/>
    <mergeCell ref="C1:E1"/>
    <mergeCell ref="C2:D2"/>
    <mergeCell ref="E2:E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A3" sqref="A3"/>
    </sheetView>
  </sheetViews>
  <sheetFormatPr defaultRowHeight="15"/>
  <cols>
    <col min="1" max="1" width="10.140625" bestFit="1" customWidth="1"/>
    <col min="2" max="2" width="7" bestFit="1" customWidth="1"/>
    <col min="3" max="3" width="4.42578125" bestFit="1" customWidth="1"/>
    <col min="4" max="4" width="2" bestFit="1" customWidth="1"/>
    <col min="5" max="5" width="4.140625" bestFit="1" customWidth="1"/>
    <col min="6" max="6" width="2" bestFit="1" customWidth="1"/>
    <col min="7" max="7" width="4.28515625" bestFit="1" customWidth="1"/>
    <col min="8" max="8" width="2" bestFit="1" customWidth="1"/>
    <col min="9" max="9" width="4" bestFit="1" customWidth="1"/>
    <col min="10" max="10" width="2" bestFit="1" customWidth="1"/>
    <col min="11" max="11" width="3.42578125" bestFit="1" customWidth="1"/>
    <col min="12" max="12" width="2" bestFit="1" customWidth="1"/>
    <col min="13" max="13" width="4.42578125" bestFit="1" customWidth="1"/>
    <col min="14" max="14" width="2" bestFit="1" customWidth="1"/>
    <col min="15" max="15" width="4.28515625" bestFit="1" customWidth="1"/>
    <col min="16" max="16" width="2" bestFit="1" customWidth="1"/>
    <col min="17" max="17" width="4" bestFit="1" customWidth="1"/>
    <col min="18" max="18" width="2" bestFit="1" customWidth="1"/>
    <col min="19" max="19" width="4.5703125" bestFit="1" customWidth="1"/>
    <col min="20" max="20" width="2" bestFit="1" customWidth="1"/>
    <col min="21" max="21" width="4.28515625" bestFit="1" customWidth="1"/>
    <col min="22" max="22" width="2" bestFit="1" customWidth="1"/>
  </cols>
  <sheetData>
    <row r="1" spans="1:22">
      <c r="A1" s="19">
        <v>2018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>
      <c r="A2" s="1" t="s">
        <v>52</v>
      </c>
      <c r="B2" s="1">
        <f>SUM(B3:B15)</f>
        <v>298.55999999999995</v>
      </c>
      <c r="C2" s="1" t="s">
        <v>53</v>
      </c>
      <c r="D2" s="1">
        <f>SUM(D3:D15)</f>
        <v>0</v>
      </c>
      <c r="E2" s="1" t="s">
        <v>54</v>
      </c>
      <c r="F2" s="1">
        <f>SUM(F3:F15)</f>
        <v>0</v>
      </c>
      <c r="G2" s="1" t="s">
        <v>20</v>
      </c>
      <c r="H2" s="1">
        <f>SUM(H3:H15)</f>
        <v>0</v>
      </c>
      <c r="I2" s="1" t="s">
        <v>55</v>
      </c>
      <c r="J2" s="1">
        <f>SUM(J3:J15)</f>
        <v>0</v>
      </c>
      <c r="K2" s="1" t="s">
        <v>56</v>
      </c>
      <c r="L2" s="1">
        <f>SUM(L3:L15)</f>
        <v>0</v>
      </c>
      <c r="M2" s="1" t="s">
        <v>45</v>
      </c>
      <c r="N2" s="1">
        <f>SUM(N3:N15)</f>
        <v>0</v>
      </c>
      <c r="O2" s="1" t="s">
        <v>57</v>
      </c>
      <c r="P2" s="1">
        <f>SUM(P3:P15)</f>
        <v>0</v>
      </c>
      <c r="Q2" s="1" t="s">
        <v>43</v>
      </c>
      <c r="R2" s="1">
        <f>SUM(R3:R15)</f>
        <v>0</v>
      </c>
      <c r="S2" s="1" t="s">
        <v>42</v>
      </c>
      <c r="T2" s="1">
        <f>SUM(T3:T15)</f>
        <v>0</v>
      </c>
      <c r="U2" s="1" t="s">
        <v>41</v>
      </c>
      <c r="V2" s="1">
        <f>SUM(V3:V15)</f>
        <v>0</v>
      </c>
    </row>
    <row r="3" spans="1:22">
      <c r="A3" s="2">
        <v>43133</v>
      </c>
      <c r="B3" s="1">
        <v>76.739999999999995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2">
        <v>43135</v>
      </c>
      <c r="B4" s="1">
        <v>29.92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2">
        <v>43135</v>
      </c>
      <c r="B5" s="1">
        <v>41.87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2">
        <v>43142</v>
      </c>
      <c r="B6" s="5">
        <v>80.099999999999994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2">
        <v>43148</v>
      </c>
      <c r="B7" s="1">
        <v>30.02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2">
        <v>43148</v>
      </c>
      <c r="B8" s="1">
        <v>39.909999999999997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</sheetData>
  <mergeCells count="1">
    <mergeCell ref="A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D12" sqref="D12"/>
    </sheetView>
  </sheetViews>
  <sheetFormatPr defaultRowHeight="15"/>
  <cols>
    <col min="1" max="1" width="9.140625" style="10"/>
    <col min="2" max="2" width="5.140625" style="10" bestFit="1" customWidth="1"/>
    <col min="3" max="3" width="9.140625" style="10"/>
    <col min="4" max="4" width="4.85546875" style="10" bestFit="1" customWidth="1"/>
    <col min="5" max="5" width="10.7109375" style="10" bestFit="1" customWidth="1"/>
    <col min="6" max="7" width="8.140625" style="10" bestFit="1" customWidth="1"/>
    <col min="8" max="8" width="6" style="10" bestFit="1" customWidth="1"/>
    <col min="9" max="9" width="8.28515625" style="10" bestFit="1" customWidth="1"/>
    <col min="10" max="10" width="7" style="10" customWidth="1"/>
    <col min="11" max="11" width="7.42578125" style="10" customWidth="1"/>
    <col min="12" max="12" width="6.42578125" style="10" bestFit="1" customWidth="1"/>
    <col min="13" max="13" width="6" style="10" bestFit="1" customWidth="1"/>
    <col min="14" max="14" width="8.85546875" style="10" customWidth="1"/>
    <col min="15" max="15" width="5.42578125" style="10" bestFit="1" customWidth="1"/>
    <col min="16" max="16384" width="9.140625" style="10"/>
  </cols>
  <sheetData>
    <row r="1" spans="1:15">
      <c r="A1" s="24" t="s">
        <v>5</v>
      </c>
      <c r="B1" s="27" t="s">
        <v>0</v>
      </c>
      <c r="C1" s="27" t="s">
        <v>69</v>
      </c>
      <c r="D1" s="27" t="s">
        <v>14</v>
      </c>
      <c r="E1" s="27" t="s">
        <v>68</v>
      </c>
      <c r="F1" s="24" t="s">
        <v>70</v>
      </c>
      <c r="G1" s="24"/>
      <c r="H1" s="24"/>
      <c r="I1" s="27" t="s">
        <v>65</v>
      </c>
      <c r="J1" s="25" t="s">
        <v>64</v>
      </c>
      <c r="K1" s="25" t="s">
        <v>63</v>
      </c>
      <c r="L1" s="27" t="s">
        <v>62</v>
      </c>
      <c r="M1" s="27" t="s">
        <v>61</v>
      </c>
      <c r="N1" s="25" t="s">
        <v>60</v>
      </c>
      <c r="O1" s="27" t="s">
        <v>2</v>
      </c>
    </row>
    <row r="2" spans="1:15">
      <c r="A2" s="24"/>
      <c r="B2" s="28"/>
      <c r="C2" s="28"/>
      <c r="D2" s="28"/>
      <c r="E2" s="28"/>
      <c r="F2" s="11" t="s">
        <v>67</v>
      </c>
      <c r="G2" s="11" t="s">
        <v>66</v>
      </c>
      <c r="H2" s="11" t="s">
        <v>71</v>
      </c>
      <c r="I2" s="28"/>
      <c r="J2" s="26"/>
      <c r="K2" s="26"/>
      <c r="L2" s="28"/>
      <c r="M2" s="28"/>
      <c r="N2" s="26"/>
      <c r="O2" s="28"/>
    </row>
    <row r="3" spans="1:15">
      <c r="A3" s="24">
        <v>2018</v>
      </c>
      <c r="B3" s="11">
        <v>8</v>
      </c>
      <c r="C3" s="11">
        <v>4</v>
      </c>
      <c r="D3" s="11">
        <f>C3*0.55</f>
        <v>2.2000000000000002</v>
      </c>
      <c r="E3" s="11">
        <f>C3*7.8</f>
        <v>31.2</v>
      </c>
      <c r="F3" s="11">
        <f>ROUND(3.9349*'Consum apa'!F12,2)</f>
        <v>47.22</v>
      </c>
      <c r="G3" s="11">
        <v>5</v>
      </c>
      <c r="H3" s="11">
        <f>ROUND(2.261*'Consum apa'!F$12,2)</f>
        <v>27.13</v>
      </c>
      <c r="I3" s="11">
        <v>3</v>
      </c>
      <c r="J3" s="11">
        <v>18.34</v>
      </c>
      <c r="K3" s="11">
        <v>10</v>
      </c>
      <c r="L3" s="11">
        <f>ROUND(1.31*25.9915,2)</f>
        <v>34.049999999999997</v>
      </c>
      <c r="M3" s="11">
        <v>0.5</v>
      </c>
      <c r="N3" s="11">
        <v>20</v>
      </c>
      <c r="O3" s="11">
        <f>SUM(D3:N3)</f>
        <v>198.64</v>
      </c>
    </row>
    <row r="4" spans="1:15">
      <c r="A4" s="24"/>
      <c r="B4" s="11">
        <v>9</v>
      </c>
      <c r="C4" s="11">
        <v>5</v>
      </c>
      <c r="D4" s="11">
        <f>C4*0.55</f>
        <v>2.75</v>
      </c>
      <c r="E4" s="11">
        <f>C4*7.8</f>
        <v>39</v>
      </c>
      <c r="F4" s="11">
        <f>ROUND(3.9349*'Consum apa'!F13,2)</f>
        <v>43.28</v>
      </c>
      <c r="G4" s="11">
        <v>5</v>
      </c>
      <c r="H4" s="11">
        <f>ROUND(2.261*'Consum apa'!$F13,2)</f>
        <v>24.87</v>
      </c>
      <c r="I4" s="11">
        <v>3</v>
      </c>
      <c r="J4" s="11">
        <v>18.34</v>
      </c>
      <c r="K4" s="11">
        <v>10</v>
      </c>
      <c r="L4" s="11">
        <f>ROUND(1.31*25.9915,2)</f>
        <v>34.049999999999997</v>
      </c>
      <c r="M4" s="11">
        <v>0.5</v>
      </c>
      <c r="N4" s="11">
        <v>20</v>
      </c>
      <c r="O4" s="11">
        <f>SUM(D4:N4)</f>
        <v>200.79000000000002</v>
      </c>
    </row>
    <row r="5" spans="1:15">
      <c r="A5" s="24"/>
      <c r="B5" s="11">
        <v>10</v>
      </c>
      <c r="C5" s="11">
        <v>5</v>
      </c>
      <c r="D5" s="11">
        <f t="shared" ref="D5:D20" si="0">C5*0.55</f>
        <v>2.75</v>
      </c>
      <c r="E5" s="11">
        <f t="shared" ref="E5:E20" si="1">C5*7.8</f>
        <v>39</v>
      </c>
      <c r="F5" s="11">
        <f>ROUND(3.9349*'Consum apa'!F14,2)</f>
        <v>43.28</v>
      </c>
      <c r="G5" s="11"/>
      <c r="H5" s="11">
        <f>ROUND(2.261*'Consum apa'!$F14,2)</f>
        <v>24.87</v>
      </c>
      <c r="I5" s="11">
        <v>3</v>
      </c>
      <c r="J5" s="11">
        <v>18.34</v>
      </c>
      <c r="K5" s="11"/>
      <c r="L5" s="11">
        <f t="shared" ref="L5:L20" si="2">ROUND(1.31*25.9915,2)</f>
        <v>34.049999999999997</v>
      </c>
      <c r="M5" s="11">
        <v>0.5</v>
      </c>
      <c r="N5" s="11"/>
      <c r="O5" s="11">
        <f t="shared" ref="O5:O20" si="3">SUM(D5:N5)</f>
        <v>165.79000000000002</v>
      </c>
    </row>
    <row r="6" spans="1:15">
      <c r="A6" s="24"/>
      <c r="B6" s="11">
        <v>11</v>
      </c>
      <c r="C6" s="11">
        <v>5</v>
      </c>
      <c r="D6" s="11">
        <f t="shared" si="0"/>
        <v>2.75</v>
      </c>
      <c r="E6" s="11">
        <f t="shared" si="1"/>
        <v>39</v>
      </c>
      <c r="F6" s="11">
        <f>ROUND(3.9349*'Consum apa'!F15,2)</f>
        <v>0</v>
      </c>
      <c r="G6" s="11"/>
      <c r="H6" s="11">
        <f>ROUND(2.261*'Consum apa'!$F15,2)</f>
        <v>0</v>
      </c>
      <c r="I6" s="11">
        <v>3</v>
      </c>
      <c r="J6" s="11">
        <v>18.34</v>
      </c>
      <c r="K6" s="11"/>
      <c r="L6" s="11">
        <f t="shared" si="2"/>
        <v>34.049999999999997</v>
      </c>
      <c r="M6" s="11">
        <v>0.5</v>
      </c>
      <c r="N6" s="11"/>
      <c r="O6" s="11">
        <f t="shared" si="3"/>
        <v>97.64</v>
      </c>
    </row>
    <row r="7" spans="1:15">
      <c r="A7" s="24"/>
      <c r="B7" s="11">
        <v>12</v>
      </c>
      <c r="C7" s="11">
        <v>5</v>
      </c>
      <c r="D7" s="11">
        <f t="shared" si="0"/>
        <v>2.75</v>
      </c>
      <c r="E7" s="11">
        <f t="shared" si="1"/>
        <v>39</v>
      </c>
      <c r="F7" s="11">
        <f>ROUND(3.9349*'Consum apa'!F16,2)</f>
        <v>0</v>
      </c>
      <c r="G7" s="11"/>
      <c r="H7" s="11">
        <f>ROUND(2.261*'Consum apa'!$F16,2)</f>
        <v>0</v>
      </c>
      <c r="I7" s="11">
        <v>3</v>
      </c>
      <c r="J7" s="11">
        <v>18.34</v>
      </c>
      <c r="K7" s="11"/>
      <c r="L7" s="11">
        <f t="shared" si="2"/>
        <v>34.049999999999997</v>
      </c>
      <c r="M7" s="11">
        <v>0.5</v>
      </c>
      <c r="N7" s="11"/>
      <c r="O7" s="11">
        <f t="shared" si="3"/>
        <v>97.64</v>
      </c>
    </row>
    <row r="8" spans="1:15">
      <c r="A8" s="24">
        <v>2019</v>
      </c>
      <c r="B8" s="11">
        <v>1</v>
      </c>
      <c r="C8" s="11">
        <v>5</v>
      </c>
      <c r="D8" s="11">
        <f t="shared" si="0"/>
        <v>2.75</v>
      </c>
      <c r="E8" s="11">
        <f t="shared" si="1"/>
        <v>39</v>
      </c>
      <c r="F8" s="11">
        <f>ROUND(3.9349*'Consum apa'!F17,2)</f>
        <v>0</v>
      </c>
      <c r="G8" s="11"/>
      <c r="H8" s="11">
        <f>ROUND(2.261*'Consum apa'!$F17,2)</f>
        <v>0</v>
      </c>
      <c r="I8" s="11">
        <v>3</v>
      </c>
      <c r="J8" s="11">
        <v>18.34</v>
      </c>
      <c r="K8" s="11"/>
      <c r="L8" s="11">
        <f t="shared" si="2"/>
        <v>34.049999999999997</v>
      </c>
      <c r="M8" s="11">
        <v>0.5</v>
      </c>
      <c r="N8" s="11"/>
      <c r="O8" s="11">
        <f t="shared" si="3"/>
        <v>97.64</v>
      </c>
    </row>
    <row r="9" spans="1:15">
      <c r="A9" s="24"/>
      <c r="B9" s="11">
        <v>2</v>
      </c>
      <c r="C9" s="11">
        <v>5</v>
      </c>
      <c r="D9" s="11">
        <f t="shared" si="0"/>
        <v>2.75</v>
      </c>
      <c r="E9" s="11">
        <f t="shared" si="1"/>
        <v>39</v>
      </c>
      <c r="F9" s="11">
        <f>ROUND(3.9349*'Consum apa'!F18,2)</f>
        <v>0</v>
      </c>
      <c r="G9" s="11"/>
      <c r="H9" s="11">
        <f>ROUND(2.261*'Consum apa'!$F18,2)</f>
        <v>0</v>
      </c>
      <c r="I9" s="11">
        <v>3</v>
      </c>
      <c r="J9" s="11">
        <v>18.34</v>
      </c>
      <c r="K9" s="11"/>
      <c r="L9" s="11">
        <f t="shared" si="2"/>
        <v>34.049999999999997</v>
      </c>
      <c r="M9" s="11">
        <v>0.5</v>
      </c>
      <c r="N9" s="11"/>
      <c r="O9" s="11">
        <f t="shared" si="3"/>
        <v>97.64</v>
      </c>
    </row>
    <row r="10" spans="1:15">
      <c r="A10" s="24"/>
      <c r="B10" s="11">
        <v>3</v>
      </c>
      <c r="C10" s="11">
        <v>5</v>
      </c>
      <c r="D10" s="11">
        <f t="shared" si="0"/>
        <v>2.75</v>
      </c>
      <c r="E10" s="11">
        <f t="shared" si="1"/>
        <v>39</v>
      </c>
      <c r="F10" s="11">
        <f>ROUND(3.9349*'Consum apa'!F19,2)</f>
        <v>0</v>
      </c>
      <c r="G10" s="11"/>
      <c r="H10" s="11">
        <f>ROUND(2.261*'Consum apa'!$F19,2)</f>
        <v>0</v>
      </c>
      <c r="I10" s="11">
        <v>3</v>
      </c>
      <c r="J10" s="11">
        <v>18.34</v>
      </c>
      <c r="K10" s="11"/>
      <c r="L10" s="11">
        <f t="shared" si="2"/>
        <v>34.049999999999997</v>
      </c>
      <c r="M10" s="11">
        <v>0.5</v>
      </c>
      <c r="N10" s="11"/>
      <c r="O10" s="11">
        <f t="shared" si="3"/>
        <v>97.64</v>
      </c>
    </row>
    <row r="11" spans="1:15">
      <c r="A11" s="24"/>
      <c r="B11" s="11">
        <v>4</v>
      </c>
      <c r="C11" s="11">
        <v>5</v>
      </c>
      <c r="D11" s="11">
        <f t="shared" si="0"/>
        <v>2.75</v>
      </c>
      <c r="E11" s="11">
        <f t="shared" si="1"/>
        <v>39</v>
      </c>
      <c r="F11" s="11">
        <f>ROUND(3.9349*'Consum apa'!F20,2)</f>
        <v>0</v>
      </c>
      <c r="G11" s="11"/>
      <c r="H11" s="11">
        <f>ROUND(2.261*'Consum apa'!$F20,2)</f>
        <v>0</v>
      </c>
      <c r="I11" s="11">
        <v>3</v>
      </c>
      <c r="J11" s="11">
        <v>18.34</v>
      </c>
      <c r="K11" s="11"/>
      <c r="L11" s="11">
        <f t="shared" si="2"/>
        <v>34.049999999999997</v>
      </c>
      <c r="M11" s="11">
        <v>0.5</v>
      </c>
      <c r="N11" s="11"/>
      <c r="O11" s="11">
        <f t="shared" si="3"/>
        <v>97.64</v>
      </c>
    </row>
    <row r="12" spans="1:15">
      <c r="A12" s="24"/>
      <c r="B12" s="11">
        <v>5</v>
      </c>
      <c r="C12" s="11">
        <v>5</v>
      </c>
      <c r="D12" s="11">
        <f t="shared" si="0"/>
        <v>2.75</v>
      </c>
      <c r="E12" s="11">
        <f t="shared" si="1"/>
        <v>39</v>
      </c>
      <c r="F12" s="11">
        <f>ROUND(3.9349*'Consum apa'!F21,2)</f>
        <v>0</v>
      </c>
      <c r="G12" s="11"/>
      <c r="H12" s="11">
        <f>ROUND(2.261*'Consum apa'!$F21,2)</f>
        <v>0</v>
      </c>
      <c r="I12" s="11">
        <v>3</v>
      </c>
      <c r="J12" s="11">
        <v>18.34</v>
      </c>
      <c r="K12" s="11"/>
      <c r="L12" s="11">
        <f t="shared" si="2"/>
        <v>34.049999999999997</v>
      </c>
      <c r="M12" s="11">
        <v>0.5</v>
      </c>
      <c r="N12" s="11"/>
      <c r="O12" s="11">
        <f t="shared" si="3"/>
        <v>97.64</v>
      </c>
    </row>
    <row r="13" spans="1:15">
      <c r="A13" s="24"/>
      <c r="B13" s="11">
        <v>6</v>
      </c>
      <c r="C13" s="11">
        <v>5</v>
      </c>
      <c r="D13" s="11">
        <f t="shared" si="0"/>
        <v>2.75</v>
      </c>
      <c r="E13" s="11">
        <f t="shared" si="1"/>
        <v>39</v>
      </c>
      <c r="F13" s="11">
        <f>ROUND(3.9349*'Consum apa'!F22,2)</f>
        <v>0</v>
      </c>
      <c r="G13" s="11"/>
      <c r="H13" s="11">
        <f>ROUND(2.261*'Consum apa'!$F22,2)</f>
        <v>0</v>
      </c>
      <c r="I13" s="11">
        <v>3</v>
      </c>
      <c r="J13" s="11">
        <v>18.34</v>
      </c>
      <c r="K13" s="11"/>
      <c r="L13" s="11">
        <f t="shared" si="2"/>
        <v>34.049999999999997</v>
      </c>
      <c r="M13" s="11">
        <v>0.5</v>
      </c>
      <c r="N13" s="11"/>
      <c r="O13" s="11">
        <f t="shared" si="3"/>
        <v>97.64</v>
      </c>
    </row>
    <row r="14" spans="1:15">
      <c r="A14" s="24"/>
      <c r="B14" s="11">
        <v>7</v>
      </c>
      <c r="C14" s="11">
        <v>5</v>
      </c>
      <c r="D14" s="11">
        <f t="shared" si="0"/>
        <v>2.75</v>
      </c>
      <c r="E14" s="11">
        <f t="shared" si="1"/>
        <v>39</v>
      </c>
      <c r="F14" s="11">
        <f>ROUND(3.9349*'Consum apa'!F23,2)</f>
        <v>0</v>
      </c>
      <c r="G14" s="11"/>
      <c r="H14" s="11">
        <f>ROUND(2.261*'Consum apa'!$F23,2)</f>
        <v>0</v>
      </c>
      <c r="I14" s="11">
        <v>3</v>
      </c>
      <c r="J14" s="11">
        <v>18.34</v>
      </c>
      <c r="K14" s="11"/>
      <c r="L14" s="11">
        <f t="shared" si="2"/>
        <v>34.049999999999997</v>
      </c>
      <c r="M14" s="11">
        <v>0.5</v>
      </c>
      <c r="N14" s="11"/>
      <c r="O14" s="11">
        <f t="shared" si="3"/>
        <v>97.64</v>
      </c>
    </row>
    <row r="15" spans="1:15">
      <c r="A15" s="24"/>
      <c r="B15" s="11">
        <v>8</v>
      </c>
      <c r="C15" s="11">
        <v>5</v>
      </c>
      <c r="D15" s="11">
        <f t="shared" si="0"/>
        <v>2.75</v>
      </c>
      <c r="E15" s="11">
        <f t="shared" si="1"/>
        <v>39</v>
      </c>
      <c r="F15" s="11">
        <f>ROUND(3.9349*'Consum apa'!F24,2)</f>
        <v>0</v>
      </c>
      <c r="G15" s="11"/>
      <c r="H15" s="11">
        <f>ROUND(2.261*'Consum apa'!$F24,2)</f>
        <v>0</v>
      </c>
      <c r="I15" s="11">
        <v>3</v>
      </c>
      <c r="J15" s="11">
        <v>18.34</v>
      </c>
      <c r="K15" s="11"/>
      <c r="L15" s="11">
        <f t="shared" si="2"/>
        <v>34.049999999999997</v>
      </c>
      <c r="M15" s="11">
        <v>0.5</v>
      </c>
      <c r="N15" s="11"/>
      <c r="O15" s="11">
        <f t="shared" si="3"/>
        <v>97.64</v>
      </c>
    </row>
    <row r="16" spans="1:15">
      <c r="A16" s="24"/>
      <c r="B16" s="11">
        <v>9</v>
      </c>
      <c r="C16" s="11">
        <v>5</v>
      </c>
      <c r="D16" s="11">
        <f t="shared" si="0"/>
        <v>2.75</v>
      </c>
      <c r="E16" s="11">
        <f t="shared" si="1"/>
        <v>39</v>
      </c>
      <c r="F16" s="11">
        <f>ROUND(3.9349*'Consum apa'!F25,2)</f>
        <v>0</v>
      </c>
      <c r="G16" s="11"/>
      <c r="H16" s="11">
        <f>ROUND(2.261*'Consum apa'!$F25,2)</f>
        <v>0</v>
      </c>
      <c r="I16" s="11">
        <v>3</v>
      </c>
      <c r="J16" s="11">
        <v>18.34</v>
      </c>
      <c r="K16" s="11"/>
      <c r="L16" s="11">
        <f t="shared" si="2"/>
        <v>34.049999999999997</v>
      </c>
      <c r="M16" s="11">
        <v>0.5</v>
      </c>
      <c r="N16" s="11"/>
      <c r="O16" s="11">
        <f t="shared" si="3"/>
        <v>97.64</v>
      </c>
    </row>
    <row r="17" spans="1:15">
      <c r="A17" s="24"/>
      <c r="B17" s="11">
        <v>10</v>
      </c>
      <c r="C17" s="11">
        <v>5</v>
      </c>
      <c r="D17" s="11">
        <f t="shared" si="0"/>
        <v>2.75</v>
      </c>
      <c r="E17" s="11">
        <f t="shared" si="1"/>
        <v>39</v>
      </c>
      <c r="F17" s="11">
        <f>ROUND(3.9349*'Consum apa'!F26,2)</f>
        <v>0</v>
      </c>
      <c r="G17" s="11"/>
      <c r="H17" s="11">
        <f>ROUND(2.261*'Consum apa'!$F26,2)</f>
        <v>0</v>
      </c>
      <c r="I17" s="11">
        <v>3</v>
      </c>
      <c r="J17" s="11">
        <v>18.34</v>
      </c>
      <c r="K17" s="11"/>
      <c r="L17" s="11">
        <f t="shared" si="2"/>
        <v>34.049999999999997</v>
      </c>
      <c r="M17" s="11">
        <v>0.5</v>
      </c>
      <c r="N17" s="11"/>
      <c r="O17" s="11">
        <f t="shared" si="3"/>
        <v>97.64</v>
      </c>
    </row>
    <row r="18" spans="1:15">
      <c r="A18" s="24"/>
      <c r="B18" s="11">
        <v>11</v>
      </c>
      <c r="C18" s="11">
        <v>5</v>
      </c>
      <c r="D18" s="11">
        <f t="shared" si="0"/>
        <v>2.75</v>
      </c>
      <c r="E18" s="11">
        <f t="shared" si="1"/>
        <v>39</v>
      </c>
      <c r="F18" s="11">
        <f>ROUND(3.9349*'Consum apa'!F27,2)</f>
        <v>0</v>
      </c>
      <c r="G18" s="11"/>
      <c r="H18" s="11">
        <f>ROUND(2.261*'Consum apa'!$F27,2)</f>
        <v>0</v>
      </c>
      <c r="I18" s="11">
        <v>3</v>
      </c>
      <c r="J18" s="11">
        <v>18.34</v>
      </c>
      <c r="K18" s="11"/>
      <c r="L18" s="11">
        <f t="shared" si="2"/>
        <v>34.049999999999997</v>
      </c>
      <c r="M18" s="11">
        <v>0.5</v>
      </c>
      <c r="N18" s="11"/>
      <c r="O18" s="11">
        <f t="shared" si="3"/>
        <v>97.64</v>
      </c>
    </row>
    <row r="19" spans="1:15">
      <c r="A19" s="24"/>
      <c r="B19" s="11">
        <v>12</v>
      </c>
      <c r="C19" s="11">
        <v>5</v>
      </c>
      <c r="D19" s="11">
        <f t="shared" si="0"/>
        <v>2.75</v>
      </c>
      <c r="E19" s="11">
        <f t="shared" si="1"/>
        <v>39</v>
      </c>
      <c r="F19" s="11">
        <f>ROUND(3.9349*'Consum apa'!F28,2)</f>
        <v>0</v>
      </c>
      <c r="G19" s="11"/>
      <c r="H19" s="11">
        <f>ROUND(2.261*'Consum apa'!$F28,2)</f>
        <v>0</v>
      </c>
      <c r="I19" s="11">
        <v>3</v>
      </c>
      <c r="J19" s="11">
        <v>18.34</v>
      </c>
      <c r="K19" s="11"/>
      <c r="L19" s="11">
        <f t="shared" si="2"/>
        <v>34.049999999999997</v>
      </c>
      <c r="M19" s="11">
        <v>0.5</v>
      </c>
      <c r="N19" s="11"/>
      <c r="O19" s="11">
        <f t="shared" si="3"/>
        <v>97.64</v>
      </c>
    </row>
    <row r="20" spans="1:15">
      <c r="A20" s="11">
        <v>2020</v>
      </c>
      <c r="B20" s="11">
        <v>1</v>
      </c>
      <c r="C20" s="11">
        <v>5</v>
      </c>
      <c r="D20" s="11">
        <f t="shared" si="0"/>
        <v>2.75</v>
      </c>
      <c r="E20" s="11">
        <f t="shared" si="1"/>
        <v>39</v>
      </c>
      <c r="F20" s="11">
        <f>ROUND(3.9349*'Consum apa'!F29,2)</f>
        <v>0</v>
      </c>
      <c r="G20" s="11"/>
      <c r="H20" s="11">
        <f>ROUND(2.261*'Consum apa'!$F29,2)</f>
        <v>0</v>
      </c>
      <c r="I20" s="11">
        <v>3</v>
      </c>
      <c r="J20" s="11">
        <v>18.34</v>
      </c>
      <c r="K20" s="11"/>
      <c r="L20" s="11">
        <f t="shared" si="2"/>
        <v>34.049999999999997</v>
      </c>
      <c r="M20" s="11">
        <v>0.5</v>
      </c>
      <c r="N20" s="11"/>
      <c r="O20" s="11">
        <f t="shared" si="3"/>
        <v>97.64</v>
      </c>
    </row>
  </sheetData>
  <mergeCells count="15">
    <mergeCell ref="A8:A19"/>
    <mergeCell ref="A1:A2"/>
    <mergeCell ref="F1:H1"/>
    <mergeCell ref="N1:N2"/>
    <mergeCell ref="O1:O2"/>
    <mergeCell ref="M1:M2"/>
    <mergeCell ref="L1:L2"/>
    <mergeCell ref="K1:K2"/>
    <mergeCell ref="J1:J2"/>
    <mergeCell ref="I1:I2"/>
    <mergeCell ref="E1:E2"/>
    <mergeCell ref="D1:D2"/>
    <mergeCell ref="C1:C2"/>
    <mergeCell ref="B1:B2"/>
    <mergeCell ref="A3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8"/>
  <sheetViews>
    <sheetView tabSelected="1" workbookViewId="0">
      <pane ySplit="3" topLeftCell="A4" activePane="bottomLeft" state="frozen"/>
      <selection pane="bottomLeft" activeCell="U5" sqref="U5"/>
    </sheetView>
  </sheetViews>
  <sheetFormatPr defaultRowHeight="15"/>
  <cols>
    <col min="1" max="1" width="5" style="1" bestFit="1" customWidth="1"/>
    <col min="2" max="2" width="11.42578125" style="1" bestFit="1" customWidth="1"/>
    <col min="3" max="3" width="7.140625" style="1" bestFit="1" customWidth="1"/>
    <col min="4" max="4" width="6.140625" style="1" bestFit="1" customWidth="1"/>
    <col min="5" max="6" width="7.140625" style="1" bestFit="1" customWidth="1"/>
    <col min="7" max="7" width="9.42578125" style="1" bestFit="1" customWidth="1"/>
    <col min="8" max="8" width="9.5703125" style="1" customWidth="1"/>
    <col min="9" max="9" width="8.42578125" style="1" bestFit="1" customWidth="1"/>
    <col min="10" max="10" width="6.140625" style="1" bestFit="1" customWidth="1"/>
    <col min="11" max="11" width="5.140625" style="1" bestFit="1" customWidth="1"/>
    <col min="12" max="12" width="9" style="1" bestFit="1" customWidth="1"/>
    <col min="13" max="13" width="7.7109375" style="1" bestFit="1" customWidth="1"/>
    <col min="14" max="14" width="8.85546875" style="1" bestFit="1" customWidth="1"/>
    <col min="15" max="15" width="9.140625" style="1" bestFit="1" customWidth="1"/>
    <col min="16" max="16" width="9.28515625" style="7" bestFit="1" customWidth="1"/>
    <col min="17" max="17" width="9.140625" style="1"/>
    <col min="18" max="18" width="6" style="1" bestFit="1" customWidth="1"/>
    <col min="19" max="16384" width="9.140625" style="1"/>
  </cols>
  <sheetData>
    <row r="1" spans="1:20">
      <c r="A1" s="19" t="s">
        <v>5</v>
      </c>
      <c r="B1" s="19" t="s">
        <v>0</v>
      </c>
      <c r="C1" s="19" t="s">
        <v>15</v>
      </c>
      <c r="D1" s="19" t="s">
        <v>13</v>
      </c>
      <c r="E1" s="19" t="s">
        <v>14</v>
      </c>
      <c r="F1" s="19" t="s">
        <v>36</v>
      </c>
      <c r="G1" s="19" t="s">
        <v>7</v>
      </c>
      <c r="H1" s="22" t="s">
        <v>17</v>
      </c>
      <c r="I1" s="19" t="s">
        <v>8</v>
      </c>
      <c r="J1" s="19" t="s">
        <v>58</v>
      </c>
      <c r="K1" s="19"/>
      <c r="L1" s="19" t="s">
        <v>32</v>
      </c>
      <c r="M1" s="19"/>
      <c r="N1" s="19" t="s">
        <v>35</v>
      </c>
      <c r="O1" s="19" t="s">
        <v>2</v>
      </c>
      <c r="P1" s="30" t="s">
        <v>31</v>
      </c>
      <c r="Q1" s="22" t="s">
        <v>59</v>
      </c>
    </row>
    <row r="2" spans="1:20">
      <c r="A2" s="19"/>
      <c r="B2" s="19"/>
      <c r="C2" s="19"/>
      <c r="D2" s="19"/>
      <c r="E2" s="19"/>
      <c r="F2" s="19"/>
      <c r="G2" s="19"/>
      <c r="H2" s="29"/>
      <c r="I2" s="19"/>
      <c r="J2" s="19"/>
      <c r="K2" s="19"/>
      <c r="L2" s="19"/>
      <c r="M2" s="19"/>
      <c r="N2" s="19"/>
      <c r="O2" s="19"/>
      <c r="P2" s="30"/>
      <c r="Q2" s="29"/>
    </row>
    <row r="3" spans="1:20">
      <c r="A3" s="19"/>
      <c r="B3" s="19"/>
      <c r="C3" s="19"/>
      <c r="D3" s="19"/>
      <c r="E3" s="19"/>
      <c r="F3" s="19"/>
      <c r="G3" s="19"/>
      <c r="H3" s="23"/>
      <c r="I3" s="19"/>
      <c r="J3" s="1" t="s">
        <v>9</v>
      </c>
      <c r="K3" s="1" t="s">
        <v>10</v>
      </c>
      <c r="L3" s="1" t="s">
        <v>30</v>
      </c>
      <c r="M3" s="1" t="s">
        <v>29</v>
      </c>
      <c r="N3" s="19"/>
      <c r="O3" s="19"/>
      <c r="P3" s="30"/>
      <c r="Q3" s="23"/>
    </row>
    <row r="4" spans="1:20">
      <c r="A4" s="1">
        <v>2017</v>
      </c>
      <c r="B4" s="1" t="s">
        <v>12</v>
      </c>
      <c r="C4" s="15">
        <v>0</v>
      </c>
      <c r="D4" s="15">
        <v>0</v>
      </c>
      <c r="E4" s="15">
        <v>0</v>
      </c>
      <c r="F4" s="15">
        <v>0</v>
      </c>
      <c r="G4" s="15">
        <v>70</v>
      </c>
      <c r="H4" s="18">
        <v>400</v>
      </c>
      <c r="I4" s="15">
        <v>300</v>
      </c>
      <c r="J4" s="18">
        <v>1000</v>
      </c>
      <c r="K4" s="18">
        <v>0</v>
      </c>
      <c r="L4" s="15">
        <v>1814.03</v>
      </c>
      <c r="M4" s="15">
        <v>1753.6</v>
      </c>
      <c r="N4" s="15">
        <v>0</v>
      </c>
      <c r="O4" s="16">
        <f>SUM(C4:F4)/2+SUM(G4:M4)</f>
        <v>5337.6299999999992</v>
      </c>
      <c r="P4" s="16">
        <f>7095-O4</f>
        <v>1757.3700000000008</v>
      </c>
    </row>
    <row r="5" spans="1:20">
      <c r="A5" s="19">
        <v>2018</v>
      </c>
      <c r="B5" s="1" t="s">
        <v>11</v>
      </c>
      <c r="C5" s="15">
        <v>0</v>
      </c>
      <c r="D5" s="15">
        <v>44</v>
      </c>
      <c r="E5" s="15">
        <v>40</v>
      </c>
      <c r="F5" s="15">
        <v>293</v>
      </c>
      <c r="G5" s="15">
        <v>70</v>
      </c>
      <c r="H5" s="18">
        <v>400</v>
      </c>
      <c r="I5" s="15">
        <v>300</v>
      </c>
      <c r="J5" s="18">
        <v>1200</v>
      </c>
      <c r="K5" s="18">
        <v>0</v>
      </c>
      <c r="L5" s="15">
        <v>1814.03</v>
      </c>
      <c r="M5" s="15">
        <v>1753.6</v>
      </c>
      <c r="N5" s="15">
        <v>82.86</v>
      </c>
      <c r="O5" s="16">
        <f t="shared" ref="O5:O28" si="0">SUM(C5:F5)/2+SUM(G5:N5)</f>
        <v>5808.9899999999989</v>
      </c>
      <c r="P5" s="16">
        <f>7095-O5</f>
        <v>1286.0100000000011</v>
      </c>
      <c r="T5" s="1">
        <v>3560</v>
      </c>
    </row>
    <row r="6" spans="1:20">
      <c r="A6" s="19"/>
      <c r="B6" s="1" t="s">
        <v>16</v>
      </c>
      <c r="C6" s="15">
        <v>160</v>
      </c>
      <c r="D6" s="15">
        <v>40.15</v>
      </c>
      <c r="E6" s="15">
        <f>'Consum curent'!H5</f>
        <v>96</v>
      </c>
      <c r="F6" s="15">
        <f>'Consum apa'!I5</f>
        <v>287.69</v>
      </c>
      <c r="G6" s="15">
        <v>70</v>
      </c>
      <c r="H6" s="18">
        <v>400</v>
      </c>
      <c r="I6" s="15">
        <f>Drumuri!B2</f>
        <v>298.55999999999995</v>
      </c>
      <c r="J6" s="18">
        <v>1000</v>
      </c>
      <c r="K6" s="18">
        <v>0</v>
      </c>
      <c r="L6" s="15">
        <v>1814.03</v>
      </c>
      <c r="M6" s="15">
        <v>1753.6</v>
      </c>
      <c r="N6" s="15">
        <v>83.56</v>
      </c>
      <c r="O6" s="16">
        <f t="shared" si="0"/>
        <v>5711.670000000001</v>
      </c>
      <c r="P6" s="16">
        <f>7074-O6</f>
        <v>1362.329999999999</v>
      </c>
      <c r="T6" s="1">
        <v>210</v>
      </c>
    </row>
    <row r="7" spans="1:20">
      <c r="A7" s="19"/>
      <c r="B7" s="1" t="s">
        <v>18</v>
      </c>
      <c r="C7" s="15">
        <v>223</v>
      </c>
      <c r="D7" s="15">
        <v>40.700000000000003</v>
      </c>
      <c r="E7" s="15">
        <f>'Consum curent'!H6</f>
        <v>105</v>
      </c>
      <c r="F7" s="15">
        <f>'Consum apa'!I6</f>
        <v>504.6</v>
      </c>
      <c r="G7" s="15">
        <v>70</v>
      </c>
      <c r="H7" s="18">
        <v>400</v>
      </c>
      <c r="I7" s="15">
        <f>Drumuri!D2</f>
        <v>0</v>
      </c>
      <c r="J7" s="18">
        <v>1560</v>
      </c>
      <c r="K7" s="18">
        <v>0</v>
      </c>
      <c r="L7" s="15">
        <v>1814.03</v>
      </c>
      <c r="M7" s="15">
        <v>1753.6</v>
      </c>
      <c r="N7" s="15">
        <v>83.15</v>
      </c>
      <c r="O7" s="16">
        <f t="shared" si="0"/>
        <v>6117.4299999999985</v>
      </c>
      <c r="P7" s="16">
        <f>7069-O7</f>
        <v>951.57000000000153</v>
      </c>
      <c r="T7" s="1">
        <v>63</v>
      </c>
    </row>
    <row r="8" spans="1:20">
      <c r="A8" s="19"/>
      <c r="B8" s="1" t="s">
        <v>19</v>
      </c>
      <c r="C8" s="15">
        <v>208</v>
      </c>
      <c r="D8" s="15">
        <v>64</v>
      </c>
      <c r="E8" s="15">
        <f>'Consum curent'!H7</f>
        <v>95</v>
      </c>
      <c r="F8" s="15">
        <f>'Consum apa'!I7</f>
        <v>445</v>
      </c>
      <c r="G8" s="15">
        <v>70</v>
      </c>
      <c r="H8" s="18">
        <v>400</v>
      </c>
      <c r="I8" s="15">
        <v>0</v>
      </c>
      <c r="J8" s="18">
        <v>1500</v>
      </c>
      <c r="K8" s="18">
        <v>0</v>
      </c>
      <c r="L8" s="15">
        <v>1814.03</v>
      </c>
      <c r="M8" s="15">
        <v>1753.6</v>
      </c>
      <c r="N8" s="15">
        <v>82.23</v>
      </c>
      <c r="O8" s="16">
        <f t="shared" si="0"/>
        <v>6025.8599999999988</v>
      </c>
      <c r="P8" s="16">
        <f>7070-O8</f>
        <v>1044.1400000000012</v>
      </c>
      <c r="Q8" s="1">
        <v>19</v>
      </c>
      <c r="T8" s="1">
        <v>97</v>
      </c>
    </row>
    <row r="9" spans="1:20">
      <c r="A9" s="19"/>
      <c r="B9" s="1" t="s">
        <v>20</v>
      </c>
      <c r="C9" s="15">
        <v>240</v>
      </c>
      <c r="D9" s="15">
        <v>63</v>
      </c>
      <c r="E9" s="15">
        <v>80</v>
      </c>
      <c r="F9" s="15">
        <v>128</v>
      </c>
      <c r="G9" s="15">
        <v>70</v>
      </c>
      <c r="H9" s="18">
        <v>400</v>
      </c>
      <c r="I9" s="15">
        <v>0</v>
      </c>
      <c r="J9" s="18">
        <v>1500</v>
      </c>
      <c r="K9" s="18">
        <v>0</v>
      </c>
      <c r="L9" s="15">
        <v>1814.03</v>
      </c>
      <c r="M9" s="15">
        <v>1753.6</v>
      </c>
      <c r="N9" s="15">
        <v>83.15</v>
      </c>
      <c r="O9" s="16">
        <f>SUM(C9:N9)</f>
        <v>6131.7799999999988</v>
      </c>
      <c r="P9" s="16">
        <f>(7100-0.1*9.57*Q8)-O9</f>
        <v>950.03700000000117</v>
      </c>
      <c r="Q9" s="1">
        <v>21</v>
      </c>
      <c r="T9" s="1">
        <v>257</v>
      </c>
    </row>
    <row r="10" spans="1:20">
      <c r="A10" s="19"/>
      <c r="B10" s="1" t="s">
        <v>21</v>
      </c>
      <c r="C10" s="15">
        <v>151</v>
      </c>
      <c r="D10" s="15">
        <v>63</v>
      </c>
      <c r="E10" s="15">
        <v>117.13</v>
      </c>
      <c r="F10" s="15">
        <v>39</v>
      </c>
      <c r="G10" s="15">
        <v>35</v>
      </c>
      <c r="H10" s="18">
        <v>400</v>
      </c>
      <c r="I10" s="15">
        <v>0</v>
      </c>
      <c r="J10" s="18">
        <v>1800</v>
      </c>
      <c r="K10" s="18">
        <v>0</v>
      </c>
      <c r="L10" s="15">
        <v>1814.03</v>
      </c>
      <c r="M10" s="15">
        <v>1753.6</v>
      </c>
      <c r="N10" s="15">
        <v>83.17</v>
      </c>
      <c r="O10" s="16">
        <f>SUM(C10:N10)</f>
        <v>6255.93</v>
      </c>
      <c r="P10" s="16">
        <f>(7100-0.1*9.57*Q9)-O10</f>
        <v>823.97299999999996</v>
      </c>
      <c r="Q10" s="1">
        <v>19</v>
      </c>
      <c r="T10" s="1">
        <v>83</v>
      </c>
    </row>
    <row r="11" spans="1:20">
      <c r="A11" s="19"/>
      <c r="B11" s="1" t="s">
        <v>22</v>
      </c>
      <c r="C11" s="15">
        <v>163</v>
      </c>
      <c r="D11" s="15">
        <v>63</v>
      </c>
      <c r="E11" s="15">
        <v>35</v>
      </c>
      <c r="F11" s="15">
        <v>39</v>
      </c>
      <c r="G11" s="15">
        <v>70</v>
      </c>
      <c r="H11" s="18">
        <v>400</v>
      </c>
      <c r="I11" s="15">
        <v>0</v>
      </c>
      <c r="J11" s="18">
        <v>2250</v>
      </c>
      <c r="K11" s="18">
        <v>0</v>
      </c>
      <c r="L11" s="15">
        <v>1814.03</v>
      </c>
      <c r="M11" s="15">
        <v>1753.6</v>
      </c>
      <c r="N11" s="15">
        <v>82.98</v>
      </c>
      <c r="O11" s="16">
        <f t="shared" ref="O11:O16" si="1">SUM(C11:N11)</f>
        <v>6670.6099999999988</v>
      </c>
      <c r="P11" s="16">
        <f t="shared" ref="P11:P16" si="2">(7100-0.1*9.57*Q10)-O11</f>
        <v>411.20700000000124</v>
      </c>
      <c r="Q11" s="1">
        <v>15</v>
      </c>
      <c r="T11" s="1">
        <v>2600</v>
      </c>
    </row>
    <row r="12" spans="1:20">
      <c r="A12" s="19"/>
      <c r="B12" s="1" t="s">
        <v>23</v>
      </c>
      <c r="C12" s="15">
        <v>187</v>
      </c>
      <c r="D12" s="15">
        <v>63</v>
      </c>
      <c r="E12" s="15">
        <v>57.26</v>
      </c>
      <c r="F12" s="15">
        <f>'Consum apa'!I11</f>
        <v>23.74</v>
      </c>
      <c r="G12" s="15">
        <v>70</v>
      </c>
      <c r="H12" s="18">
        <v>400</v>
      </c>
      <c r="I12" s="15">
        <v>0</v>
      </c>
      <c r="J12" s="18">
        <v>1700</v>
      </c>
      <c r="K12" s="18">
        <v>0</v>
      </c>
      <c r="L12" s="15">
        <v>1814.03</v>
      </c>
      <c r="M12" s="15">
        <v>1753.6</v>
      </c>
      <c r="N12" s="15">
        <v>83.17</v>
      </c>
      <c r="O12" s="15">
        <f t="shared" si="1"/>
        <v>6151.7999999999993</v>
      </c>
      <c r="P12" s="16">
        <f t="shared" si="2"/>
        <v>933.84500000000116</v>
      </c>
      <c r="Q12" s="1">
        <v>22</v>
      </c>
      <c r="T12" s="1">
        <f>SUM(T5:T11)</f>
        <v>6870</v>
      </c>
    </row>
    <row r="13" spans="1:20">
      <c r="A13" s="19"/>
      <c r="B13" s="1" t="s">
        <v>26</v>
      </c>
      <c r="C13" s="15">
        <v>162</v>
      </c>
      <c r="D13" s="15">
        <v>63</v>
      </c>
      <c r="E13" s="15">
        <v>71.58</v>
      </c>
      <c r="F13" s="15">
        <v>28.19</v>
      </c>
      <c r="G13" s="16">
        <v>0</v>
      </c>
      <c r="H13" s="13">
        <v>0</v>
      </c>
      <c r="I13" s="16">
        <v>0</v>
      </c>
      <c r="J13" s="18">
        <v>2400</v>
      </c>
      <c r="K13" s="13">
        <v>0</v>
      </c>
      <c r="L13" s="15">
        <v>1814.03</v>
      </c>
      <c r="M13" s="15">
        <v>1753.6</v>
      </c>
      <c r="N13" s="17">
        <v>82.62</v>
      </c>
      <c r="O13" s="16">
        <f t="shared" si="1"/>
        <v>6375.0199999999995</v>
      </c>
      <c r="P13" s="16">
        <f t="shared" si="2"/>
        <v>703.92600000000039</v>
      </c>
      <c r="Q13" s="1">
        <v>0</v>
      </c>
    </row>
    <row r="14" spans="1:20">
      <c r="A14" s="19"/>
      <c r="B14" s="1" t="s">
        <v>25</v>
      </c>
      <c r="C14" s="15">
        <f>Intretinere!O3</f>
        <v>198.64</v>
      </c>
      <c r="D14" s="15">
        <v>63</v>
      </c>
      <c r="E14" s="15">
        <v>101.96</v>
      </c>
      <c r="F14" s="15">
        <v>64</v>
      </c>
      <c r="G14" s="16">
        <v>70</v>
      </c>
      <c r="H14" s="13">
        <v>400</v>
      </c>
      <c r="I14" s="16">
        <v>0</v>
      </c>
      <c r="J14" s="18">
        <v>750</v>
      </c>
      <c r="K14" s="13">
        <v>0</v>
      </c>
      <c r="L14" s="15">
        <v>1814.03</v>
      </c>
      <c r="M14" s="15">
        <v>1753.6</v>
      </c>
      <c r="N14" s="15" t="s">
        <v>72</v>
      </c>
      <c r="O14" s="16">
        <f t="shared" si="1"/>
        <v>5215.2299999999996</v>
      </c>
      <c r="P14" s="16">
        <f t="shared" si="2"/>
        <v>1884.7700000000004</v>
      </c>
      <c r="Q14" s="1">
        <v>23</v>
      </c>
    </row>
    <row r="15" spans="1:20">
      <c r="A15" s="19"/>
      <c r="B15" s="1" t="s">
        <v>24</v>
      </c>
      <c r="C15" s="16">
        <v>210</v>
      </c>
      <c r="D15" s="16">
        <v>63</v>
      </c>
      <c r="E15" s="16">
        <v>97</v>
      </c>
      <c r="F15" s="16">
        <v>256.27</v>
      </c>
      <c r="G15" s="16">
        <v>70</v>
      </c>
      <c r="H15" s="13">
        <v>0</v>
      </c>
      <c r="I15" s="16">
        <v>0</v>
      </c>
      <c r="J15" s="13">
        <v>2600</v>
      </c>
      <c r="K15" s="13">
        <v>0</v>
      </c>
      <c r="L15" s="16">
        <v>1814.03</v>
      </c>
      <c r="M15" s="16">
        <v>1753.6</v>
      </c>
      <c r="N15" s="16">
        <v>83.25</v>
      </c>
      <c r="O15" s="16">
        <f t="shared" si="1"/>
        <v>6947.15</v>
      </c>
      <c r="P15" s="16">
        <f t="shared" si="2"/>
        <v>130.83899999999994</v>
      </c>
    </row>
    <row r="16" spans="1:20">
      <c r="A16" s="19"/>
      <c r="B16" s="1" t="s">
        <v>12</v>
      </c>
      <c r="C16" s="16">
        <f>Intretinere!O5</f>
        <v>165.79000000000002</v>
      </c>
      <c r="D16" s="16">
        <v>63</v>
      </c>
      <c r="E16" s="16">
        <f>'Consum curent'!H15</f>
        <v>0</v>
      </c>
      <c r="F16" s="16">
        <f>'Consum apa'!I15</f>
        <v>0</v>
      </c>
      <c r="G16" s="16">
        <v>70</v>
      </c>
      <c r="H16" s="13"/>
      <c r="I16" s="16"/>
      <c r="J16" s="13"/>
      <c r="K16" s="13"/>
      <c r="L16" s="16">
        <v>1814.03</v>
      </c>
      <c r="M16" s="16">
        <v>1753.6</v>
      </c>
      <c r="N16" s="16"/>
      <c r="O16" s="16">
        <f t="shared" si="1"/>
        <v>3866.42</v>
      </c>
      <c r="P16" s="16">
        <f t="shared" si="2"/>
        <v>3233.58</v>
      </c>
    </row>
    <row r="17" spans="1:16">
      <c r="A17" s="19">
        <v>2019</v>
      </c>
      <c r="B17" s="1" t="s">
        <v>11</v>
      </c>
      <c r="C17" s="16">
        <f>Intretinere!O6</f>
        <v>97.64</v>
      </c>
      <c r="D17" s="16"/>
      <c r="E17" s="16"/>
      <c r="F17" s="16"/>
      <c r="G17" s="16"/>
      <c r="H17" s="16"/>
      <c r="I17" s="16"/>
      <c r="J17" s="13"/>
      <c r="K17" s="13"/>
      <c r="L17" s="16">
        <v>1814.03</v>
      </c>
      <c r="M17" s="16">
        <v>1753.6</v>
      </c>
      <c r="N17" s="16"/>
      <c r="O17" s="16">
        <f t="shared" si="0"/>
        <v>3616.4500000000003</v>
      </c>
      <c r="P17" s="16"/>
    </row>
    <row r="18" spans="1:16">
      <c r="A18" s="19"/>
      <c r="B18" s="1" t="s">
        <v>16</v>
      </c>
      <c r="C18" s="16">
        <f>Intretinere!O7</f>
        <v>97.64</v>
      </c>
      <c r="D18" s="16"/>
      <c r="E18" s="16"/>
      <c r="F18" s="16"/>
      <c r="G18" s="16"/>
      <c r="H18" s="16"/>
      <c r="I18" s="16"/>
      <c r="J18" s="13"/>
      <c r="K18" s="13"/>
      <c r="L18" s="16">
        <v>1814.03</v>
      </c>
      <c r="M18" s="16">
        <v>1753.6</v>
      </c>
      <c r="N18" s="16"/>
      <c r="O18" s="16">
        <f t="shared" si="0"/>
        <v>3616.4500000000003</v>
      </c>
      <c r="P18" s="16"/>
    </row>
    <row r="19" spans="1:16">
      <c r="A19" s="19"/>
      <c r="B19" s="1" t="s">
        <v>18</v>
      </c>
      <c r="C19" s="16">
        <f>Intretinere!O8</f>
        <v>97.64</v>
      </c>
      <c r="D19" s="16"/>
      <c r="E19" s="16"/>
      <c r="F19" s="16"/>
      <c r="G19" s="16"/>
      <c r="H19" s="16"/>
      <c r="I19" s="16"/>
      <c r="J19" s="13"/>
      <c r="K19" s="13"/>
      <c r="L19" s="16">
        <v>1814.03</v>
      </c>
      <c r="M19" s="16">
        <v>1753.6</v>
      </c>
      <c r="N19" s="16"/>
      <c r="O19" s="16">
        <f t="shared" si="0"/>
        <v>3616.4500000000003</v>
      </c>
      <c r="P19" s="16"/>
    </row>
    <row r="20" spans="1:16">
      <c r="A20" s="19"/>
      <c r="B20" s="1" t="s">
        <v>19</v>
      </c>
      <c r="C20" s="16">
        <f>Intretinere!O9</f>
        <v>97.64</v>
      </c>
      <c r="D20" s="16"/>
      <c r="E20" s="16"/>
      <c r="F20" s="16"/>
      <c r="G20" s="16"/>
      <c r="H20" s="16"/>
      <c r="I20" s="16"/>
      <c r="J20" s="13"/>
      <c r="K20" s="13"/>
      <c r="L20" s="16">
        <v>1814.03</v>
      </c>
      <c r="M20" s="16">
        <v>1753.6</v>
      </c>
      <c r="N20" s="16"/>
      <c r="O20" s="16">
        <f t="shared" si="0"/>
        <v>3616.4500000000003</v>
      </c>
      <c r="P20" s="16"/>
    </row>
    <row r="21" spans="1:16">
      <c r="A21" s="19"/>
      <c r="B21" s="1" t="s">
        <v>20</v>
      </c>
      <c r="C21" s="16">
        <f>Intretinere!O10</f>
        <v>97.64</v>
      </c>
      <c r="D21" s="16"/>
      <c r="E21" s="16"/>
      <c r="F21" s="16"/>
      <c r="G21" s="16"/>
      <c r="H21" s="16"/>
      <c r="I21" s="16"/>
      <c r="J21" s="13"/>
      <c r="K21" s="13"/>
      <c r="L21" s="16">
        <v>1814.03</v>
      </c>
      <c r="M21" s="16">
        <v>1753.6</v>
      </c>
      <c r="N21" s="16"/>
      <c r="O21" s="16">
        <f t="shared" si="0"/>
        <v>3616.4500000000003</v>
      </c>
      <c r="P21" s="16"/>
    </row>
    <row r="22" spans="1:16">
      <c r="A22" s="19"/>
      <c r="B22" s="1" t="s">
        <v>21</v>
      </c>
      <c r="C22" s="16">
        <f>Intretinere!O11</f>
        <v>97.64</v>
      </c>
      <c r="D22" s="16"/>
      <c r="E22" s="16"/>
      <c r="F22" s="16"/>
      <c r="G22" s="16"/>
      <c r="H22" s="16"/>
      <c r="I22" s="16"/>
      <c r="J22" s="13"/>
      <c r="K22" s="13"/>
      <c r="L22" s="16">
        <v>1814.03</v>
      </c>
      <c r="M22" s="16">
        <v>1753.6</v>
      </c>
      <c r="N22" s="16"/>
      <c r="O22" s="16">
        <f t="shared" si="0"/>
        <v>3616.4500000000003</v>
      </c>
      <c r="P22" s="16"/>
    </row>
    <row r="23" spans="1:16">
      <c r="A23" s="19"/>
      <c r="B23" s="1" t="s">
        <v>22</v>
      </c>
      <c r="C23" s="16">
        <f>Intretinere!O12</f>
        <v>97.64</v>
      </c>
      <c r="D23" s="16"/>
      <c r="E23" s="16"/>
      <c r="F23" s="16"/>
      <c r="G23" s="16"/>
      <c r="H23" s="16"/>
      <c r="I23" s="16"/>
      <c r="J23" s="13"/>
      <c r="K23" s="13"/>
      <c r="L23" s="16">
        <v>1814.03</v>
      </c>
      <c r="M23" s="16">
        <v>1753.6</v>
      </c>
      <c r="N23" s="16"/>
      <c r="O23" s="16">
        <f t="shared" si="0"/>
        <v>3616.4500000000003</v>
      </c>
      <c r="P23" s="16"/>
    </row>
    <row r="24" spans="1:16">
      <c r="A24" s="19"/>
      <c r="B24" s="1" t="s">
        <v>23</v>
      </c>
      <c r="C24" s="16">
        <f>Intretinere!O13</f>
        <v>97.64</v>
      </c>
      <c r="D24" s="16"/>
      <c r="E24" s="16"/>
      <c r="F24" s="16"/>
      <c r="G24" s="16"/>
      <c r="H24" s="16"/>
      <c r="I24" s="16"/>
      <c r="J24" s="13"/>
      <c r="K24" s="13"/>
      <c r="L24" s="16">
        <v>1814.03</v>
      </c>
      <c r="M24" s="16">
        <v>1753.6</v>
      </c>
      <c r="N24" s="16"/>
      <c r="O24" s="16">
        <f t="shared" si="0"/>
        <v>3616.4500000000003</v>
      </c>
      <c r="P24" s="16"/>
    </row>
    <row r="25" spans="1:16">
      <c r="A25" s="19"/>
      <c r="B25" s="1" t="s">
        <v>26</v>
      </c>
      <c r="C25" s="16">
        <f>Intretinere!O14</f>
        <v>97.64</v>
      </c>
      <c r="D25" s="16"/>
      <c r="E25" s="16"/>
      <c r="F25" s="16"/>
      <c r="G25" s="16"/>
      <c r="H25" s="16"/>
      <c r="I25" s="16"/>
      <c r="J25" s="13"/>
      <c r="K25" s="13"/>
      <c r="L25" s="16">
        <v>1814.03</v>
      </c>
      <c r="M25" s="16">
        <v>1753.6</v>
      </c>
      <c r="N25" s="16"/>
      <c r="O25" s="16">
        <f t="shared" si="0"/>
        <v>3616.4500000000003</v>
      </c>
      <c r="P25" s="16"/>
    </row>
    <row r="26" spans="1:16">
      <c r="A26" s="19"/>
      <c r="B26" s="1" t="s">
        <v>25</v>
      </c>
      <c r="C26" s="16">
        <f>Intretinere!O15</f>
        <v>97.64</v>
      </c>
      <c r="D26" s="16"/>
      <c r="E26" s="16"/>
      <c r="F26" s="16"/>
      <c r="G26" s="16"/>
      <c r="H26" s="16"/>
      <c r="I26" s="16"/>
      <c r="J26" s="13"/>
      <c r="K26" s="13"/>
      <c r="L26" s="16">
        <v>1814.03</v>
      </c>
      <c r="M26" s="16">
        <v>1753.6</v>
      </c>
      <c r="N26" s="16"/>
      <c r="O26" s="16">
        <f t="shared" si="0"/>
        <v>3616.4500000000003</v>
      </c>
      <c r="P26" s="16"/>
    </row>
    <row r="27" spans="1:16">
      <c r="A27" s="19"/>
      <c r="B27" s="1" t="s">
        <v>24</v>
      </c>
      <c r="C27" s="16">
        <f>Intretinere!O16</f>
        <v>97.64</v>
      </c>
      <c r="D27" s="16"/>
      <c r="E27" s="16"/>
      <c r="F27" s="16"/>
      <c r="G27" s="16"/>
      <c r="H27" s="16"/>
      <c r="I27" s="16"/>
      <c r="J27" s="13"/>
      <c r="K27" s="13"/>
      <c r="L27" s="16">
        <v>1814.03</v>
      </c>
      <c r="M27" s="16">
        <v>1753.6</v>
      </c>
      <c r="N27" s="16"/>
      <c r="O27" s="16">
        <f t="shared" si="0"/>
        <v>3616.4500000000003</v>
      </c>
      <c r="P27" s="16"/>
    </row>
    <row r="28" spans="1:16">
      <c r="A28" s="19"/>
      <c r="B28" s="1" t="s">
        <v>12</v>
      </c>
      <c r="C28" s="16">
        <f>Intretinere!O17</f>
        <v>97.64</v>
      </c>
      <c r="D28" s="16"/>
      <c r="E28" s="16"/>
      <c r="F28" s="16"/>
      <c r="G28" s="16"/>
      <c r="H28" s="16"/>
      <c r="I28" s="16"/>
      <c r="J28" s="13"/>
      <c r="K28" s="13"/>
      <c r="L28" s="16">
        <v>1814.03</v>
      </c>
      <c r="M28" s="16">
        <v>1753.6</v>
      </c>
      <c r="N28" s="16"/>
      <c r="O28" s="16">
        <f t="shared" si="0"/>
        <v>3616.4500000000003</v>
      </c>
      <c r="P28" s="16"/>
    </row>
  </sheetData>
  <mergeCells count="17">
    <mergeCell ref="Q1:Q3"/>
    <mergeCell ref="P1:P3"/>
    <mergeCell ref="I1:I3"/>
    <mergeCell ref="O1:O3"/>
    <mergeCell ref="J1:K2"/>
    <mergeCell ref="L1:M2"/>
    <mergeCell ref="N1:N3"/>
    <mergeCell ref="A17:A28"/>
    <mergeCell ref="E1:E3"/>
    <mergeCell ref="G1:G3"/>
    <mergeCell ref="A5:A16"/>
    <mergeCell ref="H1:H3"/>
    <mergeCell ref="A1:A3"/>
    <mergeCell ref="B1:B3"/>
    <mergeCell ref="C1:C3"/>
    <mergeCell ref="D1:D3"/>
    <mergeCell ref="F1:F3"/>
  </mergeCells>
  <pageMargins left="0.7" right="0.7" top="0.75" bottom="0.75" header="0.3" footer="0.3"/>
  <pageSetup paperSize="9" orientation="portrait" horizontalDpi="300" verticalDpi="300" r:id="rId1"/>
  <ignoredErrors>
    <ignoredError sqref="P6 O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Telekom TV</vt:lpstr>
      <vt:lpstr>Consum apa</vt:lpstr>
      <vt:lpstr>Consum curent</vt:lpstr>
      <vt:lpstr>Drumuri</vt:lpstr>
      <vt:lpstr>Intretinere</vt:lpstr>
      <vt:lpstr>Total cheltuieli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 Bogdan Sirbu</dc:creator>
  <cp:lastModifiedBy>FCSBogdan</cp:lastModifiedBy>
  <cp:lastPrinted>2014-06-30T19:08:00Z</cp:lastPrinted>
  <dcterms:created xsi:type="dcterms:W3CDTF">2014-01-24T15:44:52Z</dcterms:created>
  <dcterms:modified xsi:type="dcterms:W3CDTF">2018-11-13T14:52:19Z</dcterms:modified>
</cp:coreProperties>
</file>