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120" windowWidth="29040" windowHeight="15840" firstSheet="7" activeTab="14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  <sheet name="Лист4" sheetId="13" r:id="rId13"/>
    <sheet name="Лист5" sheetId="14" r:id="rId14"/>
    <sheet name="Проверка энтальпии" sheetId="15" r:id="rId15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4" i="15" l="1"/>
  <c r="AC24" i="15"/>
  <c r="AD24" i="15"/>
  <c r="AE24" i="15"/>
  <c r="AF24" i="15"/>
  <c r="AG24" i="15"/>
  <c r="AH24" i="15"/>
  <c r="AI24" i="15"/>
  <c r="AJ24" i="15"/>
  <c r="AK24" i="15"/>
  <c r="AL24" i="15"/>
  <c r="AA24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B15" i="15"/>
  <c r="AC15" i="15"/>
  <c r="AD15" i="15"/>
  <c r="AE15" i="15"/>
  <c r="AF15" i="15"/>
  <c r="AG15" i="15"/>
  <c r="AH15" i="15"/>
  <c r="AI15" i="15"/>
  <c r="AJ15" i="15"/>
  <c r="AK15" i="15"/>
  <c r="AL15" i="15"/>
  <c r="AA15" i="15"/>
  <c r="AB12" i="15"/>
  <c r="AC12" i="15"/>
  <c r="AD12" i="15"/>
  <c r="AE12" i="15"/>
  <c r="AF12" i="15"/>
  <c r="AG12" i="15"/>
  <c r="AH12" i="15"/>
  <c r="AI12" i="15"/>
  <c r="AJ12" i="15"/>
  <c r="AK12" i="15"/>
  <c r="AL12" i="15"/>
  <c r="AA12" i="15"/>
  <c r="AB3" i="15"/>
  <c r="AC3" i="15"/>
  <c r="AD3" i="15"/>
  <c r="AE3" i="15"/>
  <c r="AF3" i="15"/>
  <c r="AG3" i="15"/>
  <c r="AH3" i="15"/>
  <c r="AI3" i="15"/>
  <c r="AJ3" i="15"/>
  <c r="AK3" i="15"/>
  <c r="AL3" i="15"/>
  <c r="AB4" i="15"/>
  <c r="AC4" i="15"/>
  <c r="AD4" i="15"/>
  <c r="AE4" i="15"/>
  <c r="AF4" i="15"/>
  <c r="AG4" i="15"/>
  <c r="AH4" i="15"/>
  <c r="AI4" i="15"/>
  <c r="AJ4" i="15"/>
  <c r="AK4" i="15"/>
  <c r="AL4" i="15"/>
  <c r="AB5" i="15"/>
  <c r="AC5" i="15"/>
  <c r="AD5" i="15"/>
  <c r="AE5" i="15"/>
  <c r="AF5" i="15"/>
  <c r="AG5" i="15"/>
  <c r="AH5" i="15"/>
  <c r="AI5" i="15"/>
  <c r="AJ5" i="15"/>
  <c r="AK5" i="15"/>
  <c r="AL5" i="15"/>
  <c r="AB6" i="15"/>
  <c r="AC6" i="15"/>
  <c r="AD6" i="15"/>
  <c r="AE6" i="15"/>
  <c r="AF6" i="15"/>
  <c r="AG6" i="15"/>
  <c r="AH6" i="15"/>
  <c r="AI6" i="15"/>
  <c r="AJ6" i="15"/>
  <c r="AK6" i="15"/>
  <c r="AL6" i="15"/>
  <c r="AB7" i="15"/>
  <c r="AC7" i="15"/>
  <c r="AD7" i="15"/>
  <c r="AE7" i="15"/>
  <c r="AF7" i="15"/>
  <c r="AG7" i="15"/>
  <c r="AH7" i="15"/>
  <c r="AI7" i="15"/>
  <c r="AJ7" i="15"/>
  <c r="AK7" i="15"/>
  <c r="AL7" i="15"/>
  <c r="AB8" i="15"/>
  <c r="AC8" i="15"/>
  <c r="AD8" i="15"/>
  <c r="AE8" i="15"/>
  <c r="AF8" i="15"/>
  <c r="AG8" i="15"/>
  <c r="AH8" i="15"/>
  <c r="AI8" i="15"/>
  <c r="AJ8" i="15"/>
  <c r="AK8" i="15"/>
  <c r="AL8" i="15"/>
  <c r="AB9" i="15"/>
  <c r="AC9" i="15"/>
  <c r="AD9" i="15"/>
  <c r="AE9" i="15"/>
  <c r="AF9" i="15"/>
  <c r="AG9" i="15"/>
  <c r="AH9" i="15"/>
  <c r="AI9" i="15"/>
  <c r="AJ9" i="15"/>
  <c r="AK9" i="15"/>
  <c r="AL9" i="15"/>
  <c r="AB10" i="15"/>
  <c r="AC10" i="15"/>
  <c r="AD10" i="15"/>
  <c r="AE10" i="15"/>
  <c r="AF10" i="15"/>
  <c r="AG10" i="15"/>
  <c r="AH10" i="15"/>
  <c r="AI10" i="15"/>
  <c r="AJ10" i="15"/>
  <c r="AK10" i="15"/>
  <c r="AL10" i="15"/>
  <c r="AB11" i="15"/>
  <c r="AC11" i="15"/>
  <c r="AD11" i="15"/>
  <c r="AE11" i="15"/>
  <c r="AF11" i="15"/>
  <c r="AG11" i="15"/>
  <c r="AH11" i="15"/>
  <c r="AI11" i="15"/>
  <c r="AJ11" i="15"/>
  <c r="AK11" i="15"/>
  <c r="AL11" i="15"/>
  <c r="AA4" i="15"/>
  <c r="AA5" i="15"/>
  <c r="AA6" i="15"/>
  <c r="AA7" i="15"/>
  <c r="AA8" i="15"/>
  <c r="AA9" i="15"/>
  <c r="AA10" i="15"/>
  <c r="AA11" i="15"/>
  <c r="AA3" i="15"/>
  <c r="R3" i="14"/>
  <c r="K4" i="14"/>
  <c r="K5" i="14"/>
  <c r="K6" i="14"/>
  <c r="K7" i="14"/>
  <c r="K8" i="14"/>
  <c r="K9" i="14"/>
  <c r="K10" i="14"/>
  <c r="K11" i="14"/>
  <c r="K12" i="14"/>
  <c r="K13" i="14"/>
  <c r="K3" i="14"/>
  <c r="N5" i="14" l="1"/>
  <c r="N4" i="14"/>
  <c r="N11" i="14"/>
  <c r="N10" i="14"/>
  <c r="N9" i="14"/>
  <c r="N8" i="14"/>
  <c r="N7" i="14"/>
  <c r="N6" i="14"/>
  <c r="N3" i="14"/>
  <c r="N2" i="14"/>
  <c r="N3" i="13"/>
  <c r="N2" i="13"/>
  <c r="V13" i="14"/>
  <c r="U13" i="14"/>
  <c r="U12" i="14"/>
  <c r="T13" i="14"/>
  <c r="T12" i="14"/>
  <c r="T11" i="14"/>
  <c r="T10" i="14"/>
  <c r="T9" i="14"/>
  <c r="T8" i="14"/>
  <c r="T7" i="14"/>
  <c r="T6" i="14"/>
  <c r="T5" i="14"/>
  <c r="T4" i="14"/>
  <c r="T3" i="14"/>
  <c r="T2" i="14"/>
  <c r="K2" i="14"/>
  <c r="J3" i="14"/>
  <c r="J4" i="14"/>
  <c r="J5" i="14"/>
  <c r="J6" i="14"/>
  <c r="J7" i="14"/>
  <c r="J8" i="14"/>
  <c r="J9" i="14"/>
  <c r="J10" i="14"/>
  <c r="J11" i="14"/>
  <c r="J12" i="14"/>
  <c r="J13" i="14"/>
  <c r="J2" i="14"/>
  <c r="R13" i="14"/>
  <c r="L13" i="14"/>
  <c r="L2" i="14"/>
  <c r="C13" i="14"/>
  <c r="L6" i="14"/>
  <c r="L3" i="14"/>
  <c r="L4" i="14"/>
  <c r="L5" i="14"/>
  <c r="L7" i="14"/>
  <c r="L8" i="14"/>
  <c r="L9" i="14"/>
  <c r="L10" i="14"/>
  <c r="L11" i="14"/>
  <c r="L12" i="14"/>
  <c r="R2" i="13"/>
  <c r="P12" i="14" l="1"/>
  <c r="Q9" i="14"/>
  <c r="P4" i="14"/>
  <c r="P3" i="14"/>
  <c r="Q3" i="14"/>
  <c r="O3" i="14"/>
  <c r="N12" i="14"/>
  <c r="Q12" i="14"/>
  <c r="Q8" i="14"/>
  <c r="Q4" i="14"/>
  <c r="Q11" i="14"/>
  <c r="P6" i="14"/>
  <c r="P9" i="14"/>
  <c r="Q6" i="14"/>
  <c r="Q7" i="14"/>
  <c r="O12" i="14"/>
  <c r="P10" i="14"/>
  <c r="P11" i="14"/>
  <c r="P7" i="14"/>
  <c r="P5" i="14"/>
  <c r="Q10" i="14"/>
  <c r="O7" i="14"/>
  <c r="O6" i="14"/>
  <c r="P8" i="14"/>
  <c r="O9" i="14"/>
  <c r="O5" i="14"/>
  <c r="Q5" i="14"/>
  <c r="O8" i="14"/>
  <c r="O11" i="14"/>
  <c r="O4" i="14"/>
  <c r="O10" i="14"/>
  <c r="I13" i="13"/>
  <c r="R12" i="14" l="1"/>
  <c r="N4" i="13"/>
  <c r="D58" i="13"/>
  <c r="J57" i="13"/>
  <c r="I57" i="13"/>
  <c r="H57" i="13"/>
  <c r="G57" i="13"/>
  <c r="F57" i="13"/>
  <c r="E57" i="13"/>
  <c r="D57" i="13"/>
  <c r="C57" i="13"/>
  <c r="B57" i="13"/>
  <c r="J55" i="13"/>
  <c r="J58" i="13" s="1"/>
  <c r="I55" i="13"/>
  <c r="I58" i="13" s="1"/>
  <c r="H55" i="13"/>
  <c r="H58" i="13" s="1"/>
  <c r="G55" i="13"/>
  <c r="G58" i="13" s="1"/>
  <c r="F55" i="13"/>
  <c r="F58" i="13" s="1"/>
  <c r="E55" i="13"/>
  <c r="E58" i="13" s="1"/>
  <c r="D55" i="13"/>
  <c r="C55" i="13"/>
  <c r="B55" i="13"/>
  <c r="J52" i="13"/>
  <c r="I52" i="13"/>
  <c r="H52" i="13"/>
  <c r="G52" i="13"/>
  <c r="F52" i="13"/>
  <c r="E52" i="13"/>
  <c r="D52" i="13"/>
  <c r="C52" i="13"/>
  <c r="C58" i="13" s="1"/>
  <c r="B52" i="13"/>
  <c r="B58" i="13" s="1"/>
  <c r="H44" i="13"/>
  <c r="M29" i="13"/>
  <c r="L29" i="13"/>
  <c r="N29" i="13" s="1"/>
  <c r="M28" i="13"/>
  <c r="L28" i="13"/>
  <c r="M27" i="13"/>
  <c r="L27" i="13"/>
  <c r="M26" i="13"/>
  <c r="L26" i="13"/>
  <c r="M25" i="13"/>
  <c r="L25" i="13"/>
  <c r="N25" i="13" s="1"/>
  <c r="N24" i="13"/>
  <c r="M24" i="13"/>
  <c r="L24" i="13"/>
  <c r="M23" i="13"/>
  <c r="L23" i="13"/>
  <c r="M22" i="13"/>
  <c r="L22" i="13"/>
  <c r="N22" i="13" s="1"/>
  <c r="M21" i="13"/>
  <c r="L21" i="13"/>
  <c r="M20" i="13"/>
  <c r="L20" i="13"/>
  <c r="N20" i="13" s="1"/>
  <c r="M19" i="13"/>
  <c r="N19" i="13" s="1"/>
  <c r="L19" i="13"/>
  <c r="M18" i="13"/>
  <c r="L18" i="13"/>
  <c r="N18" i="13" s="1"/>
  <c r="C18" i="13"/>
  <c r="V13" i="13"/>
  <c r="N13" i="13"/>
  <c r="G13" i="13"/>
  <c r="C29" i="13" s="1"/>
  <c r="F13" i="13"/>
  <c r="V12" i="13"/>
  <c r="S12" i="13"/>
  <c r="Q12" i="13"/>
  <c r="G12" i="13"/>
  <c r="V11" i="13"/>
  <c r="S11" i="13"/>
  <c r="Q11" i="13"/>
  <c r="G11" i="13"/>
  <c r="V10" i="13"/>
  <c r="S10" i="13"/>
  <c r="Q10" i="13"/>
  <c r="G10" i="13"/>
  <c r="V9" i="13"/>
  <c r="S9" i="13"/>
  <c r="Q9" i="13"/>
  <c r="G9" i="13"/>
  <c r="V8" i="13"/>
  <c r="S8" i="13"/>
  <c r="Q8" i="13"/>
  <c r="G8" i="13"/>
  <c r="V7" i="13"/>
  <c r="S7" i="13"/>
  <c r="Q7" i="13"/>
  <c r="G7" i="13"/>
  <c r="V6" i="13"/>
  <c r="S6" i="13"/>
  <c r="Q6" i="13"/>
  <c r="Q14" i="13" s="1"/>
  <c r="G6" i="13"/>
  <c r="V5" i="13"/>
  <c r="S5" i="13"/>
  <c r="Q5" i="13"/>
  <c r="G5" i="13"/>
  <c r="V4" i="13"/>
  <c r="S4" i="13"/>
  <c r="Q4" i="13"/>
  <c r="G4" i="13"/>
  <c r="B19" i="13" s="1"/>
  <c r="F4" i="13"/>
  <c r="B21" i="13" s="1"/>
  <c r="V3" i="13"/>
  <c r="S3" i="13"/>
  <c r="Q3" i="13"/>
  <c r="G3" i="13"/>
  <c r="J2" i="13" s="1"/>
  <c r="F3" i="13"/>
  <c r="B20" i="13" s="1"/>
  <c r="V2" i="13"/>
  <c r="I2" i="13"/>
  <c r="N11" i="12"/>
  <c r="N12" i="12"/>
  <c r="O13" i="12"/>
  <c r="R11" i="14" l="1"/>
  <c r="U11" i="14"/>
  <c r="V12" i="14" s="1"/>
  <c r="N23" i="13"/>
  <c r="N27" i="13"/>
  <c r="N21" i="13"/>
  <c r="N26" i="13"/>
  <c r="N28" i="13"/>
  <c r="S14" i="13"/>
  <c r="T2" i="13" s="1"/>
  <c r="H33" i="13"/>
  <c r="I3" i="13"/>
  <c r="J3" i="13" s="1"/>
  <c r="F5" i="13"/>
  <c r="H29" i="13"/>
  <c r="I4" i="13"/>
  <c r="J4" i="13" s="1"/>
  <c r="B18" i="13"/>
  <c r="D18" i="13" s="1"/>
  <c r="C19" i="13"/>
  <c r="D19" i="13" s="1"/>
  <c r="C20" i="13"/>
  <c r="D20" i="13" s="1"/>
  <c r="H18" i="13"/>
  <c r="E58" i="12"/>
  <c r="H58" i="12"/>
  <c r="I58" i="12"/>
  <c r="J58" i="12"/>
  <c r="C55" i="12"/>
  <c r="C58" i="12" s="1"/>
  <c r="D55" i="12"/>
  <c r="D58" i="12" s="1"/>
  <c r="E55" i="12"/>
  <c r="F55" i="12"/>
  <c r="F58" i="12" s="1"/>
  <c r="G55" i="12"/>
  <c r="G58" i="12" s="1"/>
  <c r="H55" i="12"/>
  <c r="I55" i="12"/>
  <c r="J55" i="12"/>
  <c r="B55" i="12"/>
  <c r="B58" i="12" s="1"/>
  <c r="C52" i="12"/>
  <c r="D52" i="12"/>
  <c r="E52" i="12"/>
  <c r="F52" i="12"/>
  <c r="G52" i="12"/>
  <c r="H52" i="12"/>
  <c r="I52" i="12"/>
  <c r="J52" i="12"/>
  <c r="B52" i="12"/>
  <c r="C57" i="12"/>
  <c r="D57" i="12"/>
  <c r="E57" i="12"/>
  <c r="F57" i="12"/>
  <c r="G57" i="12"/>
  <c r="H57" i="12"/>
  <c r="I57" i="12"/>
  <c r="J57" i="12"/>
  <c r="B57" i="12"/>
  <c r="R10" i="14" l="1"/>
  <c r="U10" i="14"/>
  <c r="V11" i="14" s="1"/>
  <c r="B22" i="13"/>
  <c r="C21" i="13"/>
  <c r="D21" i="13" s="1"/>
  <c r="F6" i="13"/>
  <c r="I5" i="13"/>
  <c r="J5" i="13" s="1"/>
  <c r="B29" i="6"/>
  <c r="B22" i="7"/>
  <c r="B23" i="7" s="1"/>
  <c r="R9" i="14" l="1"/>
  <c r="U9" i="14"/>
  <c r="V10" i="14" s="1"/>
  <c r="I6" i="13"/>
  <c r="J6" i="13" s="1"/>
  <c r="F7" i="13"/>
  <c r="B23" i="13"/>
  <c r="C22" i="13"/>
  <c r="D22" i="13"/>
  <c r="B12" i="6"/>
  <c r="B13" i="6" s="1"/>
  <c r="B35" i="6"/>
  <c r="C22" i="7"/>
  <c r="C23" i="7" s="1"/>
  <c r="D22" i="7"/>
  <c r="D23" i="7" s="1"/>
  <c r="E22" i="7"/>
  <c r="E23" i="7" s="1"/>
  <c r="F22" i="7"/>
  <c r="F23" i="7" s="1"/>
  <c r="G22" i="7"/>
  <c r="G23" i="7" s="1"/>
  <c r="H22" i="7"/>
  <c r="H23" i="7" s="1"/>
  <c r="I22" i="7"/>
  <c r="I23" i="7" s="1"/>
  <c r="J22" i="7"/>
  <c r="J23" i="7" s="1"/>
  <c r="J29" i="6"/>
  <c r="C35" i="6"/>
  <c r="D35" i="6"/>
  <c r="E35" i="6"/>
  <c r="F35" i="6"/>
  <c r="G35" i="6"/>
  <c r="H35" i="6"/>
  <c r="I35" i="6"/>
  <c r="J35" i="6"/>
  <c r="C29" i="6"/>
  <c r="D29" i="6"/>
  <c r="E29" i="6"/>
  <c r="F29" i="6"/>
  <c r="G29" i="6"/>
  <c r="H29" i="6"/>
  <c r="I29" i="6"/>
  <c r="B8" i="7"/>
  <c r="V3" i="12"/>
  <c r="V4" i="12"/>
  <c r="V5" i="12"/>
  <c r="V6" i="12"/>
  <c r="V7" i="12"/>
  <c r="V8" i="12"/>
  <c r="V9" i="12"/>
  <c r="V10" i="12"/>
  <c r="V11" i="12"/>
  <c r="V12" i="12"/>
  <c r="V13" i="12"/>
  <c r="V2" i="12"/>
  <c r="R8" i="14" l="1"/>
  <c r="U8" i="14"/>
  <c r="V9" i="14" s="1"/>
  <c r="I7" i="13"/>
  <c r="J7" i="13" s="1"/>
  <c r="C23" i="13"/>
  <c r="D23" i="13" s="1"/>
  <c r="F8" i="13"/>
  <c r="B24" i="13"/>
  <c r="G4" i="12"/>
  <c r="G3" i="12"/>
  <c r="N13" i="12"/>
  <c r="H44" i="12" s="1"/>
  <c r="N2" i="12"/>
  <c r="H33" i="12" s="1"/>
  <c r="F3" i="12"/>
  <c r="I2" i="12"/>
  <c r="R7" i="14" l="1"/>
  <c r="U7" i="14"/>
  <c r="V8" i="14" s="1"/>
  <c r="I8" i="13"/>
  <c r="J8" i="13" s="1"/>
  <c r="F9" i="13"/>
  <c r="B25" i="13"/>
  <c r="C24" i="13"/>
  <c r="D24" i="13" s="1"/>
  <c r="B18" i="9"/>
  <c r="K1" i="9"/>
  <c r="B15" i="9"/>
  <c r="R6" i="14" l="1"/>
  <c r="U6" i="14"/>
  <c r="V7" i="14" s="1"/>
  <c r="F10" i="13"/>
  <c r="B26" i="13"/>
  <c r="C25" i="13"/>
  <c r="I9" i="13"/>
  <c r="J9" i="13" s="1"/>
  <c r="D25" i="13"/>
  <c r="B24" i="9"/>
  <c r="B25" i="9" s="1"/>
  <c r="B28" i="9" s="1"/>
  <c r="L20" i="12"/>
  <c r="L21" i="12"/>
  <c r="L22" i="12"/>
  <c r="L23" i="12"/>
  <c r="N23" i="12" s="1"/>
  <c r="L24" i="12"/>
  <c r="L25" i="12"/>
  <c r="L26" i="12"/>
  <c r="L27" i="12"/>
  <c r="L28" i="12"/>
  <c r="L19" i="12"/>
  <c r="M22" i="12"/>
  <c r="M23" i="12"/>
  <c r="M19" i="12"/>
  <c r="M18" i="12"/>
  <c r="L29" i="12"/>
  <c r="L18" i="12"/>
  <c r="S4" i="12"/>
  <c r="S5" i="12"/>
  <c r="S6" i="12"/>
  <c r="S7" i="12"/>
  <c r="S8" i="12"/>
  <c r="S9" i="12"/>
  <c r="S10" i="12"/>
  <c r="S11" i="12"/>
  <c r="S12" i="12"/>
  <c r="S3" i="12"/>
  <c r="Q4" i="12"/>
  <c r="Q5" i="12"/>
  <c r="Q6" i="12"/>
  <c r="Q7" i="12"/>
  <c r="Q8" i="12"/>
  <c r="Q9" i="12"/>
  <c r="Q10" i="12"/>
  <c r="Q11" i="12"/>
  <c r="Q12" i="12"/>
  <c r="Q3" i="12"/>
  <c r="H29" i="12"/>
  <c r="H18" i="12"/>
  <c r="M29" i="12"/>
  <c r="M28" i="12"/>
  <c r="N28" i="12" s="1"/>
  <c r="M21" i="12"/>
  <c r="M24" i="12"/>
  <c r="M25" i="12"/>
  <c r="M26" i="12"/>
  <c r="M27" i="12"/>
  <c r="M20" i="12"/>
  <c r="R5" i="14" l="1"/>
  <c r="U5" i="14"/>
  <c r="V6" i="14" s="1"/>
  <c r="I10" i="13"/>
  <c r="J10" i="13" s="1"/>
  <c r="B27" i="13"/>
  <c r="C26" i="13"/>
  <c r="D26" i="13" s="1"/>
  <c r="F11" i="13"/>
  <c r="N25" i="12"/>
  <c r="N22" i="12"/>
  <c r="N21" i="12"/>
  <c r="Q14" i="12"/>
  <c r="R2" i="12" s="1"/>
  <c r="S14" i="12"/>
  <c r="T2" i="12" s="1"/>
  <c r="N19" i="12"/>
  <c r="N26" i="12"/>
  <c r="N20" i="12"/>
  <c r="N24" i="12"/>
  <c r="N29" i="12"/>
  <c r="N27" i="12"/>
  <c r="N18" i="12"/>
  <c r="C18" i="12"/>
  <c r="B18" i="12"/>
  <c r="D18" i="12" s="1"/>
  <c r="B19" i="12"/>
  <c r="G5" i="12"/>
  <c r="G6" i="12"/>
  <c r="G7" i="12"/>
  <c r="G8" i="12"/>
  <c r="G9" i="12"/>
  <c r="G10" i="12"/>
  <c r="G11" i="12"/>
  <c r="G12" i="12"/>
  <c r="G13" i="12"/>
  <c r="C29" i="12" s="1"/>
  <c r="F13" i="12"/>
  <c r="R4" i="14" l="1"/>
  <c r="U4" i="14"/>
  <c r="V5" i="14" s="1"/>
  <c r="B28" i="13"/>
  <c r="C27" i="13"/>
  <c r="D27" i="13" s="1"/>
  <c r="I11" i="13"/>
  <c r="J11" i="13" s="1"/>
  <c r="F12" i="13"/>
  <c r="B20" i="12"/>
  <c r="I13" i="12"/>
  <c r="C19" i="12"/>
  <c r="D19" i="12" s="1"/>
  <c r="F4" i="12"/>
  <c r="B21" i="12" s="1"/>
  <c r="J14" i="10"/>
  <c r="D14" i="10"/>
  <c r="E14" i="10"/>
  <c r="F14" i="10"/>
  <c r="G14" i="10"/>
  <c r="H14" i="10"/>
  <c r="I14" i="10"/>
  <c r="C14" i="10"/>
  <c r="B14" i="10"/>
  <c r="U3" i="14" l="1"/>
  <c r="V4" i="14" s="1"/>
  <c r="B29" i="13"/>
  <c r="D29" i="13" s="1"/>
  <c r="C28" i="13"/>
  <c r="D28" i="13" s="1"/>
  <c r="I12" i="13"/>
  <c r="J13" i="13"/>
  <c r="C20" i="12"/>
  <c r="D20" i="12" s="1"/>
  <c r="F5" i="12"/>
  <c r="I5" i="12" s="1"/>
  <c r="J5" i="12" s="1"/>
  <c r="I3" i="12"/>
  <c r="J3" i="12" s="1"/>
  <c r="I4" i="12"/>
  <c r="J4" i="12" s="1"/>
  <c r="J2" i="12"/>
  <c r="U2" i="14" l="1"/>
  <c r="V3" i="14" s="1"/>
  <c r="J12" i="13"/>
  <c r="F6" i="12"/>
  <c r="F7" i="12" s="1"/>
  <c r="C21" i="12"/>
  <c r="B22" i="12"/>
  <c r="P42" i="1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V2" i="14" l="1"/>
  <c r="D21" i="12"/>
  <c r="B23" i="12"/>
  <c r="C22" i="12"/>
  <c r="D22" i="12" s="1"/>
  <c r="I6" i="12"/>
  <c r="J6" i="12" s="1"/>
  <c r="R27" i="11"/>
  <c r="Q27" i="11"/>
  <c r="P35" i="11"/>
  <c r="P27" i="11"/>
  <c r="O27" i="11"/>
  <c r="L49" i="11"/>
  <c r="B41" i="11"/>
  <c r="C41" i="11"/>
  <c r="D41" i="11"/>
  <c r="E41" i="11"/>
  <c r="F41" i="11"/>
  <c r="G41" i="11"/>
  <c r="H41" i="11"/>
  <c r="I41" i="11"/>
  <c r="J41" i="11"/>
  <c r="K41" i="1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H45" i="11"/>
  <c r="I45" i="11"/>
  <c r="J45" i="11"/>
  <c r="K45" i="11"/>
  <c r="L45" i="11"/>
  <c r="B46" i="11"/>
  <c r="C46" i="11"/>
  <c r="D46" i="11"/>
  <c r="E46" i="11"/>
  <c r="F46" i="11"/>
  <c r="G46" i="11"/>
  <c r="H46" i="11"/>
  <c r="I46" i="11"/>
  <c r="J46" i="11"/>
  <c r="K46" i="11"/>
  <c r="L46" i="1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A49" i="11"/>
  <c r="A48" i="11"/>
  <c r="A47" i="11"/>
  <c r="A46" i="11"/>
  <c r="A45" i="11"/>
  <c r="A44" i="11"/>
  <c r="A43" i="11"/>
  <c r="A42" i="11"/>
  <c r="A41" i="11"/>
  <c r="P34" i="11"/>
  <c r="P33" i="11"/>
  <c r="P32" i="11"/>
  <c r="P31" i="11"/>
  <c r="P30" i="11"/>
  <c r="P29" i="11"/>
  <c r="P28" i="11"/>
  <c r="Z35" i="11"/>
  <c r="X27" i="11"/>
  <c r="Y27" i="1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R29" i="11"/>
  <c r="S29" i="11"/>
  <c r="T29" i="11"/>
  <c r="U29" i="11"/>
  <c r="V29" i="11"/>
  <c r="W29" i="11"/>
  <c r="Q30" i="11"/>
  <c r="R30" i="11"/>
  <c r="S30" i="11"/>
  <c r="T30" i="11"/>
  <c r="U30" i="11"/>
  <c r="V30" i="11"/>
  <c r="W30" i="11"/>
  <c r="Q31" i="11"/>
  <c r="R31" i="11"/>
  <c r="S31" i="11"/>
  <c r="T31" i="11"/>
  <c r="U31" i="11"/>
  <c r="V31" i="11"/>
  <c r="W31" i="11"/>
  <c r="Q32" i="11"/>
  <c r="R32" i="11"/>
  <c r="S32" i="11"/>
  <c r="T32" i="11"/>
  <c r="U32" i="11"/>
  <c r="V32" i="11"/>
  <c r="W32" i="11"/>
  <c r="Q33" i="11"/>
  <c r="Q36" i="11" s="1"/>
  <c r="Q38" i="11" s="1"/>
  <c r="R33" i="11"/>
  <c r="S33" i="11"/>
  <c r="T33" i="11"/>
  <c r="U33" i="11"/>
  <c r="V33" i="11"/>
  <c r="W33" i="1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O35" i="11"/>
  <c r="O34" i="11"/>
  <c r="O33" i="11"/>
  <c r="O32" i="11"/>
  <c r="O31" i="11"/>
  <c r="O30" i="11"/>
  <c r="O29" i="11"/>
  <c r="O28" i="11"/>
  <c r="U36" i="11" l="1"/>
  <c r="U38" i="11" s="1"/>
  <c r="S36" i="11"/>
  <c r="S38" i="11" s="1"/>
  <c r="X36" i="11"/>
  <c r="X38" i="11" s="1"/>
  <c r="P36" i="11"/>
  <c r="P38" i="11" s="1"/>
  <c r="T36" i="11"/>
  <c r="T38" i="11" s="1"/>
  <c r="A50" i="11"/>
  <c r="A52" i="11" s="1"/>
  <c r="R36" i="11"/>
  <c r="R38" i="11" s="1"/>
  <c r="V36" i="11"/>
  <c r="V38" i="11" s="1"/>
  <c r="F50" i="11"/>
  <c r="F52" i="11" s="1"/>
  <c r="L50" i="11"/>
  <c r="L52" i="11" s="1"/>
  <c r="D50" i="11"/>
  <c r="D52" i="11" s="1"/>
  <c r="G50" i="11"/>
  <c r="G52" i="11" s="1"/>
  <c r="E50" i="11"/>
  <c r="E52" i="11" s="1"/>
  <c r="W36" i="11"/>
  <c r="W38" i="11" s="1"/>
  <c r="H50" i="11"/>
  <c r="H52" i="11" s="1"/>
  <c r="K50" i="11"/>
  <c r="K52" i="11" s="1"/>
  <c r="I50" i="11"/>
  <c r="I52" i="11" s="1"/>
  <c r="J50" i="11"/>
  <c r="J52" i="11" s="1"/>
  <c r="Z36" i="11"/>
  <c r="Z38" i="11" s="1"/>
  <c r="B50" i="11"/>
  <c r="B52" i="11" s="1"/>
  <c r="C50" i="11"/>
  <c r="C52" i="11" s="1"/>
  <c r="Y36" i="11"/>
  <c r="Y38" i="11" s="1"/>
  <c r="F8" i="12"/>
  <c r="C23" i="12"/>
  <c r="D23" i="12" s="1"/>
  <c r="B24" i="12"/>
  <c r="I7" i="12"/>
  <c r="J7" i="12" s="1"/>
  <c r="O36" i="11"/>
  <c r="O38" i="11" s="1"/>
  <c r="C50" i="8"/>
  <c r="C53" i="8" s="1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I53" i="8" s="1"/>
  <c r="J50" i="8"/>
  <c r="J53" i="8" s="1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F9" i="12" l="1"/>
  <c r="C24" i="12"/>
  <c r="D24" i="12" s="1"/>
  <c r="B25" i="12"/>
  <c r="I8" i="12"/>
  <c r="J8" i="12" s="1"/>
  <c r="B41" i="8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C24" i="9" s="1"/>
  <c r="C25" i="9" s="1"/>
  <c r="C28" i="9" s="1"/>
  <c r="D18" i="9"/>
  <c r="D24" i="9" s="1"/>
  <c r="D25" i="9" s="1"/>
  <c r="D28" i="9" s="1"/>
  <c r="E18" i="9"/>
  <c r="E24" i="9" s="1"/>
  <c r="E25" i="9" s="1"/>
  <c r="E28" i="9" s="1"/>
  <c r="F18" i="9"/>
  <c r="F24" i="9" s="1"/>
  <c r="F25" i="9" s="1"/>
  <c r="F28" i="9" s="1"/>
  <c r="G18" i="9"/>
  <c r="G24" i="9" s="1"/>
  <c r="G25" i="9" s="1"/>
  <c r="G28" i="9" s="1"/>
  <c r="H18" i="9"/>
  <c r="H24" i="9" s="1"/>
  <c r="H25" i="9" s="1"/>
  <c r="H28" i="9" s="1"/>
  <c r="I18" i="9"/>
  <c r="I24" i="9" s="1"/>
  <c r="I25" i="9" s="1"/>
  <c r="I28" i="9" s="1"/>
  <c r="J18" i="9"/>
  <c r="J24" i="9" s="1"/>
  <c r="J25" i="9" s="1"/>
  <c r="J28" i="9" s="1"/>
  <c r="C15" i="9"/>
  <c r="D15" i="9"/>
  <c r="E15" i="9"/>
  <c r="F15" i="9"/>
  <c r="G15" i="9"/>
  <c r="H15" i="9"/>
  <c r="I15" i="9"/>
  <c r="J15" i="9"/>
  <c r="J24" i="8"/>
  <c r="B24" i="8"/>
  <c r="C18" i="8"/>
  <c r="B18" i="8"/>
  <c r="C24" i="8"/>
  <c r="D24" i="8"/>
  <c r="E24" i="8"/>
  <c r="F24" i="8"/>
  <c r="G24" i="8"/>
  <c r="H24" i="8"/>
  <c r="I24" i="8"/>
  <c r="J18" i="8"/>
  <c r="I18" i="8"/>
  <c r="H18" i="8"/>
  <c r="G18" i="8"/>
  <c r="F18" i="8"/>
  <c r="E18" i="8"/>
  <c r="D18" i="8"/>
  <c r="C8" i="7"/>
  <c r="D8" i="7"/>
  <c r="E8" i="7"/>
  <c r="F8" i="7"/>
  <c r="G8" i="7"/>
  <c r="H8" i="7"/>
  <c r="I8" i="7"/>
  <c r="J8" i="7"/>
  <c r="J12" i="6"/>
  <c r="J13" i="6" s="1"/>
  <c r="C12" i="6"/>
  <c r="C13" i="6" s="1"/>
  <c r="D12" i="6"/>
  <c r="D13" i="6" s="1"/>
  <c r="E12" i="6"/>
  <c r="E13" i="6" s="1"/>
  <c r="F12" i="6"/>
  <c r="F13" i="6" s="1"/>
  <c r="G12" i="6"/>
  <c r="G13" i="6" s="1"/>
  <c r="H12" i="6"/>
  <c r="H13" i="6" s="1"/>
  <c r="I12" i="6"/>
  <c r="I13" i="6" s="1"/>
  <c r="D27" i="8" l="1"/>
  <c r="G27" i="8"/>
  <c r="F10" i="12"/>
  <c r="C25" i="12"/>
  <c r="D25" i="12" s="1"/>
  <c r="B26" i="12"/>
  <c r="I9" i="12"/>
  <c r="J9" i="12" s="1"/>
  <c r="H27" i="8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J43" i="5"/>
  <c r="E38" i="5"/>
  <c r="F38" i="5" s="1"/>
  <c r="B38" i="5"/>
  <c r="E37" i="5"/>
  <c r="F37" i="5" s="1"/>
  <c r="B37" i="5"/>
  <c r="E36" i="5"/>
  <c r="F36" i="5" s="1"/>
  <c r="B36" i="5"/>
  <c r="E35" i="5"/>
  <c r="F35" i="5" s="1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E30" i="5"/>
  <c r="F30" i="5" s="1"/>
  <c r="B30" i="5"/>
  <c r="U22" i="5"/>
  <c r="AE22" i="5" s="1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AB21" i="5"/>
  <c r="U21" i="5"/>
  <c r="AE21" i="5" s="1"/>
  <c r="T21" i="5"/>
  <c r="AD21" i="5" s="1"/>
  <c r="S21" i="5"/>
  <c r="AC21" i="5" s="1"/>
  <c r="R21" i="5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U18" i="5"/>
  <c r="AE18" i="5" s="1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U17" i="5"/>
  <c r="AE17" i="5" s="1"/>
  <c r="T17" i="5"/>
  <c r="AD17" i="5" s="1"/>
  <c r="S17" i="5"/>
  <c r="AC17" i="5" s="1"/>
  <c r="R17" i="5"/>
  <c r="AB17" i="5" s="1"/>
  <c r="Q17" i="5"/>
  <c r="AA17" i="5" s="1"/>
  <c r="P17" i="5"/>
  <c r="Z17" i="5" s="1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U15" i="5"/>
  <c r="AE15" i="5" s="1"/>
  <c r="T15" i="5"/>
  <c r="AD15" i="5" s="1"/>
  <c r="S15" i="5"/>
  <c r="AC15" i="5" s="1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W14" i="5" s="1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L43" i="5" l="1"/>
  <c r="U147" i="5"/>
  <c r="F11" i="12"/>
  <c r="C26" i="12"/>
  <c r="D26" i="12" s="1"/>
  <c r="B27" i="12"/>
  <c r="I10" i="12"/>
  <c r="J10" i="12" s="1"/>
  <c r="F39" i="5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H217" i="5"/>
  <c r="D217" i="5"/>
  <c r="A3" i="4"/>
  <c r="C3" i="4" s="1"/>
  <c r="C2" i="4"/>
  <c r="E2" i="4" s="1"/>
  <c r="B3" i="4" s="1"/>
  <c r="I193" i="5" l="1"/>
  <c r="I208" i="5" s="1"/>
  <c r="A4" i="4"/>
  <c r="C4" i="4" s="1"/>
  <c r="D3" i="4"/>
  <c r="E3" i="4" s="1"/>
  <c r="F12" i="12"/>
  <c r="C27" i="12"/>
  <c r="D27" i="12" s="1"/>
  <c r="B28" i="12"/>
  <c r="I11" i="12"/>
  <c r="J11" i="12" s="1"/>
  <c r="H30" i="5"/>
  <c r="I30" i="5" s="1"/>
  <c r="G193" i="5"/>
  <c r="G208" i="5" s="1"/>
  <c r="J193" i="5"/>
  <c r="J208" i="5" s="1"/>
  <c r="D193" i="5"/>
  <c r="B193" i="5"/>
  <c r="B208" i="5" s="1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C12" i="3"/>
  <c r="D12" i="3"/>
  <c r="E12" i="3"/>
  <c r="F12" i="3"/>
  <c r="G12" i="3"/>
  <c r="H12" i="3"/>
  <c r="I12" i="3"/>
  <c r="J12" i="3"/>
  <c r="K12" i="3"/>
  <c r="L12" i="3"/>
  <c r="M12" i="3"/>
  <c r="B12" i="3"/>
  <c r="N43" i="2"/>
  <c r="L43" i="2" s="1"/>
  <c r="N54" i="2"/>
  <c r="K43" i="2" s="1"/>
  <c r="M44" i="2"/>
  <c r="M43" i="2"/>
  <c r="J187" i="2"/>
  <c r="J202" i="2" s="1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B202" i="2" s="1"/>
  <c r="C187" i="2"/>
  <c r="C202" i="2" s="1"/>
  <c r="D187" i="2"/>
  <c r="D202" i="2" s="1"/>
  <c r="E187" i="2"/>
  <c r="E202" i="2" s="1"/>
  <c r="F187" i="2"/>
  <c r="F202" i="2" s="1"/>
  <c r="G187" i="2"/>
  <c r="G202" i="2" s="1"/>
  <c r="H187" i="2"/>
  <c r="H202" i="2" s="1"/>
  <c r="I187" i="2"/>
  <c r="I202" i="2" s="1"/>
  <c r="C176" i="2"/>
  <c r="C191" i="2" s="1"/>
  <c r="D176" i="2"/>
  <c r="D191" i="2" s="1"/>
  <c r="E176" i="2"/>
  <c r="E191" i="2" s="1"/>
  <c r="F176" i="2"/>
  <c r="F191" i="2" s="1"/>
  <c r="G176" i="2"/>
  <c r="G191" i="2" s="1"/>
  <c r="H176" i="2"/>
  <c r="H191" i="2" s="1"/>
  <c r="I176" i="2"/>
  <c r="I191" i="2" s="1"/>
  <c r="J176" i="2"/>
  <c r="J191" i="2" s="1"/>
  <c r="B176" i="2"/>
  <c r="B191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M45" i="2"/>
  <c r="M46" i="2" s="1"/>
  <c r="M47" i="2" s="1"/>
  <c r="J43" i="2"/>
  <c r="N44" i="2"/>
  <c r="N45" i="2"/>
  <c r="N46" i="2"/>
  <c r="N47" i="2"/>
  <c r="N48" i="2"/>
  <c r="N49" i="2"/>
  <c r="N50" i="2"/>
  <c r="N51" i="2"/>
  <c r="N52" i="2"/>
  <c r="N53" i="2"/>
  <c r="D201" i="2" l="1"/>
  <c r="E200" i="2"/>
  <c r="F199" i="2"/>
  <c r="G198" i="2"/>
  <c r="H197" i="2"/>
  <c r="I196" i="2"/>
  <c r="J195" i="2"/>
  <c r="B195" i="2"/>
  <c r="C194" i="2"/>
  <c r="D193" i="2"/>
  <c r="E192" i="2"/>
  <c r="F2" i="4"/>
  <c r="B4" i="4"/>
  <c r="U153" i="2"/>
  <c r="H169" i="2" s="1"/>
  <c r="C201" i="2"/>
  <c r="D200" i="2"/>
  <c r="E199" i="2"/>
  <c r="F198" i="2"/>
  <c r="G197" i="2"/>
  <c r="H196" i="2"/>
  <c r="I195" i="2"/>
  <c r="I210" i="2" s="1"/>
  <c r="J194" i="2"/>
  <c r="B194" i="2"/>
  <c r="C193" i="2"/>
  <c r="D192" i="2"/>
  <c r="J201" i="2"/>
  <c r="B201" i="2"/>
  <c r="C200" i="2"/>
  <c r="D199" i="2"/>
  <c r="E198" i="2"/>
  <c r="F197" i="2"/>
  <c r="G196" i="2"/>
  <c r="H195" i="2"/>
  <c r="I194" i="2"/>
  <c r="J193" i="2"/>
  <c r="B193" i="2"/>
  <c r="C192" i="2"/>
  <c r="I201" i="2"/>
  <c r="J200" i="2"/>
  <c r="B200" i="2"/>
  <c r="C199" i="2"/>
  <c r="D198" i="2"/>
  <c r="E197" i="2"/>
  <c r="F196" i="2"/>
  <c r="G195" i="2"/>
  <c r="H194" i="2"/>
  <c r="I193" i="2"/>
  <c r="J192" i="2"/>
  <c r="B192" i="2"/>
  <c r="J30" i="5"/>
  <c r="H201" i="2"/>
  <c r="I200" i="2"/>
  <c r="J199" i="2"/>
  <c r="B199" i="2"/>
  <c r="C198" i="2"/>
  <c r="D197" i="2"/>
  <c r="E196" i="2"/>
  <c r="F195" i="2"/>
  <c r="G194" i="2"/>
  <c r="H193" i="2"/>
  <c r="I192" i="2"/>
  <c r="B91" i="2"/>
  <c r="B105" i="2" s="1"/>
  <c r="B130" i="2" s="1"/>
  <c r="G201" i="2"/>
  <c r="H200" i="2"/>
  <c r="I199" i="2"/>
  <c r="J198" i="2"/>
  <c r="B198" i="2"/>
  <c r="C197" i="2"/>
  <c r="D196" i="2"/>
  <c r="E195" i="2"/>
  <c r="F194" i="2"/>
  <c r="G193" i="2"/>
  <c r="H192" i="2"/>
  <c r="M48" i="2"/>
  <c r="M49" i="2" s="1"/>
  <c r="M50" i="2" s="1"/>
  <c r="M51" i="2" s="1"/>
  <c r="M52" i="2" s="1"/>
  <c r="M53" i="2" s="1"/>
  <c r="M54" i="2" s="1"/>
  <c r="L54" i="2" s="1"/>
  <c r="F201" i="2"/>
  <c r="G200" i="2"/>
  <c r="H199" i="2"/>
  <c r="I198" i="2"/>
  <c r="J197" i="2"/>
  <c r="B197" i="2"/>
  <c r="C196" i="2"/>
  <c r="D195" i="2"/>
  <c r="E194" i="2"/>
  <c r="F193" i="2"/>
  <c r="G192" i="2"/>
  <c r="E201" i="2"/>
  <c r="F200" i="2"/>
  <c r="G199" i="2"/>
  <c r="H198" i="2"/>
  <c r="I197" i="2"/>
  <c r="J196" i="2"/>
  <c r="B196" i="2"/>
  <c r="C195" i="2"/>
  <c r="D194" i="2"/>
  <c r="E193" i="2"/>
  <c r="F192" i="2"/>
  <c r="B29" i="12"/>
  <c r="C28" i="12"/>
  <c r="D28" i="12" s="1"/>
  <c r="I12" i="12"/>
  <c r="O12" i="12" s="1"/>
  <c r="J13" i="12"/>
  <c r="K208" i="5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U152" i="2"/>
  <c r="U155" i="2"/>
  <c r="U151" i="2"/>
  <c r="D167" i="2" s="1"/>
  <c r="U147" i="2"/>
  <c r="E163" i="2" s="1"/>
  <c r="U146" i="2"/>
  <c r="H162" i="2" s="1"/>
  <c r="U145" i="2"/>
  <c r="B161" i="2" s="1"/>
  <c r="B206" i="2" s="1"/>
  <c r="U154" i="2"/>
  <c r="F170" i="2" s="1"/>
  <c r="U150" i="2"/>
  <c r="G166" i="2" s="1"/>
  <c r="U149" i="2"/>
  <c r="U156" i="2"/>
  <c r="U148" i="2"/>
  <c r="G164" i="2" s="1"/>
  <c r="B168" i="2"/>
  <c r="J168" i="2"/>
  <c r="H168" i="2"/>
  <c r="I168" i="2"/>
  <c r="C168" i="2"/>
  <c r="D168" i="2"/>
  <c r="E168" i="2"/>
  <c r="F168" i="2"/>
  <c r="G168" i="2"/>
  <c r="G213" i="2" s="1"/>
  <c r="B169" i="2"/>
  <c r="C169" i="2"/>
  <c r="G171" i="2"/>
  <c r="E171" i="2"/>
  <c r="H171" i="2"/>
  <c r="I171" i="2"/>
  <c r="B171" i="2"/>
  <c r="J171" i="2"/>
  <c r="C171" i="2"/>
  <c r="F171" i="2"/>
  <c r="D171" i="2"/>
  <c r="D216" i="2" s="1"/>
  <c r="C167" i="2"/>
  <c r="F167" i="2"/>
  <c r="I167" i="2"/>
  <c r="J167" i="2"/>
  <c r="G167" i="2"/>
  <c r="H167" i="2"/>
  <c r="H212" i="2" s="1"/>
  <c r="F163" i="2"/>
  <c r="I163" i="2"/>
  <c r="B163" i="2"/>
  <c r="J163" i="2"/>
  <c r="D163" i="2"/>
  <c r="D208" i="2" s="1"/>
  <c r="E165" i="2"/>
  <c r="F165" i="2"/>
  <c r="C165" i="2"/>
  <c r="G165" i="2"/>
  <c r="H165" i="2"/>
  <c r="I165" i="2"/>
  <c r="B165" i="2"/>
  <c r="B210" i="2" s="1"/>
  <c r="J165" i="2"/>
  <c r="J210" i="2" s="1"/>
  <c r="D165" i="2"/>
  <c r="I161" i="2"/>
  <c r="I206" i="2" s="1"/>
  <c r="J161" i="2"/>
  <c r="J206" i="2" s="1"/>
  <c r="J170" i="2"/>
  <c r="C170" i="2"/>
  <c r="D170" i="2"/>
  <c r="F172" i="2"/>
  <c r="F217" i="2" s="1"/>
  <c r="G172" i="2"/>
  <c r="G217" i="2" s="1"/>
  <c r="E172" i="2"/>
  <c r="E217" i="2" s="1"/>
  <c r="H172" i="2"/>
  <c r="H217" i="2" s="1"/>
  <c r="I172" i="2"/>
  <c r="I217" i="2" s="1"/>
  <c r="D172" i="2"/>
  <c r="D217" i="2" s="1"/>
  <c r="B172" i="2"/>
  <c r="B217" i="2" s="1"/>
  <c r="J172" i="2"/>
  <c r="J217" i="2" s="1"/>
  <c r="C172" i="2"/>
  <c r="C217" i="2" s="1"/>
  <c r="F164" i="2"/>
  <c r="H164" i="2"/>
  <c r="D164" i="2"/>
  <c r="I164" i="2"/>
  <c r="B164" i="2"/>
  <c r="E164" i="2"/>
  <c r="C164" i="2"/>
  <c r="C209" i="2" s="1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J212" i="2" l="1"/>
  <c r="J164" i="2"/>
  <c r="C163" i="2"/>
  <c r="B167" i="2"/>
  <c r="B212" i="2" s="1"/>
  <c r="K212" i="2" s="1"/>
  <c r="H209" i="2"/>
  <c r="I216" i="2"/>
  <c r="I212" i="2"/>
  <c r="B213" i="2"/>
  <c r="G212" i="2"/>
  <c r="H163" i="2"/>
  <c r="E167" i="2"/>
  <c r="F210" i="2"/>
  <c r="I209" i="2"/>
  <c r="J216" i="2"/>
  <c r="G162" i="2"/>
  <c r="G207" i="2" s="1"/>
  <c r="G163" i="2"/>
  <c r="K163" i="2" s="1"/>
  <c r="D29" i="12"/>
  <c r="K217" i="2"/>
  <c r="E161" i="2"/>
  <c r="E206" i="2" s="1"/>
  <c r="J169" i="2"/>
  <c r="J211" i="2"/>
  <c r="C212" i="2"/>
  <c r="G210" i="2"/>
  <c r="H210" i="2"/>
  <c r="F166" i="2"/>
  <c r="B170" i="2"/>
  <c r="H161" i="2"/>
  <c r="H206" i="2" s="1"/>
  <c r="G169" i="2"/>
  <c r="G214" i="2" s="1"/>
  <c r="I169" i="2"/>
  <c r="H213" i="2"/>
  <c r="I213" i="2"/>
  <c r="J213" i="2"/>
  <c r="C213" i="2"/>
  <c r="E212" i="2"/>
  <c r="F212" i="2"/>
  <c r="F213" i="2"/>
  <c r="D166" i="2"/>
  <c r="D211" i="2" s="1"/>
  <c r="I170" i="2"/>
  <c r="G161" i="2"/>
  <c r="G206" i="2" s="1"/>
  <c r="F169" i="2"/>
  <c r="F214" i="2" s="1"/>
  <c r="H214" i="2"/>
  <c r="H207" i="2"/>
  <c r="I214" i="2"/>
  <c r="B214" i="2"/>
  <c r="D213" i="2"/>
  <c r="E213" i="2"/>
  <c r="C166" i="2"/>
  <c r="D212" i="2"/>
  <c r="G170" i="2"/>
  <c r="G215" i="2" s="1"/>
  <c r="H170" i="2"/>
  <c r="F161" i="2"/>
  <c r="F206" i="2" s="1"/>
  <c r="E169" i="2"/>
  <c r="E214" i="2" s="1"/>
  <c r="E208" i="2"/>
  <c r="F215" i="2"/>
  <c r="F208" i="2"/>
  <c r="H215" i="2"/>
  <c r="J214" i="2"/>
  <c r="C214" i="2"/>
  <c r="C208" i="2"/>
  <c r="D215" i="2"/>
  <c r="D4" i="4"/>
  <c r="E4" i="4" s="1"/>
  <c r="A5" i="4"/>
  <c r="C5" i="4" s="1"/>
  <c r="C211" i="2"/>
  <c r="E170" i="2"/>
  <c r="E215" i="2" s="1"/>
  <c r="D161" i="2"/>
  <c r="D206" i="2" s="1"/>
  <c r="D169" i="2"/>
  <c r="D214" i="2" s="1"/>
  <c r="D209" i="2"/>
  <c r="E216" i="2"/>
  <c r="E209" i="2"/>
  <c r="F216" i="2"/>
  <c r="F209" i="2"/>
  <c r="G216" i="2"/>
  <c r="H208" i="2"/>
  <c r="I215" i="2"/>
  <c r="B215" i="2"/>
  <c r="B208" i="2"/>
  <c r="C215" i="2"/>
  <c r="B209" i="2"/>
  <c r="C216" i="2"/>
  <c r="G211" i="2"/>
  <c r="C161" i="2"/>
  <c r="C206" i="2" s="1"/>
  <c r="C210" i="2"/>
  <c r="K210" i="2" s="1"/>
  <c r="D210" i="2"/>
  <c r="E210" i="2"/>
  <c r="G209" i="2"/>
  <c r="H216" i="2"/>
  <c r="I208" i="2"/>
  <c r="J215" i="2"/>
  <c r="J208" i="2"/>
  <c r="B216" i="2"/>
  <c r="J209" i="2"/>
  <c r="J12" i="12"/>
  <c r="M30" i="5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162" i="2"/>
  <c r="D207" i="2" s="1"/>
  <c r="P53" i="2"/>
  <c r="E166" i="2"/>
  <c r="E211" i="2" s="1"/>
  <c r="F162" i="2"/>
  <c r="F207" i="2" s="1"/>
  <c r="B166" i="2"/>
  <c r="B211" i="2" s="1"/>
  <c r="C162" i="2"/>
  <c r="C207" i="2" s="1"/>
  <c r="K167" i="2"/>
  <c r="K169" i="2"/>
  <c r="I166" i="2"/>
  <c r="I211" i="2" s="1"/>
  <c r="J162" i="2"/>
  <c r="J207" i="2" s="1"/>
  <c r="J166" i="2"/>
  <c r="B162" i="2"/>
  <c r="B207" i="2" s="1"/>
  <c r="H166" i="2"/>
  <c r="H211" i="2" s="1"/>
  <c r="I162" i="2"/>
  <c r="I207" i="2" s="1"/>
  <c r="E162" i="2"/>
  <c r="K172" i="2"/>
  <c r="K168" i="2"/>
  <c r="K165" i="2"/>
  <c r="K164" i="2"/>
  <c r="K171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G34" i="13" l="1"/>
  <c r="G19" i="13"/>
  <c r="K206" i="2"/>
  <c r="K170" i="2"/>
  <c r="G208" i="2"/>
  <c r="K208" i="2"/>
  <c r="K213" i="2"/>
  <c r="K166" i="2"/>
  <c r="F211" i="2"/>
  <c r="K211" i="2" s="1"/>
  <c r="K216" i="2"/>
  <c r="K214" i="2"/>
  <c r="B5" i="4"/>
  <c r="F3" i="4"/>
  <c r="K162" i="2"/>
  <c r="E207" i="2"/>
  <c r="K207" i="2" s="1"/>
  <c r="K161" i="2"/>
  <c r="K209" i="2"/>
  <c r="K215" i="2"/>
  <c r="Q30" i="5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G35" i="13" l="1"/>
  <c r="G20" i="13"/>
  <c r="G33" i="13"/>
  <c r="I33" i="13" s="1"/>
  <c r="G18" i="13"/>
  <c r="I18" i="13" s="1"/>
  <c r="H19" i="13"/>
  <c r="I19" i="13" s="1"/>
  <c r="H34" i="13"/>
  <c r="I34" i="13" s="1"/>
  <c r="A6" i="4"/>
  <c r="C6" i="4" s="1"/>
  <c r="D5" i="4"/>
  <c r="E5" i="4" s="1"/>
  <c r="C63" i="5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C67" i="5"/>
  <c r="C82" i="5" s="1"/>
  <c r="E67" i="5"/>
  <c r="E82" i="5" s="1"/>
  <c r="D67" i="5"/>
  <c r="D82" i="5" s="1"/>
  <c r="B67" i="5"/>
  <c r="B82" i="5" s="1"/>
  <c r="J67" i="5"/>
  <c r="I67" i="5"/>
  <c r="G67" i="5"/>
  <c r="H67" i="5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H30" i="2"/>
  <c r="I30" i="2" s="1"/>
  <c r="P50" i="2"/>
  <c r="F39" i="2"/>
  <c r="H20" i="13" l="1"/>
  <c r="I20" i="13" s="1"/>
  <c r="G21" i="13"/>
  <c r="G36" i="13"/>
  <c r="N5" i="13"/>
  <c r="H35" i="13"/>
  <c r="I35" i="13" s="1"/>
  <c r="H82" i="5"/>
  <c r="F82" i="5"/>
  <c r="G82" i="5"/>
  <c r="I82" i="5"/>
  <c r="J82" i="5"/>
  <c r="B6" i="4"/>
  <c r="F4" i="4"/>
  <c r="K212" i="5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G37" i="13" l="1"/>
  <c r="G22" i="13"/>
  <c r="H21" i="13"/>
  <c r="I21" i="13" s="1"/>
  <c r="N6" i="13"/>
  <c r="N7" i="13" s="1"/>
  <c r="H36" i="13"/>
  <c r="I36" i="13" s="1"/>
  <c r="A7" i="4"/>
  <c r="C7" i="4" s="1"/>
  <c r="D6" i="4"/>
  <c r="E6" i="4" s="1"/>
  <c r="I83" i="5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G38" i="13" l="1"/>
  <c r="G23" i="13"/>
  <c r="H22" i="13"/>
  <c r="I22" i="13" s="1"/>
  <c r="H37" i="13"/>
  <c r="I37" i="13" s="1"/>
  <c r="B7" i="4"/>
  <c r="F5" i="4"/>
  <c r="K214" i="5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G24" i="13" l="1"/>
  <c r="H23" i="13"/>
  <c r="I23" i="13" s="1"/>
  <c r="G39" i="13"/>
  <c r="N8" i="13"/>
  <c r="H38" i="13"/>
  <c r="I38" i="13" s="1"/>
  <c r="D7" i="4"/>
  <c r="E7" i="4" s="1"/>
  <c r="A8" i="4"/>
  <c r="C8" i="4" s="1"/>
  <c r="E201" i="5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G25" i="13" l="1"/>
  <c r="H24" i="13"/>
  <c r="I24" i="13" s="1"/>
  <c r="G40" i="13"/>
  <c r="N9" i="13"/>
  <c r="H39" i="13"/>
  <c r="I39" i="13" s="1"/>
  <c r="B8" i="4"/>
  <c r="F6" i="4"/>
  <c r="AQ13" i="1"/>
  <c r="C90" i="2"/>
  <c r="B104" i="2" s="1"/>
  <c r="B129" i="2" s="1"/>
  <c r="D99" i="5"/>
  <c r="L113" i="5" s="1"/>
  <c r="L138" i="5" s="1"/>
  <c r="P52" i="5"/>
  <c r="K216" i="5"/>
  <c r="L216" i="5" s="1"/>
  <c r="P45" i="2"/>
  <c r="P44" i="2" s="1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I14" i="1"/>
  <c r="T14" i="1" s="1"/>
  <c r="AN14" i="1" s="1"/>
  <c r="A15" i="1"/>
  <c r="G41" i="13" l="1"/>
  <c r="G26" i="13"/>
  <c r="H25" i="13"/>
  <c r="I25" i="13" s="1"/>
  <c r="N10" i="13"/>
  <c r="H40" i="13"/>
  <c r="I40" i="13" s="1"/>
  <c r="AQ14" i="1"/>
  <c r="A9" i="4"/>
  <c r="C9" i="4" s="1"/>
  <c r="D8" i="4"/>
  <c r="E8" i="4" s="1"/>
  <c r="P51" i="5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G27" i="13" l="1"/>
  <c r="H26" i="13"/>
  <c r="I26" i="13" s="1"/>
  <c r="G42" i="13"/>
  <c r="N11" i="13"/>
  <c r="N12" i="13" s="1"/>
  <c r="H41" i="13"/>
  <c r="I41" i="13" s="1"/>
  <c r="D105" i="2"/>
  <c r="D130" i="2" s="1"/>
  <c r="F7" i="4"/>
  <c r="B9" i="4"/>
  <c r="D97" i="5"/>
  <c r="J111" i="5" s="1"/>
  <c r="J136" i="5" s="1"/>
  <c r="P50" i="5"/>
  <c r="D100" i="2"/>
  <c r="C101" i="2"/>
  <c r="M115" i="2" s="1"/>
  <c r="M140" i="2" s="1"/>
  <c r="D90" i="2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G43" i="13" l="1"/>
  <c r="G28" i="13"/>
  <c r="H27" i="13"/>
  <c r="I27" i="13" s="1"/>
  <c r="H42" i="13"/>
  <c r="I42" i="13" s="1"/>
  <c r="M114" i="2"/>
  <c r="M139" i="2" s="1"/>
  <c r="C104" i="2"/>
  <c r="C129" i="2" s="1"/>
  <c r="D9" i="4"/>
  <c r="E9" i="4" s="1"/>
  <c r="A10" i="4"/>
  <c r="C10" i="4" s="1"/>
  <c r="D96" i="5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H28" i="13" l="1"/>
  <c r="I28" i="13" s="1"/>
  <c r="G44" i="13"/>
  <c r="I44" i="13" s="1"/>
  <c r="G29" i="13"/>
  <c r="I29" i="13" s="1"/>
  <c r="H43" i="13"/>
  <c r="I43" i="13" s="1"/>
  <c r="F8" i="4"/>
  <c r="B10" i="4"/>
  <c r="D95" i="5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I45" i="13" l="1"/>
  <c r="AQ18" i="1"/>
  <c r="A11" i="4"/>
  <c r="C11" i="4" s="1"/>
  <c r="D10" i="4"/>
  <c r="E10" i="4" s="1"/>
  <c r="P47" i="5"/>
  <c r="D94" i="5"/>
  <c r="G108" i="5" s="1"/>
  <c r="G133" i="5" s="1"/>
  <c r="E107" i="2"/>
  <c r="E132" i="2" s="1"/>
  <c r="B94" i="2"/>
  <c r="E108" i="2" s="1"/>
  <c r="E133" i="2" s="1"/>
  <c r="Q47" i="2"/>
  <c r="C94" i="2" s="1"/>
  <c r="F108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F9" i="4" l="1"/>
  <c r="B11" i="4"/>
  <c r="D93" i="5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11" i="4" l="1"/>
  <c r="E11" i="4" s="1"/>
  <c r="A12" i="4"/>
  <c r="C12" i="4" s="1"/>
  <c r="D92" i="5"/>
  <c r="E106" i="5" s="1"/>
  <c r="E131" i="5" s="1"/>
  <c r="P45" i="5"/>
  <c r="G109" i="2"/>
  <c r="G134" i="2" s="1"/>
  <c r="Q49" i="2"/>
  <c r="C96" i="2" s="1"/>
  <c r="H110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F10" i="4" l="1"/>
  <c r="B12" i="4"/>
  <c r="D91" i="5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D12" i="4" l="1"/>
  <c r="E12" i="4" s="1"/>
  <c r="F11" i="4" s="1"/>
  <c r="C91" i="5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F23" i="1"/>
  <c r="Q23" i="1" s="1"/>
  <c r="AK23" i="1" s="1"/>
  <c r="J23" i="1"/>
  <c r="U23" i="1" s="1"/>
  <c r="AO23" i="1" s="1"/>
  <c r="AQ23" i="1" l="1"/>
  <c r="B93" i="5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K25" i="1"/>
  <c r="V25" i="1" s="1"/>
  <c r="AP25" i="1" s="1"/>
  <c r="A26" i="1"/>
  <c r="E25" i="1"/>
  <c r="P25" i="1" s="1"/>
  <c r="AJ25" i="1" s="1"/>
  <c r="D25" i="1"/>
  <c r="O25" i="1" s="1"/>
  <c r="AI25" i="1" s="1"/>
  <c r="AQ25" i="1" l="1"/>
  <c r="B95" i="5"/>
  <c r="F109" i="5" s="1"/>
  <c r="F134" i="5" s="1"/>
  <c r="C94" i="5"/>
  <c r="F108" i="5" s="1"/>
  <c r="F133" i="5" s="1"/>
  <c r="Q48" i="5"/>
  <c r="L114" i="2"/>
  <c r="L139" i="2" s="1"/>
  <c r="B101" i="2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L115" i="2" l="1"/>
  <c r="L140" i="2" s="1"/>
  <c r="C95" i="5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28" i="1"/>
  <c r="J27" i="1"/>
  <c r="U27" i="1" s="1"/>
  <c r="AO27" i="1" s="1"/>
  <c r="F27" i="1"/>
  <c r="Q27" i="1" s="1"/>
  <c r="AK27" i="1" s="1"/>
  <c r="AQ27" i="1" l="1"/>
  <c r="B97" i="5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F41" i="1"/>
  <c r="Q41" i="1" s="1"/>
  <c r="AK41" i="1" s="1"/>
  <c r="G41" i="1"/>
  <c r="R41" i="1" s="1"/>
  <c r="AL41" i="1" s="1"/>
  <c r="AQ40" i="1"/>
  <c r="AQ41" i="1" l="1"/>
  <c r="G42" i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I45" i="1"/>
  <c r="T45" i="1" s="1"/>
  <c r="AN45" i="1" s="1"/>
  <c r="G45" i="1"/>
  <c r="R45" i="1" s="1"/>
  <c r="AL45" i="1" s="1"/>
  <c r="AQ44" i="1"/>
  <c r="AQ45" i="1" l="1"/>
  <c r="G46" i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J46" i="1"/>
  <c r="U46" i="1" s="1"/>
  <c r="AO46" i="1" s="1"/>
  <c r="AQ46" i="1" l="1"/>
  <c r="J47" i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K48" i="1"/>
  <c r="V48" i="1" s="1"/>
  <c r="AP48" i="1" s="1"/>
  <c r="H48" i="1"/>
  <c r="S48" i="1" s="1"/>
  <c r="AM48" i="1" s="1"/>
  <c r="I48" i="1"/>
  <c r="T48" i="1" s="1"/>
  <c r="AN48" i="1" s="1"/>
  <c r="AQ48" i="1" l="1"/>
  <c r="H49" i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AQ53" i="1" l="1"/>
  <c r="G54" i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AQ59" i="1" l="1"/>
  <c r="I60" i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AQ62" i="1" l="1"/>
  <c r="D63" i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K70" i="1"/>
  <c r="V70" i="1" s="1"/>
  <c r="AP70" i="1" s="1"/>
  <c r="AQ70" i="1" l="1"/>
  <c r="H71" i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AQ77" i="1" l="1"/>
  <c r="G78" i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AQ81" i="1" l="1"/>
  <c r="G82" i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AQ93" i="1" l="1"/>
  <c r="K94" i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AQ101" i="1" l="1"/>
  <c r="G102" i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l="1"/>
  <c r="D103" i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G105" i="1"/>
  <c r="R105" i="1" s="1"/>
  <c r="AL105" i="1" s="1"/>
  <c r="D105" i="1"/>
  <c r="O105" i="1" s="1"/>
  <c r="AI105" i="1" s="1"/>
  <c r="AQ104" i="1"/>
  <c r="AQ105" i="1" l="1"/>
  <c r="G106" i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AQ107" i="1" l="1"/>
  <c r="C108" i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AQ109" i="1" l="1"/>
  <c r="E110" i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D114" i="1"/>
  <c r="O114" i="1" s="1"/>
  <c r="AI114" i="1" s="1"/>
  <c r="J114" i="1"/>
  <c r="U114" i="1" s="1"/>
  <c r="AO114" i="1" s="1"/>
  <c r="AQ113" i="1"/>
  <c r="AQ114" i="1" l="1"/>
  <c r="J115" i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AQ117" i="1" l="1"/>
  <c r="K118" i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l="1"/>
  <c r="J119" i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I119" i="1"/>
  <c r="T119" i="1" s="1"/>
  <c r="AN119" i="1" s="1"/>
  <c r="F119" i="1"/>
  <c r="Q119" i="1" s="1"/>
  <c r="AK119" i="1" s="1"/>
  <c r="AQ119" i="1" l="1"/>
  <c r="C120" i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133" i="1"/>
  <c r="E132" i="1"/>
  <c r="P132" i="1" s="1"/>
  <c r="AJ132" i="1" s="1"/>
  <c r="AQ131" i="1"/>
  <c r="AQ132" i="1" l="1"/>
  <c r="J133" i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39" i="1"/>
  <c r="AQ140" i="1" l="1"/>
  <c r="J141" i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AQ142" i="1" l="1"/>
  <c r="C143" i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AQ146" i="1" l="1"/>
  <c r="C147" i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AQ166" i="1" l="1"/>
  <c r="H167" i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K170" i="1"/>
  <c r="V170" i="1" s="1"/>
  <c r="AP170" i="1" s="1"/>
  <c r="G170" i="1"/>
  <c r="R170" i="1" s="1"/>
  <c r="AL170" i="1" s="1"/>
  <c r="AQ169" i="1"/>
  <c r="AQ170" i="1" l="1"/>
  <c r="I171" i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J171" i="1"/>
  <c r="U171" i="1" s="1"/>
  <c r="AO171" i="1" s="1"/>
  <c r="K171" i="1"/>
  <c r="V171" i="1" s="1"/>
  <c r="AP171" i="1" s="1"/>
  <c r="AQ171" i="1" l="1"/>
  <c r="K172" i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AQ174" i="1" l="1"/>
  <c r="K175" i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AQ190" i="1" l="1"/>
  <c r="I191" i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I197" i="1"/>
  <c r="T197" i="1" s="1"/>
  <c r="AN197" i="1" s="1"/>
  <c r="K197" i="1"/>
  <c r="V197" i="1" s="1"/>
  <c r="AP197" i="1" s="1"/>
  <c r="AQ197" i="1" l="1"/>
  <c r="E198" i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D202" i="1"/>
  <c r="O202" i="1" s="1"/>
  <c r="AI202" i="1" s="1"/>
  <c r="K202" i="1"/>
  <c r="V202" i="1" s="1"/>
  <c r="AP202" i="1" s="1"/>
  <c r="AQ201" i="1"/>
  <c r="AQ202" i="1" l="1"/>
  <c r="I203" i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AQ222" i="1" l="1"/>
  <c r="I223" i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K223" i="1"/>
  <c r="V223" i="1" s="1"/>
  <c r="AP223" i="1" s="1"/>
  <c r="AQ223" i="1" l="1"/>
  <c r="C224" i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AQ226" i="1" l="1"/>
  <c r="D227" i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AQ228" i="1" l="1"/>
  <c r="J229" i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AQ230" i="1" l="1"/>
  <c r="I231" i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G232" i="1"/>
  <c r="R232" i="1" s="1"/>
  <c r="AL232" i="1" s="1"/>
  <c r="J232" i="1"/>
  <c r="U232" i="1" s="1"/>
  <c r="AO232" i="1" s="1"/>
  <c r="D232" i="1"/>
  <c r="O232" i="1" s="1"/>
  <c r="AI232" i="1" s="1"/>
  <c r="AQ232" i="1" l="1"/>
  <c r="K233" i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G233" i="1"/>
  <c r="R233" i="1" s="1"/>
  <c r="AL233" i="1" s="1"/>
  <c r="J233" i="1"/>
  <c r="U233" i="1" s="1"/>
  <c r="AO233" i="1" s="1"/>
  <c r="AQ233" i="1" l="1"/>
  <c r="E234" i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AQ236" i="1" l="1"/>
  <c r="K237" i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AQ239" i="1" l="1"/>
  <c r="C240" i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AQ242" i="1" l="1"/>
  <c r="I243" i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G243" i="1"/>
  <c r="R243" i="1" s="1"/>
  <c r="AL243" i="1" s="1"/>
  <c r="K243" i="1"/>
  <c r="V243" i="1" s="1"/>
  <c r="AP243" i="1" s="1"/>
  <c r="AQ243" i="1" l="1"/>
  <c r="G244" i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AQ257" i="1" l="1"/>
  <c r="J258" i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AQ270" i="1" l="1"/>
  <c r="D271" i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AQ273" i="1" l="1"/>
  <c r="E274" i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F280" i="1"/>
  <c r="Q280" i="1" s="1"/>
  <c r="AK280" i="1" s="1"/>
  <c r="AQ280" i="1" l="1"/>
  <c r="F281" i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AQ285" i="1" l="1"/>
  <c r="I286" i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G291" i="1"/>
  <c r="R291" i="1" s="1"/>
  <c r="AL291" i="1" s="1"/>
  <c r="E291" i="1"/>
  <c r="P291" i="1" s="1"/>
  <c r="AJ291" i="1" s="1"/>
  <c r="AQ291" i="1" l="1"/>
  <c r="G292" i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AQ296" i="1" l="1"/>
  <c r="J297" i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AQ305" i="1" l="1"/>
  <c r="C306" i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  <c r="O11" i="12" l="1"/>
  <c r="O10" i="12" l="1"/>
  <c r="O9" i="12" l="1"/>
  <c r="O8" i="12" l="1"/>
  <c r="O7" i="12" l="1"/>
  <c r="O6" i="12" l="1"/>
  <c r="O5" i="12" l="1"/>
  <c r="O4" i="12" l="1"/>
  <c r="G34" i="12" l="1"/>
  <c r="G19" i="12"/>
  <c r="O3" i="12"/>
  <c r="N3" i="12" l="1"/>
  <c r="G35" i="12" s="1"/>
  <c r="G33" i="12"/>
  <c r="I33" i="12" s="1"/>
  <c r="G18" i="12"/>
  <c r="I18" i="12" s="1"/>
  <c r="H34" i="12" l="1"/>
  <c r="I34" i="12" s="1"/>
  <c r="G20" i="12"/>
  <c r="N4" i="12"/>
  <c r="H35" i="12" s="1"/>
  <c r="H19" i="12"/>
  <c r="I19" i="12" s="1"/>
  <c r="N5" i="12" l="1"/>
  <c r="H36" i="12" s="1"/>
  <c r="G36" i="12"/>
  <c r="I35" i="12"/>
  <c r="H20" i="12"/>
  <c r="I20" i="12" s="1"/>
  <c r="G21" i="12"/>
  <c r="N6" i="12" l="1"/>
  <c r="H37" i="12" s="1"/>
  <c r="G37" i="12"/>
  <c r="I36" i="12"/>
  <c r="H21" i="12"/>
  <c r="I21" i="12" s="1"/>
  <c r="G22" i="12"/>
  <c r="G38" i="12" l="1"/>
  <c r="I37" i="12"/>
  <c r="G23" i="12"/>
  <c r="H22" i="12"/>
  <c r="I22" i="12" s="1"/>
  <c r="N7" i="12"/>
  <c r="H38" i="12" s="1"/>
  <c r="G39" i="12" l="1"/>
  <c r="I38" i="12"/>
  <c r="G24" i="12"/>
  <c r="H23" i="12"/>
  <c r="I23" i="12" s="1"/>
  <c r="N8" i="12"/>
  <c r="H39" i="12" s="1"/>
  <c r="G40" i="12" l="1"/>
  <c r="I39" i="12"/>
  <c r="G25" i="12"/>
  <c r="H24" i="12"/>
  <c r="I24" i="12" s="1"/>
  <c r="N9" i="12"/>
  <c r="H40" i="12" s="1"/>
  <c r="N10" i="12" l="1"/>
  <c r="H41" i="12" s="1"/>
  <c r="G41" i="12"/>
  <c r="I40" i="12"/>
  <c r="H25" i="12"/>
  <c r="I25" i="12" s="1"/>
  <c r="G26" i="12"/>
  <c r="G42" i="12" l="1"/>
  <c r="I41" i="12"/>
  <c r="H26" i="12"/>
  <c r="I26" i="12" s="1"/>
  <c r="G27" i="12"/>
  <c r="H42" i="12"/>
  <c r="H43" i="12" l="1"/>
  <c r="G43" i="12"/>
  <c r="I42" i="12"/>
  <c r="H27" i="12"/>
  <c r="I27" i="12" s="1"/>
  <c r="G28" i="12"/>
  <c r="G29" i="12" l="1"/>
  <c r="I29" i="12" s="1"/>
  <c r="G44" i="12"/>
  <c r="I44" i="12" s="1"/>
  <c r="I43" i="12"/>
  <c r="H28" i="12"/>
  <c r="I28" i="12" s="1"/>
  <c r="I45" i="12" l="1"/>
</calcChain>
</file>

<file path=xl/sharedStrings.xml><?xml version="1.0" encoding="utf-8"?>
<sst xmlns="http://schemas.openxmlformats.org/spreadsheetml/2006/main" count="1295" uniqueCount="208">
  <si>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</si>
  <si>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</si>
  <si>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</si>
  <si>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</si>
  <si>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</si>
  <si>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</si>
  <si>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</si>
  <si>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</si>
  <si>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</si>
  <si>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</si>
  <si>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</si>
  <si>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</si>
  <si>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</si>
  <si>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</si>
  <si>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</si>
  <si>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</si>
  <si>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</si>
  <si>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</si>
  <si>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</si>
  <si>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</si>
  <si>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</si>
  <si>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</si>
  <si>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</si>
  <si>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</si>
  <si>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</si>
  <si>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</si>
  <si>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</si>
  <si>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</si>
  <si>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</si>
  <si>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</si>
  <si>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</si>
  <si>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</si>
  <si>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</si>
  <si>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</si>
  <si>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</si>
  <si>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</si>
  <si>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</si>
  <si>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</si>
  <si>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</si>
  <si>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</si>
  <si>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</si>
  <si>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</si>
  <si>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</si>
  <si>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</si>
  <si>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</si>
  <si>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</si>
  <si>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</si>
  <si>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</si>
  <si>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</si>
  <si>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</si>
  <si>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</si>
  <si>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</si>
  <si>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</si>
  <si>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</si>
  <si>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</si>
  <si>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</si>
  <si>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</si>
  <si>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</si>
  <si>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</si>
  <si>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</si>
  <si>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</si>
  <si>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</si>
  <si>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</si>
  <si>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</si>
  <si>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</si>
  <si>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</si>
  <si>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</si>
  <si>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</si>
  <si>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</si>
  <si>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</si>
  <si>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</si>
  <si>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</si>
  <si>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</si>
  <si>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</si>
  <si>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</si>
  <si>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</si>
  <si>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</si>
  <si>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</si>
  <si>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</si>
  <si>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</si>
  <si>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</si>
  <si>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</si>
  <si>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</si>
  <si>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</si>
  <si>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</si>
  <si>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</si>
  <si>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</si>
  <si>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</si>
  <si>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</si>
  <si>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</si>
  <si>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</si>
  <si>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</si>
  <si>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</si>
  <si>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</si>
  <si>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</si>
  <si>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</si>
  <si>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</si>
  <si>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</si>
  <si>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</si>
  <si>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</si>
  <si>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</si>
  <si>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</si>
  <si>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</si>
  <si>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</si>
  <si>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</si>
  <si>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</si>
  <si>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</si>
  <si>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</si>
  <si>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</si>
  <si>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</si>
  <si>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</si>
  <si>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</si>
  <si>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</si>
  <si>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</si>
  <si>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</si>
  <si>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</si>
  <si>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</si>
  <si>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</si>
  <si>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</si>
  <si>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</si>
  <si>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</si>
  <si>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</si>
  <si>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</si>
  <si>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</si>
  <si>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</si>
  <si>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</si>
  <si>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</si>
  <si>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</si>
  <si>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</si>
  <si>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</si>
  <si>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</si>
  <si>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</si>
  <si>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</si>
  <si>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</si>
  <si>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</si>
  <si>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</si>
  <si>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</si>
  <si>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</si>
  <si>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</si>
  <si>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</si>
  <si>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</si>
  <si>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</si>
  <si>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</si>
  <si>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</si>
  <si>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</si>
  <si>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</si>
  <si>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</si>
  <si>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</si>
  <si>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</si>
  <si>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</si>
  <si>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</si>
  <si>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</si>
  <si>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</si>
  <si>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</si>
  <si>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</si>
  <si>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</si>
  <si>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</si>
  <si>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</si>
  <si>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</si>
  <si>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</si>
  <si>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</si>
  <si>
    <t>Баланс</t>
  </si>
  <si>
    <t>Приход</t>
  </si>
  <si>
    <t>Расход</t>
  </si>
  <si>
    <t>Невязка</t>
  </si>
  <si>
    <t>rB</t>
  </si>
  <si>
    <t>rD</t>
  </si>
  <si>
    <t>Stage</t>
  </si>
  <si>
    <t>Liquid</t>
  </si>
  <si>
    <t>Vapor</t>
  </si>
  <si>
    <t>UniSim</t>
  </si>
  <si>
    <t>sB</t>
  </si>
  <si>
    <t>sD</t>
  </si>
  <si>
    <t>Tboil vs. Pressure</t>
  </si>
  <si>
    <t>Tbp, K</t>
  </si>
  <si>
    <t>P, Pa</t>
  </si>
  <si>
    <t>Метод Риделя (vs Pressure)</t>
  </si>
  <si>
    <t>H_l</t>
  </si>
  <si>
    <t>H_v</t>
  </si>
  <si>
    <t>Hf_l</t>
  </si>
  <si>
    <t>Hf_v</t>
  </si>
  <si>
    <t>ej</t>
  </si>
  <si>
    <t>Heat Balance</t>
  </si>
  <si>
    <t>Qc</t>
  </si>
  <si>
    <t>Name</t>
  </si>
  <si>
    <t>Value</t>
  </si>
  <si>
    <t>Qr</t>
  </si>
  <si>
    <t>Qj</t>
  </si>
  <si>
    <t>koef_H_l</t>
  </si>
  <si>
    <t>Integral</t>
  </si>
  <si>
    <t>Cp, cal / mole</t>
  </si>
  <si>
    <t>K</t>
  </si>
  <si>
    <t>kJ / kmole</t>
  </si>
  <si>
    <t>Mr, g/mole</t>
  </si>
  <si>
    <t>dH, kJ/kmole</t>
  </si>
  <si>
    <t>dH298</t>
  </si>
  <si>
    <t>Integral Cp, kJ/kmole</t>
  </si>
  <si>
    <t>Tbr</t>
  </si>
  <si>
    <t>Т</t>
  </si>
  <si>
    <t>Vj</t>
  </si>
  <si>
    <t>s</t>
  </si>
  <si>
    <t>γ</t>
  </si>
  <si>
    <t>β</t>
  </si>
  <si>
    <t>α</t>
  </si>
  <si>
    <t>Lj</t>
  </si>
  <si>
    <t>Error</t>
  </si>
  <si>
    <t>Пар</t>
  </si>
  <si>
    <t>Жидкость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</si>
</sst>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0" borderId="0" xfId="0" applyBorder="1"/>
    <xf numFmtId="0" fontId="0" fillId="7" borderId="1" xfId="0" applyFill="1" applyBorder="1" applyAlignment="1">
      <alignment horizontal="center" vertical="center"/>
    </xf>
    <xf numFmtId="0" fontId="8" fillId="0" borderId="0" xfId="0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7248"/>
        <c:axId val="163973952"/>
      </c:scatterChart>
      <c:valAx>
        <c:axId val="16235724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73952"/>
        <c:crosses val="autoZero"/>
        <c:crossBetween val="midCat"/>
        <c:majorUnit val="1"/>
      </c:valAx>
      <c:valAx>
        <c:axId val="1639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5536"/>
        <c:axId val="166786112"/>
      </c:scatterChart>
      <c:valAx>
        <c:axId val="1667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6112"/>
        <c:crosses val="autoZero"/>
        <c:crossBetween val="midCat"/>
      </c:valAx>
      <c:valAx>
        <c:axId val="166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Лист4!$AB$1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Лист4!$AD$2:$AD$13</c:f>
              <c:numCache>
                <c:formatCode>0.00</c:formatCode>
                <c:ptCount val="12"/>
                <c:pt idx="0">
                  <c:v>13.500299833946301</c:v>
                </c:pt>
                <c:pt idx="1">
                  <c:v>20.737343306692999</c:v>
                </c:pt>
                <c:pt idx="2">
                  <c:v>20.928700985846302</c:v>
                </c:pt>
                <c:pt idx="3">
                  <c:v>19.550301112881002</c:v>
                </c:pt>
                <c:pt idx="4">
                  <c:v>26.036399214896399</c:v>
                </c:pt>
                <c:pt idx="5">
                  <c:v>26.207099493930599</c:v>
                </c:pt>
                <c:pt idx="6">
                  <c:v>26.116418529036</c:v>
                </c:pt>
                <c:pt idx="7">
                  <c:v>26.099089973248098</c:v>
                </c:pt>
                <c:pt idx="8">
                  <c:v>26.2015883534268</c:v>
                </c:pt>
                <c:pt idx="9">
                  <c:v>26.189796836678799</c:v>
                </c:pt>
                <c:pt idx="10">
                  <c:v>25.511424209470999</c:v>
                </c:pt>
                <c:pt idx="11">
                  <c:v>9.3001586771051894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53-4504-8790-B1E2AE0E8411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Лист4!$N$2:$N$13</c:f>
              <c:numCache>
                <c:formatCode>0.00</c:formatCode>
                <c:ptCount val="12"/>
                <c:pt idx="0">
                  <c:v>13.5</c:v>
                </c:pt>
                <c:pt idx="1">
                  <c:v>33.322076055184702</c:v>
                </c:pt>
                <c:pt idx="2">
                  <c:v>29.065777042467694</c:v>
                </c:pt>
                <c:pt idx="3">
                  <c:v>27.406106766416997</c:v>
                </c:pt>
                <c:pt idx="4">
                  <c:v>32.715513790071597</c:v>
                </c:pt>
                <c:pt idx="5">
                  <c:v>30.468159470664602</c:v>
                </c:pt>
                <c:pt idx="6">
                  <c:v>29.550342733754601</c:v>
                </c:pt>
                <c:pt idx="7">
                  <c:v>28.989148261254499</c:v>
                </c:pt>
                <c:pt idx="8">
                  <c:v>28.499614341478296</c:v>
                </c:pt>
                <c:pt idx="9">
                  <c:v>27.958744928028697</c:v>
                </c:pt>
                <c:pt idx="10">
                  <c:v>27.299999999999994</c:v>
                </c:pt>
                <c:pt idx="11">
                  <c:v>9.3000000000000007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53-4504-8790-B1E2AE0E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8416"/>
        <c:axId val="218226688"/>
      </c:scatterChart>
      <c:valAx>
        <c:axId val="16678841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</a:t>
                </a:r>
                <a:r>
                  <a:rPr lang="en-US" baseline="0"/>
                  <a:t>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26688"/>
        <c:crosses val="autoZero"/>
        <c:crossBetween val="midCat"/>
        <c:majorUnit val="1"/>
      </c:valAx>
      <c:valAx>
        <c:axId val="2182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Лист4!$AB$1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Лист4!$AE$2:$AE$13</c:f>
              <c:numCache>
                <c:formatCode>0.00</c:formatCode>
                <c:ptCount val="12"/>
                <c:pt idx="0">
                  <c:v>2.7741825834638801E-21</c:v>
                </c:pt>
                <c:pt idx="1">
                  <c:v>18.000346885249801</c:v>
                </c:pt>
                <c:pt idx="2">
                  <c:v>25.2373903579965</c:v>
                </c:pt>
                <c:pt idx="3">
                  <c:v>25.428748037149798</c:v>
                </c:pt>
                <c:pt idx="4">
                  <c:v>24.050348164184602</c:v>
                </c:pt>
                <c:pt idx="5">
                  <c:v>16.7362405377912</c:v>
                </c:pt>
                <c:pt idx="6">
                  <c:v>16.906940816825401</c:v>
                </c:pt>
                <c:pt idx="7">
                  <c:v>16.816259851930798</c:v>
                </c:pt>
                <c:pt idx="8">
                  <c:v>16.7989312961429</c:v>
                </c:pt>
                <c:pt idx="9">
                  <c:v>16.901429676321602</c:v>
                </c:pt>
                <c:pt idx="10">
                  <c:v>16.8896381595736</c:v>
                </c:pt>
                <c:pt idx="11">
                  <c:v>16.2112655323659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53-4504-8790-B1E2AE0E84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Лист4!$O$2:$O$13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37.822076055184702</c:v>
                </c:pt>
                <c:pt idx="3">
                  <c:v>33.565777042467701</c:v>
                </c:pt>
                <c:pt idx="4">
                  <c:v>31.906106766417</c:v>
                </c:pt>
                <c:pt idx="5">
                  <c:v>23.4155137900716</c:v>
                </c:pt>
                <c:pt idx="6">
                  <c:v>21.168159470664602</c:v>
                </c:pt>
                <c:pt idx="7">
                  <c:v>20.2503427337546</c:v>
                </c:pt>
                <c:pt idx="8">
                  <c:v>19.689148261254498</c:v>
                </c:pt>
                <c:pt idx="9">
                  <c:v>19.199614341478298</c:v>
                </c:pt>
                <c:pt idx="10">
                  <c:v>18.6587449280287</c:v>
                </c:pt>
                <c:pt idx="11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53-4504-8790-B1E2AE0E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28992"/>
        <c:axId val="218229568"/>
      </c:scatterChart>
      <c:valAx>
        <c:axId val="2182289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</a:t>
                </a:r>
                <a:r>
                  <a:rPr lang="en-US" baseline="0"/>
                  <a:t>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29568"/>
        <c:crosses val="autoZero"/>
        <c:crossBetween val="midCat"/>
        <c:majorUnit val="1"/>
      </c:valAx>
      <c:valAx>
        <c:axId val="218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2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Лист5!$U$1</c:f>
              <c:strCache>
                <c:ptCount val="1"/>
                <c:pt idx="0">
                  <c:v>Lj</c:v>
                </c:pt>
              </c:strCache>
            </c:strRef>
          </c:tx>
          <c:xVal>
            <c:numRef>
              <c:f>Лист5!$B$2:$B$13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Лист5!$U$2:$U$13</c:f>
              <c:numCache>
                <c:formatCode>General</c:formatCode>
                <c:ptCount val="12"/>
                <c:pt idx="0">
                  <c:v>23.580948435943313</c:v>
                </c:pt>
                <c:pt idx="1">
                  <c:v>38.86234267994918</c:v>
                </c:pt>
                <c:pt idx="2">
                  <c:v>33.12298701348066</c:v>
                </c:pt>
                <c:pt idx="3">
                  <c:v>27.183689504644104</c:v>
                </c:pt>
                <c:pt idx="4">
                  <c:v>29.095176940669894</c:v>
                </c:pt>
                <c:pt idx="5">
                  <c:v>27.952972099278838</c:v>
                </c:pt>
                <c:pt idx="6">
                  <c:v>27.55220386027127</c:v>
                </c:pt>
                <c:pt idx="7">
                  <c:v>27.295245111399836</c:v>
                </c:pt>
                <c:pt idx="8">
                  <c:v>26.994781316931522</c:v>
                </c:pt>
                <c:pt idx="9">
                  <c:v>26.497110113289292</c:v>
                </c:pt>
                <c:pt idx="10">
                  <c:v>25.389000000000003</c:v>
                </c:pt>
                <c:pt idx="11">
                  <c:v>9.3000000000000007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31872"/>
        <c:axId val="218232448"/>
      </c:scatterChart>
      <c:valAx>
        <c:axId val="218231872"/>
        <c:scaling>
          <c:orientation val="minMax"/>
          <c:max val="1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18232448"/>
        <c:crosses val="autoZero"/>
        <c:crossBetween val="midCat"/>
        <c:majorUnit val="1"/>
      </c:valAx>
      <c:valAx>
        <c:axId val="218232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8231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Лист5!$R$1</c:f>
              <c:strCache>
                <c:ptCount val="1"/>
                <c:pt idx="0">
                  <c:v>Vj</c:v>
                </c:pt>
              </c:strCache>
            </c:strRef>
          </c:tx>
          <c:xVal>
            <c:numRef>
              <c:f>Лист5!$B$2:$B$13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Лист5!$R$2:$R$13</c:f>
              <c:numCache>
                <c:formatCode>General</c:formatCode>
                <c:ptCount val="12"/>
                <c:pt idx="0">
                  <c:v>0</c:v>
                </c:pt>
                <c:pt idx="1">
                  <c:v>28.080948435943313</c:v>
                </c:pt>
                <c:pt idx="2">
                  <c:v>43.36234267994918</c:v>
                </c:pt>
                <c:pt idx="3">
                  <c:v>37.62298701348066</c:v>
                </c:pt>
                <c:pt idx="4">
                  <c:v>31.683689504644104</c:v>
                </c:pt>
                <c:pt idx="5">
                  <c:v>19.795176940669894</c:v>
                </c:pt>
                <c:pt idx="6">
                  <c:v>18.652972099278838</c:v>
                </c:pt>
                <c:pt idx="7">
                  <c:v>18.252203860271269</c:v>
                </c:pt>
                <c:pt idx="8">
                  <c:v>17.995245111399836</c:v>
                </c:pt>
                <c:pt idx="9">
                  <c:v>17.694781316931522</c:v>
                </c:pt>
                <c:pt idx="10">
                  <c:v>17.197110113289291</c:v>
                </c:pt>
                <c:pt idx="11">
                  <c:v>16.089000000000002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34176"/>
        <c:axId val="218284032"/>
      </c:scatterChart>
      <c:valAx>
        <c:axId val="218234176"/>
        <c:scaling>
          <c:orientation val="minMax"/>
          <c:max val="12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218284032"/>
        <c:crosses val="autoZero"/>
        <c:crossBetween val="midCat"/>
        <c:majorUnit val="1"/>
      </c:valAx>
      <c:valAx>
        <c:axId val="218284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823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76256"/>
        <c:axId val="163976832"/>
      </c:scatterChart>
      <c:valAx>
        <c:axId val="163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76832"/>
        <c:crosses val="autoZero"/>
        <c:crossBetween val="midCat"/>
        <c:majorUnit val="1"/>
      </c:valAx>
      <c:valAx>
        <c:axId val="163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General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General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General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General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0096"/>
        <c:axId val="200100672"/>
      </c:scatterChart>
      <c:valAx>
        <c:axId val="2001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0672"/>
        <c:crosses val="autoZero"/>
        <c:crossBetween val="midCat"/>
      </c:valAx>
      <c:valAx>
        <c:axId val="200100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2976"/>
        <c:axId val="200103552"/>
      </c:scatterChart>
      <c:valAx>
        <c:axId val="2001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3552"/>
        <c:crosses val="autoZero"/>
        <c:crossBetween val="midCat"/>
      </c:valAx>
      <c:valAx>
        <c:axId val="2001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5280"/>
        <c:axId val="151240704"/>
      </c:scatterChart>
      <c:valAx>
        <c:axId val="20010528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0704"/>
        <c:crosses val="autoZero"/>
        <c:crossBetween val="midCat"/>
        <c:majorUnit val="1"/>
      </c:valAx>
      <c:valAx>
        <c:axId val="1512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2432"/>
        <c:axId val="151243008"/>
      </c:scatterChart>
      <c:valAx>
        <c:axId val="1512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3008"/>
        <c:crosses val="autoZero"/>
        <c:crossBetween val="midCat"/>
        <c:majorUnit val="1"/>
      </c:valAx>
      <c:valAx>
        <c:axId val="151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5312"/>
        <c:axId val="151245888"/>
      </c:scatterChart>
      <c:valAx>
        <c:axId val="15124531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5888"/>
        <c:crosses val="autoZero"/>
        <c:crossBetween val="midCat"/>
        <c:majorUnit val="1"/>
      </c:valAx>
      <c:valAx>
        <c:axId val="151245888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7616"/>
        <c:axId val="151248192"/>
      </c:scatterChart>
      <c:valAx>
        <c:axId val="1512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8192"/>
        <c:crosses val="autoZero"/>
        <c:crossBetween val="midCat"/>
      </c:valAx>
      <c:valAx>
        <c:axId val="1512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2656"/>
        <c:axId val="166783232"/>
      </c:scatterChart>
      <c:valAx>
        <c:axId val="1667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3232"/>
        <c:crosses val="autoZero"/>
        <c:crossBetween val="midCat"/>
      </c:valAx>
      <c:valAx>
        <c:axId val="1667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xmlns="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15</xdr:row>
      <xdr:rowOff>4762</xdr:rowOff>
    </xdr:from>
    <xdr:to>
      <xdr:col>22</xdr:col>
      <xdr:colOff>295275</xdr:colOff>
      <xdr:row>29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2A39076-AFD4-4FB6-8AC4-A5F99C88A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495300</xdr:colOff>
      <xdr:row>15</xdr:row>
      <xdr:rowOff>14287</xdr:rowOff>
    </xdr:from>
    <xdr:to>
      <xdr:col>30</xdr:col>
      <xdr:colOff>190500</xdr:colOff>
      <xdr:row>29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898FD5BF-DFCA-4565-9050-AC78CDBC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14</xdr:row>
      <xdr:rowOff>14287</xdr:rowOff>
    </xdr:from>
    <xdr:to>
      <xdr:col>19</xdr:col>
      <xdr:colOff>314325</xdr:colOff>
      <xdr:row>28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30</xdr:row>
      <xdr:rowOff>23812</xdr:rowOff>
    </xdr:from>
    <xdr:to>
      <xdr:col>19</xdr:col>
      <xdr:colOff>381000</xdr:colOff>
      <xdr:row>44</xdr:row>
      <xdr:rowOff>100012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2" sqref="B2:J3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A7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E1" zoomScaleNormal="100" workbookViewId="0">
      <selection activeCell="AE9" sqref="AE9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1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1" t="s">
        <v>170</v>
      </c>
      <c r="AC1" s="4" t="s">
        <v>167</v>
      </c>
      <c r="AD1" s="4" t="s">
        <v>168</v>
      </c>
      <c r="AE1" s="4" t="s">
        <v>169</v>
      </c>
    </row>
    <row r="2" spans="1:31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 s="14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1"/>
      <c r="AC2" s="4">
        <v>1</v>
      </c>
      <c r="AD2" s="1">
        <v>13.4982019279072</v>
      </c>
      <c r="AE2" s="1">
        <v>2.6853584055969199E-21</v>
      </c>
    </row>
    <row r="3" spans="1:31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 s="14">
        <f>(D3+O4+N2)/(I3+1)-O3</f>
        <v>13.5</v>
      </c>
      <c r="O3" s="14">
        <f t="shared" ref="O3:O11" si="2">O4/(I3+1)</f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3">$N$32*O34</f>
        <v>-151903.04926292301</v>
      </c>
      <c r="W3">
        <v>-117212.229408257</v>
      </c>
      <c r="X3">
        <v>0</v>
      </c>
      <c r="Y3">
        <v>0</v>
      </c>
      <c r="Z3">
        <v>0</v>
      </c>
      <c r="AB3" s="31"/>
      <c r="AC3" s="4">
        <v>2</v>
      </c>
      <c r="AD3" s="1">
        <v>20.800576995992198</v>
      </c>
      <c r="AE3" s="1">
        <v>17.997549685555601</v>
      </c>
    </row>
    <row r="4" spans="1:31" x14ac:dyDescent="0.25">
      <c r="A4">
        <v>3</v>
      </c>
      <c r="B4">
        <v>0</v>
      </c>
      <c r="C4">
        <v>0</v>
      </c>
      <c r="D4">
        <v>0</v>
      </c>
      <c r="F4">
        <f t="shared" ref="F4:F12" si="4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 t="shared" ref="N4:N9" si="5">(D4+O5+N3)/(I4+1)-O4</f>
        <v>13.5</v>
      </c>
      <c r="O4" s="14">
        <f t="shared" si="2"/>
        <v>18</v>
      </c>
      <c r="P4">
        <v>1</v>
      </c>
      <c r="Q4">
        <f t="shared" ref="Q4:Q12" si="6">(P4+$L$2)*D4+($L$2+1)*B4-C4</f>
        <v>0</v>
      </c>
      <c r="S4">
        <f t="shared" ref="S4:S12" si="7">($K$2+1-P4)*D4+($L$2+1)*B4+C4</f>
        <v>0</v>
      </c>
      <c r="U4">
        <v>0</v>
      </c>
      <c r="V4">
        <f t="shared" si="3"/>
        <v>-142046.057217397</v>
      </c>
      <c r="W4">
        <v>-126583.937339793</v>
      </c>
      <c r="X4">
        <v>0</v>
      </c>
      <c r="Y4">
        <v>0</v>
      </c>
      <c r="Z4">
        <v>0</v>
      </c>
      <c r="AB4" s="31"/>
      <c r="AC4" s="4">
        <v>3</v>
      </c>
      <c r="AD4" s="1">
        <v>21.198150474979101</v>
      </c>
      <c r="AE4" s="1">
        <v>25.2999247536406</v>
      </c>
    </row>
    <row r="5" spans="1:31" x14ac:dyDescent="0.25">
      <c r="A5">
        <v>4</v>
      </c>
      <c r="B5">
        <v>0</v>
      </c>
      <c r="C5">
        <v>0</v>
      </c>
      <c r="D5">
        <v>0</v>
      </c>
      <c r="F5">
        <f t="shared" si="4"/>
        <v>13.5</v>
      </c>
      <c r="G5">
        <f t="shared" ref="G5:G13" si="8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>(D5+O6+N4)/(I5+1)-O5</f>
        <v>13.5</v>
      </c>
      <c r="O5" s="14">
        <f t="shared" si="2"/>
        <v>18</v>
      </c>
      <c r="P5">
        <v>1</v>
      </c>
      <c r="Q5">
        <f t="shared" si="6"/>
        <v>0</v>
      </c>
      <c r="S5">
        <f t="shared" si="7"/>
        <v>0</v>
      </c>
      <c r="U5">
        <v>0</v>
      </c>
      <c r="V5">
        <f t="shared" si="3"/>
        <v>-174396.57018223699</v>
      </c>
      <c r="W5">
        <v>-129569.65281685301</v>
      </c>
      <c r="X5">
        <v>0</v>
      </c>
      <c r="Y5">
        <v>0</v>
      </c>
      <c r="Z5">
        <v>0</v>
      </c>
      <c r="AB5" s="31"/>
      <c r="AC5" s="4">
        <v>4</v>
      </c>
      <c r="AD5" s="1">
        <v>20.774814507136</v>
      </c>
      <c r="AE5" s="1">
        <v>25.6974982326274</v>
      </c>
    </row>
    <row r="6" spans="1:31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8"/>
        <v>18</v>
      </c>
      <c r="I6">
        <f t="shared" si="0"/>
        <v>0</v>
      </c>
      <c r="J6">
        <f t="shared" si="1"/>
        <v>0</v>
      </c>
      <c r="M6">
        <v>5</v>
      </c>
      <c r="N6" s="14">
        <f>(D6+O7+N5)/(I6+1)-O6</f>
        <v>27.299999999999997</v>
      </c>
      <c r="O6" s="14">
        <f t="shared" si="2"/>
        <v>18</v>
      </c>
      <c r="P6">
        <v>1</v>
      </c>
      <c r="Q6">
        <f t="shared" si="6"/>
        <v>55.2</v>
      </c>
      <c r="S6">
        <f t="shared" si="7"/>
        <v>26.70967741935484</v>
      </c>
      <c r="U6">
        <v>0</v>
      </c>
      <c r="V6">
        <f t="shared" si="3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1"/>
      <c r="AC6" s="4">
        <v>5</v>
      </c>
      <c r="AD6" s="1">
        <v>19.257355643670401</v>
      </c>
      <c r="AE6" s="1">
        <v>25.274162264784302</v>
      </c>
    </row>
    <row r="7" spans="1:31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8"/>
        <v>18</v>
      </c>
      <c r="I7">
        <f t="shared" si="0"/>
        <v>0</v>
      </c>
      <c r="J7">
        <f t="shared" si="1"/>
        <v>0</v>
      </c>
      <c r="M7">
        <v>6</v>
      </c>
      <c r="N7" s="14">
        <f t="shared" si="5"/>
        <v>27.299999999999997</v>
      </c>
      <c r="O7" s="14">
        <f t="shared" si="2"/>
        <v>18</v>
      </c>
      <c r="P7">
        <v>1</v>
      </c>
      <c r="Q7">
        <f t="shared" si="6"/>
        <v>0</v>
      </c>
      <c r="S7">
        <f t="shared" si="7"/>
        <v>0</v>
      </c>
      <c r="U7">
        <v>0</v>
      </c>
      <c r="V7">
        <f t="shared" si="3"/>
        <v>-124860.05035202</v>
      </c>
      <c r="W7">
        <v>-141277.38461197601</v>
      </c>
      <c r="X7">
        <v>0</v>
      </c>
      <c r="Y7">
        <v>0</v>
      </c>
      <c r="Z7">
        <v>0</v>
      </c>
      <c r="AB7" s="31"/>
      <c r="AC7" s="4">
        <v>6</v>
      </c>
      <c r="AD7" s="1">
        <v>25.873471181250501</v>
      </c>
      <c r="AE7" s="1">
        <v>23.756703401318699</v>
      </c>
    </row>
    <row r="8" spans="1:31" x14ac:dyDescent="0.25">
      <c r="A8">
        <v>7</v>
      </c>
      <c r="B8">
        <v>0</v>
      </c>
      <c r="C8">
        <v>0</v>
      </c>
      <c r="D8">
        <v>0</v>
      </c>
      <c r="F8">
        <f t="shared" si="4"/>
        <v>27.3</v>
      </c>
      <c r="G8">
        <f t="shared" si="8"/>
        <v>18</v>
      </c>
      <c r="I8">
        <f t="shared" si="0"/>
        <v>0</v>
      </c>
      <c r="J8">
        <f t="shared" si="1"/>
        <v>0</v>
      </c>
      <c r="M8">
        <v>7</v>
      </c>
      <c r="N8" s="14">
        <f t="shared" si="5"/>
        <v>27.299999999999997</v>
      </c>
      <c r="O8" s="14">
        <f t="shared" si="2"/>
        <v>18</v>
      </c>
      <c r="P8">
        <v>1</v>
      </c>
      <c r="Q8">
        <f t="shared" si="6"/>
        <v>0</v>
      </c>
      <c r="S8">
        <f t="shared" si="7"/>
        <v>0</v>
      </c>
      <c r="U8">
        <v>0</v>
      </c>
      <c r="V8">
        <f t="shared" si="3"/>
        <v>-187560.92594549301</v>
      </c>
      <c r="W8">
        <v>-144743.49106657901</v>
      </c>
      <c r="X8">
        <v>0</v>
      </c>
      <c r="Y8">
        <v>0</v>
      </c>
      <c r="Z8">
        <v>0</v>
      </c>
      <c r="AB8" s="31"/>
      <c r="AC8" s="4">
        <v>7</v>
      </c>
      <c r="AD8" s="1">
        <v>26.057153260008501</v>
      </c>
      <c r="AE8" s="1">
        <v>16.5726132104901</v>
      </c>
    </row>
    <row r="9" spans="1:31" x14ac:dyDescent="0.25">
      <c r="A9">
        <v>8</v>
      </c>
      <c r="B9">
        <v>0</v>
      </c>
      <c r="C9">
        <v>0</v>
      </c>
      <c r="D9">
        <v>0</v>
      </c>
      <c r="F9">
        <f t="shared" si="4"/>
        <v>27.3</v>
      </c>
      <c r="G9">
        <f t="shared" si="8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5"/>
        <v>27.299999999999997</v>
      </c>
      <c r="O9" s="14">
        <f t="shared" si="2"/>
        <v>18</v>
      </c>
      <c r="P9">
        <v>1</v>
      </c>
      <c r="Q9">
        <f t="shared" si="6"/>
        <v>0</v>
      </c>
      <c r="S9">
        <f t="shared" si="7"/>
        <v>0</v>
      </c>
      <c r="U9">
        <v>0</v>
      </c>
      <c r="V9">
        <f t="shared" si="3"/>
        <v>-176105.92935862599</v>
      </c>
      <c r="W9">
        <v>-146562.49602046399</v>
      </c>
      <c r="X9">
        <v>0</v>
      </c>
      <c r="Y9">
        <v>0</v>
      </c>
      <c r="Z9">
        <v>0</v>
      </c>
      <c r="AB9" s="31"/>
      <c r="AC9" s="4">
        <v>8</v>
      </c>
      <c r="AD9" s="1">
        <v>26.092422771373901</v>
      </c>
      <c r="AE9" s="1">
        <v>16.756295289248101</v>
      </c>
    </row>
    <row r="10" spans="1:31" x14ac:dyDescent="0.25">
      <c r="A10">
        <v>9</v>
      </c>
      <c r="B10">
        <v>0</v>
      </c>
      <c r="C10">
        <v>0</v>
      </c>
      <c r="D10">
        <v>0</v>
      </c>
      <c r="F10">
        <f t="shared" si="4"/>
        <v>27.3</v>
      </c>
      <c r="G10">
        <f t="shared" si="8"/>
        <v>18</v>
      </c>
      <c r="I10">
        <f t="shared" si="0"/>
        <v>0</v>
      </c>
      <c r="J10">
        <f t="shared" si="1"/>
        <v>0</v>
      </c>
      <c r="M10">
        <v>9</v>
      </c>
      <c r="N10" s="14">
        <f>(D10+O11+N9)/(I10+1)-O10</f>
        <v>27.299999999999997</v>
      </c>
      <c r="O10" s="14">
        <f t="shared" si="2"/>
        <v>18</v>
      </c>
      <c r="P10">
        <v>1</v>
      </c>
      <c r="Q10">
        <f t="shared" si="6"/>
        <v>0</v>
      </c>
      <c r="S10">
        <f t="shared" si="7"/>
        <v>0</v>
      </c>
      <c r="U10">
        <v>0</v>
      </c>
      <c r="V10">
        <f t="shared" si="3"/>
        <v>112909.518763106</v>
      </c>
      <c r="W10">
        <v>-147421.37476595899</v>
      </c>
      <c r="X10">
        <v>0</v>
      </c>
      <c r="Y10">
        <v>0</v>
      </c>
      <c r="Z10">
        <v>0</v>
      </c>
      <c r="AB10" s="31"/>
      <c r="AC10" s="4">
        <v>9</v>
      </c>
      <c r="AD10" s="1">
        <v>26.214133520568399</v>
      </c>
      <c r="AE10" s="1">
        <v>16.7915648006135</v>
      </c>
    </row>
    <row r="11" spans="1:31" x14ac:dyDescent="0.25">
      <c r="A11">
        <v>10</v>
      </c>
      <c r="B11">
        <v>0</v>
      </c>
      <c r="C11">
        <v>0</v>
      </c>
      <c r="D11">
        <v>0</v>
      </c>
      <c r="F11">
        <f t="shared" si="4"/>
        <v>27.3</v>
      </c>
      <c r="G11">
        <f t="shared" si="8"/>
        <v>18</v>
      </c>
      <c r="I11">
        <f t="shared" si="0"/>
        <v>0</v>
      </c>
      <c r="J11">
        <f t="shared" si="1"/>
        <v>0</v>
      </c>
      <c r="M11">
        <v>10</v>
      </c>
      <c r="N11" s="14">
        <f>(D11+O12+N10)/(I11+1)-O11</f>
        <v>27.299999999999997</v>
      </c>
      <c r="O11" s="14">
        <f t="shared" si="2"/>
        <v>18</v>
      </c>
      <c r="P11">
        <v>1</v>
      </c>
      <c r="Q11">
        <f t="shared" si="6"/>
        <v>0</v>
      </c>
      <c r="S11">
        <f t="shared" si="7"/>
        <v>0</v>
      </c>
      <c r="U11">
        <v>0</v>
      </c>
      <c r="V11">
        <f t="shared" si="3"/>
        <v>-201321.171371234</v>
      </c>
      <c r="W11">
        <v>-147918.920130657</v>
      </c>
      <c r="X11">
        <v>0</v>
      </c>
      <c r="Y11">
        <v>0</v>
      </c>
      <c r="Z11">
        <v>0</v>
      </c>
      <c r="AB11" s="31"/>
      <c r="AC11" s="4">
        <v>10</v>
      </c>
      <c r="AD11" s="1">
        <v>26.203097608745601</v>
      </c>
      <c r="AE11" s="1">
        <v>16.913275549807999</v>
      </c>
    </row>
    <row r="12" spans="1:31" x14ac:dyDescent="0.25">
      <c r="A12">
        <v>11</v>
      </c>
      <c r="B12">
        <v>0</v>
      </c>
      <c r="C12">
        <v>0</v>
      </c>
      <c r="D12">
        <v>0</v>
      </c>
      <c r="F12">
        <f t="shared" si="4"/>
        <v>27.3</v>
      </c>
      <c r="G12">
        <f t="shared" si="8"/>
        <v>18</v>
      </c>
      <c r="I12">
        <f t="shared" si="0"/>
        <v>0</v>
      </c>
      <c r="J12">
        <f t="shared" si="1"/>
        <v>0</v>
      </c>
      <c r="M12">
        <v>11</v>
      </c>
      <c r="N12" s="14">
        <f>(D12+O13+N11)/(I12+1)-O12</f>
        <v>27.299999999999997</v>
      </c>
      <c r="O12" s="14">
        <f>O13/(I12+1)</f>
        <v>18</v>
      </c>
      <c r="P12">
        <v>1</v>
      </c>
      <c r="Q12">
        <f t="shared" si="6"/>
        <v>0</v>
      </c>
      <c r="S12">
        <f t="shared" si="7"/>
        <v>0</v>
      </c>
      <c r="U12">
        <v>0</v>
      </c>
      <c r="V12">
        <f t="shared" si="3"/>
        <v>-195151.325047191</v>
      </c>
      <c r="W12">
        <v>-148547.87614082301</v>
      </c>
      <c r="X12">
        <v>0</v>
      </c>
      <c r="Y12">
        <v>0</v>
      </c>
      <c r="Z12">
        <v>0</v>
      </c>
      <c r="AB12" s="31"/>
      <c r="AC12" s="4">
        <v>11</v>
      </c>
      <c r="AD12" s="1">
        <v>25.517547548452399</v>
      </c>
      <c r="AE12" s="1">
        <v>16.9022396379852</v>
      </c>
    </row>
    <row r="13" spans="1:31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8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 s="14">
        <f>K2*N13</f>
        <v>18</v>
      </c>
      <c r="P13">
        <v>1</v>
      </c>
      <c r="U13">
        <v>0</v>
      </c>
      <c r="V13">
        <f t="shared" si="3"/>
        <v>-196738.49100297401</v>
      </c>
      <c r="W13">
        <v>-150008.51962527301</v>
      </c>
      <c r="X13">
        <v>0</v>
      </c>
      <c r="Y13">
        <v>0</v>
      </c>
      <c r="Z13">
        <v>0</v>
      </c>
      <c r="AB13" s="31"/>
      <c r="AC13" s="4">
        <v>12</v>
      </c>
      <c r="AD13" s="1">
        <v>9.3008579707604007</v>
      </c>
      <c r="AE13" s="1">
        <v>16.216689577692001</v>
      </c>
    </row>
    <row r="14" spans="1:31" x14ac:dyDescent="0.25">
      <c r="Q14">
        <f>SUM(Q3:Q12)</f>
        <v>55.2</v>
      </c>
      <c r="S14">
        <f>SUM(S3:S12)</f>
        <v>26.70967741935484</v>
      </c>
    </row>
    <row r="15" spans="1:31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17.997549685555601</v>
      </c>
      <c r="M18" s="1">
        <f>AD2+B2+C2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9">B19-C19</f>
        <v>0</v>
      </c>
      <c r="F19" s="4">
        <v>2</v>
      </c>
      <c r="G19" s="1">
        <f>D3+N2+O4</f>
        <v>31.5</v>
      </c>
      <c r="H19" s="1">
        <f>B3+C3+O3+N3</f>
        <v>31.5</v>
      </c>
      <c r="I19" s="1">
        <f t="shared" ref="I19:I29" si="10">G19-H19</f>
        <v>0</v>
      </c>
      <c r="K19" s="4">
        <v>2</v>
      </c>
      <c r="L19" s="1">
        <f>D2+AD2+AE4</f>
        <v>38.798126681547799</v>
      </c>
      <c r="M19" s="1">
        <f>B3+C3+AE3+AD3</f>
        <v>38.798126681547799</v>
      </c>
      <c r="N19" s="1">
        <f t="shared" ref="N19:N29" si="11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9"/>
        <v>0</v>
      </c>
      <c r="F20" s="4">
        <v>3</v>
      </c>
      <c r="G20" s="1">
        <f t="shared" ref="G20:G28" si="12">D4+N3+O5</f>
        <v>31.5</v>
      </c>
      <c r="H20" s="4">
        <f t="shared" ref="H20:H28" si="13">B4+C4+N4+O4</f>
        <v>31.5</v>
      </c>
      <c r="I20" s="1">
        <f t="shared" si="10"/>
        <v>0</v>
      </c>
      <c r="K20" s="4">
        <v>3</v>
      </c>
      <c r="L20" s="1">
        <f t="shared" ref="L20:L28" si="14">D3+AD3+AE5</f>
        <v>46.498075228619598</v>
      </c>
      <c r="M20" s="1">
        <f t="shared" ref="M20:M28" si="15">B4+C4+AD4+AE4</f>
        <v>46.498075228619697</v>
      </c>
      <c r="N20" s="1">
        <f t="shared" si="11"/>
        <v>-9.9475983006414026E-14</v>
      </c>
    </row>
    <row r="21" spans="1:14" x14ac:dyDescent="0.25">
      <c r="A21" s="4">
        <v>4</v>
      </c>
      <c r="B21" s="4">
        <f>D5+F4+G6</f>
        <v>31.5</v>
      </c>
      <c r="C21" s="4">
        <f t="shared" ref="C21:C28" si="16">B5+C5+F5+G5</f>
        <v>31.5</v>
      </c>
      <c r="D21" s="4">
        <f t="shared" si="9"/>
        <v>0</v>
      </c>
      <c r="F21" s="4">
        <v>4</v>
      </c>
      <c r="G21" s="4">
        <f t="shared" si="12"/>
        <v>31.5</v>
      </c>
      <c r="H21" s="4">
        <f t="shared" si="13"/>
        <v>31.5</v>
      </c>
      <c r="I21" s="1">
        <f t="shared" si="10"/>
        <v>0</v>
      </c>
      <c r="K21" s="4">
        <v>4</v>
      </c>
      <c r="L21" s="1">
        <f t="shared" si="14"/>
        <v>46.472312739763403</v>
      </c>
      <c r="M21" s="1">
        <f t="shared" si="15"/>
        <v>46.472312739763396</v>
      </c>
      <c r="N21" s="1">
        <f t="shared" si="11"/>
        <v>0</v>
      </c>
    </row>
    <row r="22" spans="1:14" x14ac:dyDescent="0.25">
      <c r="A22" s="4">
        <v>5</v>
      </c>
      <c r="B22" s="4">
        <f>D6+F5+G7</f>
        <v>45.3</v>
      </c>
      <c r="C22" s="4">
        <f t="shared" si="16"/>
        <v>45.3</v>
      </c>
      <c r="D22" s="4">
        <f t="shared" si="9"/>
        <v>0</v>
      </c>
      <c r="F22" s="4">
        <v>5</v>
      </c>
      <c r="G22" s="4">
        <f t="shared" si="12"/>
        <v>45.3</v>
      </c>
      <c r="H22" s="4">
        <f t="shared" si="13"/>
        <v>45.3</v>
      </c>
      <c r="I22" s="1">
        <f t="shared" si="10"/>
        <v>0</v>
      </c>
      <c r="K22" s="4">
        <v>5</v>
      </c>
      <c r="L22" s="1">
        <f t="shared" si="14"/>
        <v>44.531517908454703</v>
      </c>
      <c r="M22" s="1">
        <f t="shared" si="15"/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3:B28" si="17">D7+F6+G8</f>
        <v>45.3</v>
      </c>
      <c r="C23" s="4">
        <f t="shared" si="16"/>
        <v>45.3</v>
      </c>
      <c r="D23" s="4">
        <f t="shared" si="9"/>
        <v>0</v>
      </c>
      <c r="F23" s="4">
        <v>6</v>
      </c>
      <c r="G23" s="4">
        <f t="shared" si="12"/>
        <v>45.3</v>
      </c>
      <c r="H23" s="4">
        <f t="shared" si="13"/>
        <v>45.3</v>
      </c>
      <c r="I23" s="1">
        <f t="shared" si="10"/>
        <v>0</v>
      </c>
      <c r="K23" s="4">
        <v>6</v>
      </c>
      <c r="L23" s="1">
        <f t="shared" si="14"/>
        <v>49.629968854160509</v>
      </c>
      <c r="M23" s="1">
        <f t="shared" si="15"/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7"/>
        <v>45.3</v>
      </c>
      <c r="C24" s="4">
        <f t="shared" si="16"/>
        <v>45.3</v>
      </c>
      <c r="D24" s="4">
        <f t="shared" si="9"/>
        <v>0</v>
      </c>
      <c r="F24" s="4">
        <v>7</v>
      </c>
      <c r="G24" s="4">
        <f t="shared" si="12"/>
        <v>45.3</v>
      </c>
      <c r="H24" s="4">
        <f t="shared" si="13"/>
        <v>45.3</v>
      </c>
      <c r="I24" s="1">
        <f t="shared" si="10"/>
        <v>0</v>
      </c>
      <c r="K24" s="4">
        <v>7</v>
      </c>
      <c r="L24" s="1">
        <f t="shared" si="14"/>
        <v>42.629766470498602</v>
      </c>
      <c r="M24" s="1">
        <f t="shared" si="15"/>
        <v>42.629766470498602</v>
      </c>
      <c r="N24" s="1">
        <f t="shared" si="11"/>
        <v>0</v>
      </c>
    </row>
    <row r="25" spans="1:14" x14ac:dyDescent="0.25">
      <c r="A25" s="4">
        <v>8</v>
      </c>
      <c r="B25" s="4">
        <f t="shared" si="17"/>
        <v>45.3</v>
      </c>
      <c r="C25" s="4">
        <f t="shared" si="16"/>
        <v>45.3</v>
      </c>
      <c r="D25" s="4">
        <f t="shared" si="9"/>
        <v>0</v>
      </c>
      <c r="F25" s="4">
        <v>8</v>
      </c>
      <c r="G25" s="4">
        <f t="shared" si="12"/>
        <v>45.3</v>
      </c>
      <c r="H25" s="4">
        <f t="shared" si="13"/>
        <v>45.3</v>
      </c>
      <c r="I25" s="1">
        <f t="shared" si="10"/>
        <v>0</v>
      </c>
      <c r="K25" s="4">
        <v>8</v>
      </c>
      <c r="L25" s="1">
        <f t="shared" si="14"/>
        <v>42.848718060622005</v>
      </c>
      <c r="M25" s="1">
        <f t="shared" si="15"/>
        <v>42.848718060622005</v>
      </c>
      <c r="N25" s="1">
        <f t="shared" si="11"/>
        <v>0</v>
      </c>
    </row>
    <row r="26" spans="1:14" x14ac:dyDescent="0.25">
      <c r="A26" s="4">
        <v>9</v>
      </c>
      <c r="B26" s="4">
        <f t="shared" si="17"/>
        <v>45.3</v>
      </c>
      <c r="C26" s="4">
        <f t="shared" si="16"/>
        <v>45.3</v>
      </c>
      <c r="D26" s="4">
        <f t="shared" si="9"/>
        <v>0</v>
      </c>
      <c r="F26" s="4">
        <v>9</v>
      </c>
      <c r="G26" s="4">
        <f t="shared" si="12"/>
        <v>45.3</v>
      </c>
      <c r="H26" s="4">
        <f t="shared" si="13"/>
        <v>45.3</v>
      </c>
      <c r="I26" s="1">
        <f t="shared" si="10"/>
        <v>0</v>
      </c>
      <c r="K26" s="4">
        <v>9</v>
      </c>
      <c r="L26" s="1">
        <f t="shared" si="14"/>
        <v>43.005698321181896</v>
      </c>
      <c r="M26" s="1">
        <f t="shared" si="15"/>
        <v>43.005698321181896</v>
      </c>
      <c r="N26" s="1">
        <f t="shared" si="11"/>
        <v>0</v>
      </c>
    </row>
    <row r="27" spans="1:14" x14ac:dyDescent="0.25">
      <c r="A27" s="4">
        <v>10</v>
      </c>
      <c r="B27" s="4">
        <f t="shared" si="17"/>
        <v>45.3</v>
      </c>
      <c r="C27" s="4">
        <f t="shared" si="16"/>
        <v>45.3</v>
      </c>
      <c r="D27" s="4">
        <f t="shared" si="9"/>
        <v>0</v>
      </c>
      <c r="F27" s="4">
        <v>10</v>
      </c>
      <c r="G27" s="4">
        <f t="shared" si="12"/>
        <v>45.3</v>
      </c>
      <c r="H27" s="4">
        <f t="shared" si="13"/>
        <v>45.3</v>
      </c>
      <c r="I27" s="1">
        <f t="shared" si="10"/>
        <v>0</v>
      </c>
      <c r="K27" s="4">
        <v>10</v>
      </c>
      <c r="L27" s="1">
        <f t="shared" si="14"/>
        <v>43.1163731585536</v>
      </c>
      <c r="M27" s="1">
        <f t="shared" si="15"/>
        <v>43.1163731585536</v>
      </c>
      <c r="N27" s="1">
        <f t="shared" si="11"/>
        <v>0</v>
      </c>
    </row>
    <row r="28" spans="1:14" x14ac:dyDescent="0.25">
      <c r="A28" s="4">
        <v>11</v>
      </c>
      <c r="B28" s="4">
        <f t="shared" si="17"/>
        <v>45.3</v>
      </c>
      <c r="C28" s="4">
        <f t="shared" si="16"/>
        <v>45.3</v>
      </c>
      <c r="D28" s="4">
        <f t="shared" si="9"/>
        <v>0</v>
      </c>
      <c r="F28" s="4">
        <v>11</v>
      </c>
      <c r="G28" s="4">
        <f t="shared" si="12"/>
        <v>45.3</v>
      </c>
      <c r="H28" s="4">
        <f t="shared" si="13"/>
        <v>45.3</v>
      </c>
      <c r="I28" s="1">
        <f t="shared" si="10"/>
        <v>0</v>
      </c>
      <c r="K28" s="4">
        <v>11</v>
      </c>
      <c r="L28" s="1">
        <f t="shared" si="14"/>
        <v>42.419787186437603</v>
      </c>
      <c r="M28" s="1">
        <f t="shared" si="15"/>
        <v>42.419787186437603</v>
      </c>
      <c r="N28" s="1">
        <f t="shared" si="11"/>
        <v>0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9"/>
        <v>0</v>
      </c>
      <c r="F29" s="4">
        <v>12</v>
      </c>
      <c r="G29" s="1">
        <f>D13+N12</f>
        <v>27.299999999999997</v>
      </c>
      <c r="H29" s="1">
        <f>B13+C13+O13</f>
        <v>27.3</v>
      </c>
      <c r="I29" s="1">
        <f t="shared" si="10"/>
        <v>0</v>
      </c>
      <c r="K29" s="4">
        <v>12</v>
      </c>
      <c r="L29" s="1">
        <f>D13+AD12</f>
        <v>25.517547548452399</v>
      </c>
      <c r="M29" s="1">
        <f>B13+C13+AE13</f>
        <v>25.516689577692002</v>
      </c>
      <c r="N29" s="1">
        <f t="shared" si="11"/>
        <v>8.5797076039639819E-4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-8039211.3599828715</v>
      </c>
      <c r="H34" s="1">
        <f>B3*V3+C3*W3+O3*W3+N3*V3+U3</f>
        <v>-4160511.2943980866</v>
      </c>
      <c r="I34" s="1">
        <f t="shared" ref="I34:I44" si="18">G34-H34</f>
        <v>-3878700.0655847848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9">D4*(Z4*Y4+(1-Z4)*X4)+N3*V3+O5*W5</f>
        <v>-4382944.9157528151</v>
      </c>
      <c r="H35" s="1">
        <f t="shared" ref="H35:H42" si="20">B4*V4+C4*W4+O4*W4+N4*V4+U4</f>
        <v>-4196132.6445511337</v>
      </c>
      <c r="I35" s="1">
        <f t="shared" si="18"/>
        <v>-186812.27120168135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9"/>
        <v>-4317270.0866213348</v>
      </c>
      <c r="H36" s="1">
        <f t="shared" si="20"/>
        <v>-4686607.4481635531</v>
      </c>
      <c r="I36" s="1">
        <f t="shared" si="18"/>
        <v>369337.36154221836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9"/>
        <v>-7279874.0450154748</v>
      </c>
      <c r="H37" s="1">
        <f t="shared" si="20"/>
        <v>-7316258.6984684989</v>
      </c>
      <c r="I37" s="1">
        <f t="shared" si="18"/>
        <v>36384.653453024104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9"/>
        <v>-7521993.2234804463</v>
      </c>
      <c r="H38" s="1">
        <f t="shared" si="20"/>
        <v>-5951672.297625714</v>
      </c>
      <c r="I38" s="1">
        <f t="shared" si="18"/>
        <v>-1570320.9258547323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9"/>
        <v>-6046804.302978497</v>
      </c>
      <c r="H39" s="1">
        <f t="shared" si="20"/>
        <v>-7725796.1175103802</v>
      </c>
      <c r="I39" s="1">
        <f t="shared" si="18"/>
        <v>1678991.8145318832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9"/>
        <v>-7773998.0240992205</v>
      </c>
      <c r="H40" s="1">
        <f t="shared" si="20"/>
        <v>-7445816.7998588402</v>
      </c>
      <c r="I40" s="1">
        <f t="shared" si="18"/>
        <v>-328181.22424038034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9"/>
        <v>-7470232.4338423144</v>
      </c>
      <c r="H41" s="1">
        <f t="shared" si="20"/>
        <v>428845.1164455316</v>
      </c>
      <c r="I41" s="1">
        <f t="shared" si="18"/>
        <v>-7899077.5502878465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9"/>
        <v>408568.09169797925</v>
      </c>
      <c r="H42" s="1">
        <f t="shared" si="20"/>
        <v>-8158608.5407865141</v>
      </c>
      <c r="I42" s="1">
        <f t="shared" si="18"/>
        <v>8567176.6324844938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9"/>
        <v>-8196221.3316896018</v>
      </c>
      <c r="H43" s="1">
        <f>B12*V12+C12*W12+O12*W12+N12*V12+U12</f>
        <v>-8001492.9443231281</v>
      </c>
      <c r="I43" s="1">
        <f t="shared" si="18"/>
        <v>-194728.38736647367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-5327631.1737883138</v>
      </c>
      <c r="H44" s="1">
        <f>B13*V13+C13*W13+O13*W13+U13</f>
        <v>-4529821.3195825722</v>
      </c>
      <c r="I44" s="1">
        <f t="shared" si="18"/>
        <v>-797809.85420574155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1367374.0377434818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1">C51+273.15</f>
        <v>305.42999999999995</v>
      </c>
      <c r="D52">
        <f t="shared" si="21"/>
        <v>369.9</v>
      </c>
      <c r="E52">
        <f t="shared" si="21"/>
        <v>408.04999999999995</v>
      </c>
      <c r="F52">
        <f t="shared" si="21"/>
        <v>425.15</v>
      </c>
      <c r="G52">
        <f t="shared" si="21"/>
        <v>460.34999999999997</v>
      </c>
      <c r="H52">
        <f t="shared" si="21"/>
        <v>469.65</v>
      </c>
      <c r="I52">
        <f t="shared" si="21"/>
        <v>507.84999999999997</v>
      </c>
      <c r="J52">
        <f t="shared" si="21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2">C54+273.15</f>
        <v>184.55000305175778</v>
      </c>
      <c r="D55">
        <f t="shared" si="22"/>
        <v>231.04800415039057</v>
      </c>
      <c r="E55">
        <f t="shared" si="22"/>
        <v>261.42001342773437</v>
      </c>
      <c r="F55">
        <f t="shared" si="22"/>
        <v>272.64801025390625</v>
      </c>
      <c r="G55">
        <f t="shared" si="22"/>
        <v>301.02801513671875</v>
      </c>
      <c r="H55">
        <f t="shared" si="22"/>
        <v>309.20901489257807</v>
      </c>
      <c r="I55">
        <f t="shared" si="22"/>
        <v>341.8800048828125</v>
      </c>
      <c r="J55">
        <f t="shared" si="22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7" si="23">C54/C51</f>
        <v>-2.7447334866246034</v>
      </c>
      <c r="D57">
        <f t="shared" si="23"/>
        <v>-0.43516274779958036</v>
      </c>
      <c r="E57">
        <f t="shared" si="23"/>
        <v>-8.6953199201375828E-2</v>
      </c>
      <c r="F57">
        <f t="shared" si="23"/>
        <v>-3.3025641190376777E-3</v>
      </c>
      <c r="G57">
        <f t="shared" si="23"/>
        <v>0.14892102102948079</v>
      </c>
      <c r="H57">
        <f t="shared" si="23"/>
        <v>0.18350643711235673</v>
      </c>
      <c r="I57">
        <f t="shared" si="23"/>
        <v>0.29284194666728802</v>
      </c>
      <c r="J57">
        <f t="shared" si="23"/>
        <v>0.36864797756466516</v>
      </c>
    </row>
    <row r="58" spans="1:10" x14ac:dyDescent="0.25">
      <c r="B58" s="4">
        <f>B55/B52</f>
        <v>0.58534347142108012</v>
      </c>
      <c r="C58" s="4">
        <f t="shared" ref="C58:J58" si="24">C55/C52</f>
        <v>0.60423011181533515</v>
      </c>
      <c r="D58" s="4">
        <f t="shared" si="24"/>
        <v>0.62462288226653306</v>
      </c>
      <c r="E58" s="4">
        <f t="shared" si="24"/>
        <v>0.64065681516415729</v>
      </c>
      <c r="F58" s="4">
        <f t="shared" si="24"/>
        <v>0.64129838940116723</v>
      </c>
      <c r="G58" s="4">
        <f t="shared" si="24"/>
        <v>0.65391118743720811</v>
      </c>
      <c r="H58" s="4">
        <f t="shared" si="24"/>
        <v>0.65838180537118718</v>
      </c>
      <c r="I58" s="4">
        <f t="shared" si="24"/>
        <v>0.67319091244031215</v>
      </c>
      <c r="J58" s="4">
        <f t="shared" si="24"/>
        <v>0.687918189409915</v>
      </c>
    </row>
  </sheetData>
  <mergeCells count="1">
    <mergeCell ref="AB1:AB13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G1" workbookViewId="0">
      <selection activeCell="N3" sqref="N3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2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1" t="s">
        <v>170</v>
      </c>
      <c r="AC1" s="4" t="s">
        <v>167</v>
      </c>
      <c r="AD1" s="4" t="s">
        <v>168</v>
      </c>
      <c r="AE1" s="4" t="s">
        <v>169</v>
      </c>
      <c r="AF1" s="4" t="s">
        <v>198</v>
      </c>
    </row>
    <row r="2" spans="1:32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>
        <v>0</v>
      </c>
      <c r="P2">
        <v>1</v>
      </c>
      <c r="R2" s="17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1"/>
      <c r="AC2" s="4">
        <v>1</v>
      </c>
      <c r="AD2" s="1">
        <v>13.500299833946301</v>
      </c>
      <c r="AE2" s="1">
        <v>2.7741825834638801E-21</v>
      </c>
      <c r="AF2" s="1">
        <v>-167.22737060006699</v>
      </c>
    </row>
    <row r="3" spans="1:32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2" si="0">(B3+C3)/(F3+G3)</f>
        <v>0</v>
      </c>
      <c r="J3">
        <f t="shared" ref="J3:J13" si="1">I3/(I3+1)*(D3+G4+F2)</f>
        <v>0</v>
      </c>
      <c r="M3">
        <v>2</v>
      </c>
      <c r="N3" s="14">
        <f>(D3+O4+N2)/(I3+1)-O3</f>
        <v>33.322076055184702</v>
      </c>
      <c r="O3"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2">$N$32*O34</f>
        <v>-151903.04926292301</v>
      </c>
      <c r="W3">
        <v>-117212.229408257</v>
      </c>
      <c r="X3">
        <v>0</v>
      </c>
      <c r="Y3">
        <v>0</v>
      </c>
      <c r="Z3">
        <v>0</v>
      </c>
      <c r="AB3" s="31"/>
      <c r="AC3" s="4">
        <v>2</v>
      </c>
      <c r="AD3" s="1">
        <v>20.737343306692999</v>
      </c>
      <c r="AE3" s="1">
        <v>18.000346885249801</v>
      </c>
      <c r="AF3" s="1">
        <v>-5.7277587554438E-2</v>
      </c>
    </row>
    <row r="4" spans="1:32" x14ac:dyDescent="0.25">
      <c r="A4">
        <v>3</v>
      </c>
      <c r="B4">
        <v>0</v>
      </c>
      <c r="C4">
        <v>0</v>
      </c>
      <c r="D4">
        <v>0</v>
      </c>
      <c r="F4">
        <f t="shared" ref="F4:F12" si="3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>(D4+O5+N3)/(I4+1)-O4</f>
        <v>29.065777042467694</v>
      </c>
      <c r="O4">
        <v>37.822076055184702</v>
      </c>
      <c r="P4">
        <v>1</v>
      </c>
      <c r="Q4">
        <f t="shared" ref="Q4:Q12" si="4">(P4+$L$2)*D4+($L$2+1)*B4-C4</f>
        <v>0</v>
      </c>
      <c r="S4">
        <f t="shared" ref="S4:S12" si="5">($K$2+1-P4)*D4+($L$2+1)*B4+C4</f>
        <v>0</v>
      </c>
      <c r="U4">
        <v>0</v>
      </c>
      <c r="V4">
        <f t="shared" si="2"/>
        <v>-142046.057217397</v>
      </c>
      <c r="W4">
        <v>-126583.937339793</v>
      </c>
      <c r="X4">
        <v>0</v>
      </c>
      <c r="Y4">
        <v>0</v>
      </c>
      <c r="Z4">
        <v>0</v>
      </c>
      <c r="AB4" s="31"/>
      <c r="AC4" s="4">
        <v>3</v>
      </c>
      <c r="AD4" s="1">
        <v>20.928700985846302</v>
      </c>
      <c r="AE4" s="1">
        <v>25.2373903579965</v>
      </c>
      <c r="AF4" s="1">
        <v>10.6644419041259</v>
      </c>
    </row>
    <row r="5" spans="1:32" x14ac:dyDescent="0.25">
      <c r="A5">
        <v>4</v>
      </c>
      <c r="B5">
        <v>0</v>
      </c>
      <c r="C5">
        <v>0</v>
      </c>
      <c r="D5">
        <v>0</v>
      </c>
      <c r="F5">
        <f t="shared" si="3"/>
        <v>13.5</v>
      </c>
      <c r="G5">
        <f t="shared" ref="G5:G13" si="6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>(D5+O6+N4)/(I5+1)-O5</f>
        <v>27.406106766416997</v>
      </c>
      <c r="O5">
        <v>33.565777042467701</v>
      </c>
      <c r="P5">
        <v>1</v>
      </c>
      <c r="Q5">
        <f t="shared" si="4"/>
        <v>0</v>
      </c>
      <c r="S5">
        <f t="shared" si="5"/>
        <v>0</v>
      </c>
      <c r="U5">
        <v>0</v>
      </c>
      <c r="V5">
        <f t="shared" si="2"/>
        <v>-174396.57018223699</v>
      </c>
      <c r="W5">
        <v>-129569.65281685301</v>
      </c>
      <c r="X5">
        <v>0</v>
      </c>
      <c r="Y5">
        <v>0</v>
      </c>
      <c r="Z5">
        <v>0</v>
      </c>
      <c r="AB5" s="31"/>
      <c r="AC5" s="4">
        <v>4</v>
      </c>
      <c r="AD5" s="1">
        <v>19.550301112881002</v>
      </c>
      <c r="AE5" s="1">
        <v>25.428748037149798</v>
      </c>
      <c r="AF5" s="1">
        <v>15.6439259774756</v>
      </c>
    </row>
    <row r="6" spans="1:32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6"/>
        <v>18</v>
      </c>
      <c r="I6">
        <f t="shared" si="0"/>
        <v>0</v>
      </c>
      <c r="J6">
        <f t="shared" si="1"/>
        <v>0</v>
      </c>
      <c r="M6">
        <v>5</v>
      </c>
      <c r="N6" s="14">
        <f>(D6+O7+N5)/(I6+1)-O6</f>
        <v>32.715513790071597</v>
      </c>
      <c r="O6">
        <v>31.906106766417</v>
      </c>
      <c r="P6">
        <v>1</v>
      </c>
      <c r="Q6">
        <f t="shared" si="4"/>
        <v>55.2</v>
      </c>
      <c r="S6">
        <f t="shared" si="5"/>
        <v>26.70967741935484</v>
      </c>
      <c r="U6">
        <v>0</v>
      </c>
      <c r="V6">
        <f t="shared" si="2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1"/>
      <c r="AC6" s="4">
        <v>5</v>
      </c>
      <c r="AD6" s="1">
        <v>26.036399214896399</v>
      </c>
      <c r="AE6" s="1">
        <v>24.050348164184602</v>
      </c>
      <c r="AF6" s="1">
        <v>27.739040126014899</v>
      </c>
    </row>
    <row r="7" spans="1:32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6"/>
        <v>18</v>
      </c>
      <c r="I7">
        <f t="shared" si="0"/>
        <v>0</v>
      </c>
      <c r="J7">
        <f t="shared" si="1"/>
        <v>0</v>
      </c>
      <c r="M7">
        <v>6</v>
      </c>
      <c r="N7" s="14">
        <f>(D7+O8+N6)/(I7+1)-O7</f>
        <v>30.468159470664602</v>
      </c>
      <c r="O7">
        <v>23.4155137900716</v>
      </c>
      <c r="P7">
        <v>1</v>
      </c>
      <c r="Q7">
        <f t="shared" si="4"/>
        <v>0</v>
      </c>
      <c r="S7">
        <f t="shared" si="5"/>
        <v>0</v>
      </c>
      <c r="U7">
        <v>0</v>
      </c>
      <c r="V7">
        <f t="shared" si="2"/>
        <v>-124860.05035202</v>
      </c>
      <c r="W7">
        <v>-141277.38461197601</v>
      </c>
      <c r="X7">
        <v>0</v>
      </c>
      <c r="Y7">
        <v>0</v>
      </c>
      <c r="Z7">
        <v>0</v>
      </c>
      <c r="AB7" s="31"/>
      <c r="AC7" s="4">
        <v>6</v>
      </c>
      <c r="AD7" s="1">
        <v>26.207099493930599</v>
      </c>
      <c r="AE7" s="1">
        <v>16.7362405377912</v>
      </c>
      <c r="AF7" s="1">
        <v>32.748497660796303</v>
      </c>
    </row>
    <row r="8" spans="1:32" x14ac:dyDescent="0.25">
      <c r="A8">
        <v>7</v>
      </c>
      <c r="B8">
        <v>0</v>
      </c>
      <c r="C8">
        <v>0</v>
      </c>
      <c r="D8">
        <v>0</v>
      </c>
      <c r="F8">
        <f t="shared" si="3"/>
        <v>27.3</v>
      </c>
      <c r="G8">
        <f t="shared" si="6"/>
        <v>18</v>
      </c>
      <c r="I8">
        <f t="shared" si="0"/>
        <v>0</v>
      </c>
      <c r="J8">
        <f t="shared" si="1"/>
        <v>0</v>
      </c>
      <c r="M8">
        <v>7</v>
      </c>
      <c r="N8" s="14">
        <f t="shared" ref="N8:N9" si="7">(D8+O9+N7)/(I8+1)-O8</f>
        <v>29.550342733754601</v>
      </c>
      <c r="O8">
        <v>21.168159470664602</v>
      </c>
      <c r="P8">
        <v>1</v>
      </c>
      <c r="Q8">
        <f t="shared" si="4"/>
        <v>0</v>
      </c>
      <c r="S8">
        <f t="shared" si="5"/>
        <v>0</v>
      </c>
      <c r="U8">
        <v>0</v>
      </c>
      <c r="V8">
        <f t="shared" si="2"/>
        <v>-187560.92594549301</v>
      </c>
      <c r="W8">
        <v>-144743.49106657901</v>
      </c>
      <c r="X8">
        <v>0</v>
      </c>
      <c r="Y8">
        <v>0</v>
      </c>
      <c r="Z8">
        <v>0</v>
      </c>
      <c r="AB8" s="31"/>
      <c r="AC8" s="4">
        <v>7</v>
      </c>
      <c r="AD8" s="1">
        <v>26.116418529036</v>
      </c>
      <c r="AE8" s="1">
        <v>16.906940816825401</v>
      </c>
      <c r="AF8" s="1">
        <v>37.3819776296641</v>
      </c>
    </row>
    <row r="9" spans="1:32" x14ac:dyDescent="0.25">
      <c r="A9">
        <v>8</v>
      </c>
      <c r="B9">
        <v>0</v>
      </c>
      <c r="C9">
        <v>0</v>
      </c>
      <c r="D9">
        <v>0</v>
      </c>
      <c r="F9">
        <f t="shared" si="3"/>
        <v>27.3</v>
      </c>
      <c r="G9">
        <f t="shared" si="6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7"/>
        <v>28.989148261254499</v>
      </c>
      <c r="O9">
        <v>20.2503427337546</v>
      </c>
      <c r="P9">
        <v>1</v>
      </c>
      <c r="Q9">
        <f t="shared" si="4"/>
        <v>0</v>
      </c>
      <c r="S9">
        <f t="shared" si="5"/>
        <v>0</v>
      </c>
      <c r="U9">
        <v>0</v>
      </c>
      <c r="V9">
        <f t="shared" si="2"/>
        <v>-176105.92935862599</v>
      </c>
      <c r="W9">
        <v>-146562.49602046399</v>
      </c>
      <c r="X9">
        <v>0</v>
      </c>
      <c r="Y9">
        <v>0</v>
      </c>
      <c r="Z9">
        <v>0</v>
      </c>
      <c r="AB9" s="31"/>
      <c r="AC9" s="4">
        <v>8</v>
      </c>
      <c r="AD9" s="1">
        <v>26.099089973248098</v>
      </c>
      <c r="AE9" s="1">
        <v>16.816259851930798</v>
      </c>
      <c r="AF9" s="1">
        <v>43.074263272006498</v>
      </c>
    </row>
    <row r="10" spans="1:32" x14ac:dyDescent="0.25">
      <c r="A10">
        <v>9</v>
      </c>
      <c r="B10">
        <v>0</v>
      </c>
      <c r="C10">
        <v>0</v>
      </c>
      <c r="D10">
        <v>0</v>
      </c>
      <c r="F10">
        <f t="shared" si="3"/>
        <v>27.3</v>
      </c>
      <c r="G10">
        <f t="shared" si="6"/>
        <v>18</v>
      </c>
      <c r="I10">
        <f t="shared" si="0"/>
        <v>0</v>
      </c>
      <c r="J10">
        <f t="shared" si="1"/>
        <v>0</v>
      </c>
      <c r="M10">
        <v>9</v>
      </c>
      <c r="N10" s="14">
        <f>(D10+O11+N9)/(I10+1)-O10</f>
        <v>28.499614341478296</v>
      </c>
      <c r="O10">
        <v>19.689148261254498</v>
      </c>
      <c r="P10">
        <v>1</v>
      </c>
      <c r="Q10">
        <f t="shared" si="4"/>
        <v>0</v>
      </c>
      <c r="S10">
        <f t="shared" si="5"/>
        <v>0</v>
      </c>
      <c r="U10">
        <v>0</v>
      </c>
      <c r="V10">
        <f t="shared" si="2"/>
        <v>112909.518763106</v>
      </c>
      <c r="W10">
        <v>-147421.37476595899</v>
      </c>
      <c r="X10">
        <v>0</v>
      </c>
      <c r="Y10">
        <v>0</v>
      </c>
      <c r="Z10">
        <v>0</v>
      </c>
      <c r="AB10" s="31"/>
      <c r="AC10" s="4">
        <v>9</v>
      </c>
      <c r="AD10" s="1">
        <v>26.2015883534268</v>
      </c>
      <c r="AE10" s="1">
        <v>16.7989312961429</v>
      </c>
      <c r="AF10" s="1">
        <v>49.128270014461897</v>
      </c>
    </row>
    <row r="11" spans="1:32" x14ac:dyDescent="0.25">
      <c r="A11">
        <v>10</v>
      </c>
      <c r="B11">
        <v>0</v>
      </c>
      <c r="C11">
        <v>0</v>
      </c>
      <c r="D11">
        <v>0</v>
      </c>
      <c r="F11">
        <f t="shared" si="3"/>
        <v>27.3</v>
      </c>
      <c r="G11">
        <f t="shared" si="6"/>
        <v>18</v>
      </c>
      <c r="I11">
        <f t="shared" si="0"/>
        <v>0</v>
      </c>
      <c r="J11">
        <f t="shared" si="1"/>
        <v>0</v>
      </c>
      <c r="M11">
        <v>10</v>
      </c>
      <c r="N11" s="14">
        <f>(D11+O12+N10)/(I11+1)-O11</f>
        <v>27.958744928028697</v>
      </c>
      <c r="O11">
        <v>19.199614341478298</v>
      </c>
      <c r="P11">
        <v>1</v>
      </c>
      <c r="Q11">
        <f t="shared" si="4"/>
        <v>0</v>
      </c>
      <c r="S11">
        <f t="shared" si="5"/>
        <v>0</v>
      </c>
      <c r="U11">
        <v>0</v>
      </c>
      <c r="V11">
        <f t="shared" si="2"/>
        <v>-201321.171371234</v>
      </c>
      <c r="W11">
        <v>-147918.920130657</v>
      </c>
      <c r="X11">
        <v>0</v>
      </c>
      <c r="Y11">
        <v>0</v>
      </c>
      <c r="Z11">
        <v>0</v>
      </c>
      <c r="AB11" s="31"/>
      <c r="AC11" s="4">
        <v>10</v>
      </c>
      <c r="AD11" s="1">
        <v>26.189796836678799</v>
      </c>
      <c r="AE11" s="1">
        <v>16.901429676321602</v>
      </c>
      <c r="AF11" s="1">
        <v>54.728997348304503</v>
      </c>
    </row>
    <row r="12" spans="1:32" x14ac:dyDescent="0.25">
      <c r="A12">
        <v>11</v>
      </c>
      <c r="B12">
        <v>0</v>
      </c>
      <c r="C12">
        <v>0</v>
      </c>
      <c r="D12">
        <v>0</v>
      </c>
      <c r="F12">
        <f t="shared" si="3"/>
        <v>27.3</v>
      </c>
      <c r="G12">
        <f t="shared" si="6"/>
        <v>18</v>
      </c>
      <c r="I12">
        <f t="shared" si="0"/>
        <v>0</v>
      </c>
      <c r="J12">
        <f t="shared" si="1"/>
        <v>0</v>
      </c>
      <c r="M12">
        <v>11</v>
      </c>
      <c r="N12" s="14">
        <f>(D12+O13+N11)/(I12+1)-O12</f>
        <v>27.299999999999994</v>
      </c>
      <c r="O12">
        <v>18.6587449280287</v>
      </c>
      <c r="P12">
        <v>1</v>
      </c>
      <c r="Q12">
        <f t="shared" si="4"/>
        <v>0</v>
      </c>
      <c r="S12">
        <f t="shared" si="5"/>
        <v>0</v>
      </c>
      <c r="U12">
        <v>0</v>
      </c>
      <c r="V12">
        <f t="shared" si="2"/>
        <v>-195151.325047191</v>
      </c>
      <c r="W12">
        <v>-148547.87614082301</v>
      </c>
      <c r="X12">
        <v>0</v>
      </c>
      <c r="Y12">
        <v>0</v>
      </c>
      <c r="Z12">
        <v>0</v>
      </c>
      <c r="AB12" s="31"/>
      <c r="AC12" s="4">
        <v>11</v>
      </c>
      <c r="AD12" s="1">
        <v>25.511424209470999</v>
      </c>
      <c r="AE12" s="1">
        <v>16.8896381595736</v>
      </c>
      <c r="AF12" s="1">
        <v>60.958189063953597</v>
      </c>
    </row>
    <row r="13" spans="1:32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6"/>
        <v>18</v>
      </c>
      <c r="I13">
        <f>(B13+C13)/(F13+G13)</f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>
        <v>18</v>
      </c>
      <c r="P13">
        <v>1</v>
      </c>
      <c r="U13">
        <v>0</v>
      </c>
      <c r="V13">
        <f t="shared" si="2"/>
        <v>-196738.49100297401</v>
      </c>
      <c r="W13">
        <v>-150008.51962527301</v>
      </c>
      <c r="X13">
        <v>0</v>
      </c>
      <c r="Y13">
        <v>0</v>
      </c>
      <c r="Z13">
        <v>0</v>
      </c>
      <c r="AB13" s="31"/>
      <c r="AC13" s="4">
        <v>12</v>
      </c>
      <c r="AD13" s="1">
        <v>9.3001586771051894</v>
      </c>
      <c r="AE13" s="1">
        <v>16.2112655323659</v>
      </c>
      <c r="AF13" s="1">
        <v>72.912097970374106</v>
      </c>
    </row>
    <row r="14" spans="1:32" x14ac:dyDescent="0.25">
      <c r="Q14">
        <f>SUM(Q3:Q12)</f>
        <v>55.2</v>
      </c>
      <c r="S14">
        <f>SUM(S3:S12)</f>
        <v>26.70967741935484</v>
      </c>
    </row>
    <row r="15" spans="1:32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18.000346885249801</v>
      </c>
      <c r="M18" s="1">
        <f>AD2+B2+C2</f>
        <v>18.000299833946301</v>
      </c>
      <c r="N18" s="1">
        <f>L18-M18</f>
        <v>4.7051303500467156E-5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8">B19-C19</f>
        <v>0</v>
      </c>
      <c r="F19" s="4">
        <v>2</v>
      </c>
      <c r="G19" s="1">
        <f>D3+N2+O4</f>
        <v>51.322076055184702</v>
      </c>
      <c r="H19" s="1">
        <f>B3+C3+O3+N3</f>
        <v>51.322076055184702</v>
      </c>
      <c r="I19" s="1">
        <f t="shared" ref="I19:I29" si="9">G19-H19</f>
        <v>0</v>
      </c>
      <c r="K19" s="4">
        <v>2</v>
      </c>
      <c r="L19" s="1">
        <f>D2+AD2+AE4</f>
        <v>38.737690191942804</v>
      </c>
      <c r="M19" s="1">
        <f>B3+C3+AE3+AD3</f>
        <v>38.737690191942804</v>
      </c>
      <c r="N19" s="1">
        <f t="shared" ref="N19:N29" si="10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8"/>
        <v>0</v>
      </c>
      <c r="F20" s="4">
        <v>3</v>
      </c>
      <c r="G20" s="1">
        <f t="shared" ref="G20:G28" si="11">D4+N3+O5</f>
        <v>66.887853097652396</v>
      </c>
      <c r="H20" s="4">
        <f t="shared" ref="H20:H28" si="12">B4+C4+N4+O4</f>
        <v>66.887853097652396</v>
      </c>
      <c r="I20" s="1">
        <f t="shared" si="9"/>
        <v>0</v>
      </c>
      <c r="K20" s="4">
        <v>3</v>
      </c>
      <c r="L20" s="1">
        <f t="shared" ref="L20:L28" si="13">D3+AD3+AE5</f>
        <v>46.166091343842794</v>
      </c>
      <c r="M20" s="1">
        <f t="shared" ref="M20:M28" si="14">B4+C4+AD4+AE4</f>
        <v>46.166091343842801</v>
      </c>
      <c r="N20" s="1">
        <f t="shared" si="10"/>
        <v>0</v>
      </c>
    </row>
    <row r="21" spans="1:14" x14ac:dyDescent="0.25">
      <c r="A21" s="4">
        <v>4</v>
      </c>
      <c r="B21" s="4">
        <f>D5+F4+G6</f>
        <v>31.5</v>
      </c>
      <c r="C21" s="4">
        <f t="shared" ref="C21:C28" si="15">B5+C5+F5+G5</f>
        <v>31.5</v>
      </c>
      <c r="D21" s="4">
        <f t="shared" si="8"/>
        <v>0</v>
      </c>
      <c r="F21" s="4">
        <v>4</v>
      </c>
      <c r="G21" s="4">
        <f t="shared" si="11"/>
        <v>60.971883808884698</v>
      </c>
      <c r="H21" s="4">
        <f t="shared" si="12"/>
        <v>60.971883808884698</v>
      </c>
      <c r="I21" s="1">
        <f t="shared" si="9"/>
        <v>0</v>
      </c>
      <c r="K21" s="4">
        <v>4</v>
      </c>
      <c r="L21" s="1">
        <f t="shared" si="13"/>
        <v>44.979049150030903</v>
      </c>
      <c r="M21" s="1">
        <f t="shared" si="14"/>
        <v>44.979049150030804</v>
      </c>
      <c r="N21" s="1">
        <f t="shared" si="10"/>
        <v>9.9475983006414026E-14</v>
      </c>
    </row>
    <row r="22" spans="1:14" x14ac:dyDescent="0.25">
      <c r="A22" s="4">
        <v>5</v>
      </c>
      <c r="B22" s="4">
        <f>D6+F5+G7</f>
        <v>45.3</v>
      </c>
      <c r="C22" s="4">
        <f t="shared" si="15"/>
        <v>45.3</v>
      </c>
      <c r="D22" s="4">
        <f t="shared" si="8"/>
        <v>0</v>
      </c>
      <c r="F22" s="4">
        <v>5</v>
      </c>
      <c r="G22" s="4">
        <f t="shared" si="11"/>
        <v>64.621620556488594</v>
      </c>
      <c r="H22" s="4">
        <f t="shared" si="12"/>
        <v>64.621620556488594</v>
      </c>
      <c r="I22" s="1">
        <f t="shared" si="9"/>
        <v>0</v>
      </c>
      <c r="K22" s="4">
        <v>5</v>
      </c>
      <c r="L22" s="1">
        <f t="shared" si="13"/>
        <v>36.286541650672206</v>
      </c>
      <c r="M22" s="1">
        <f t="shared" si="14"/>
        <v>50.086747379081004</v>
      </c>
      <c r="N22" s="1">
        <f>L22-M22</f>
        <v>-13.800205728408798</v>
      </c>
    </row>
    <row r="23" spans="1:14" x14ac:dyDescent="0.25">
      <c r="A23" s="4">
        <v>6</v>
      </c>
      <c r="B23" s="4">
        <f t="shared" ref="B23:B28" si="16">D7+F6+G8</f>
        <v>45.3</v>
      </c>
      <c r="C23" s="4">
        <f t="shared" si="15"/>
        <v>45.3</v>
      </c>
      <c r="D23" s="4">
        <f t="shared" si="8"/>
        <v>0</v>
      </c>
      <c r="F23" s="4">
        <v>6</v>
      </c>
      <c r="G23" s="4">
        <f t="shared" si="11"/>
        <v>53.883673260736202</v>
      </c>
      <c r="H23" s="4">
        <f t="shared" si="12"/>
        <v>53.883673260736202</v>
      </c>
      <c r="I23" s="1">
        <f t="shared" si="9"/>
        <v>0</v>
      </c>
      <c r="K23" s="4">
        <v>6</v>
      </c>
      <c r="L23" s="1">
        <f t="shared" si="13"/>
        <v>56.7433400317218</v>
      </c>
      <c r="M23" s="1">
        <f t="shared" si="14"/>
        <v>42.943340031721803</v>
      </c>
      <c r="N23" s="1">
        <f>L23-M23</f>
        <v>13.799999999999997</v>
      </c>
    </row>
    <row r="24" spans="1:14" x14ac:dyDescent="0.25">
      <c r="A24" s="4">
        <v>7</v>
      </c>
      <c r="B24" s="4">
        <f t="shared" si="16"/>
        <v>45.3</v>
      </c>
      <c r="C24" s="4">
        <f t="shared" si="15"/>
        <v>45.3</v>
      </c>
      <c r="D24" s="4">
        <f t="shared" si="8"/>
        <v>0</v>
      </c>
      <c r="F24" s="4">
        <v>7</v>
      </c>
      <c r="G24" s="4">
        <f t="shared" si="11"/>
        <v>50.718502204419202</v>
      </c>
      <c r="H24" s="4">
        <f t="shared" si="12"/>
        <v>50.718502204419202</v>
      </c>
      <c r="I24" s="1">
        <f t="shared" si="9"/>
        <v>0</v>
      </c>
      <c r="K24" s="4">
        <v>7</v>
      </c>
      <c r="L24" s="1">
        <f t="shared" si="13"/>
        <v>43.023359345861394</v>
      </c>
      <c r="M24" s="1">
        <f t="shared" si="14"/>
        <v>43.023359345861401</v>
      </c>
      <c r="N24" s="1">
        <f t="shared" si="10"/>
        <v>0</v>
      </c>
    </row>
    <row r="25" spans="1:14" x14ac:dyDescent="0.25">
      <c r="A25" s="4">
        <v>8</v>
      </c>
      <c r="B25" s="4">
        <f t="shared" si="16"/>
        <v>45.3</v>
      </c>
      <c r="C25" s="4">
        <f t="shared" si="15"/>
        <v>45.3</v>
      </c>
      <c r="D25" s="4">
        <f t="shared" si="8"/>
        <v>0</v>
      </c>
      <c r="F25" s="4">
        <v>8</v>
      </c>
      <c r="G25" s="4">
        <f t="shared" si="11"/>
        <v>49.239490995009099</v>
      </c>
      <c r="H25" s="4">
        <f t="shared" si="12"/>
        <v>49.239490995009099</v>
      </c>
      <c r="I25" s="1">
        <f t="shared" si="9"/>
        <v>0</v>
      </c>
      <c r="K25" s="4">
        <v>8</v>
      </c>
      <c r="L25" s="1">
        <f t="shared" si="13"/>
        <v>42.9153498251789</v>
      </c>
      <c r="M25" s="1">
        <f t="shared" si="14"/>
        <v>42.915349825178893</v>
      </c>
      <c r="N25" s="1">
        <f t="shared" si="10"/>
        <v>0</v>
      </c>
    </row>
    <row r="26" spans="1:14" x14ac:dyDescent="0.25">
      <c r="A26" s="4">
        <v>9</v>
      </c>
      <c r="B26" s="4">
        <f t="shared" si="16"/>
        <v>45.3</v>
      </c>
      <c r="C26" s="4">
        <f t="shared" si="15"/>
        <v>45.3</v>
      </c>
      <c r="D26" s="4">
        <f t="shared" si="8"/>
        <v>0</v>
      </c>
      <c r="F26" s="4">
        <v>9</v>
      </c>
      <c r="G26" s="4">
        <f t="shared" si="11"/>
        <v>48.188762602732794</v>
      </c>
      <c r="H26" s="4">
        <f t="shared" si="12"/>
        <v>48.188762602732794</v>
      </c>
      <c r="I26" s="1">
        <f t="shared" si="9"/>
        <v>0</v>
      </c>
      <c r="K26" s="4">
        <v>9</v>
      </c>
      <c r="L26" s="1">
        <f t="shared" si="13"/>
        <v>43.000519649569696</v>
      </c>
      <c r="M26" s="1">
        <f t="shared" si="14"/>
        <v>43.000519649569696</v>
      </c>
      <c r="N26" s="1">
        <f t="shared" si="10"/>
        <v>0</v>
      </c>
    </row>
    <row r="27" spans="1:14" x14ac:dyDescent="0.25">
      <c r="A27" s="4">
        <v>10</v>
      </c>
      <c r="B27" s="4">
        <f t="shared" si="16"/>
        <v>45.3</v>
      </c>
      <c r="C27" s="4">
        <f t="shared" si="15"/>
        <v>45.3</v>
      </c>
      <c r="D27" s="4">
        <f t="shared" si="8"/>
        <v>0</v>
      </c>
      <c r="F27" s="4">
        <v>10</v>
      </c>
      <c r="G27" s="4">
        <f t="shared" si="11"/>
        <v>47.158359269506995</v>
      </c>
      <c r="H27" s="4">
        <f t="shared" si="12"/>
        <v>47.158359269506995</v>
      </c>
      <c r="I27" s="1">
        <f t="shared" si="9"/>
        <v>0</v>
      </c>
      <c r="K27" s="4">
        <v>10</v>
      </c>
      <c r="L27" s="1">
        <f t="shared" si="13"/>
        <v>43.0912265130004</v>
      </c>
      <c r="M27" s="1">
        <f t="shared" si="14"/>
        <v>43.0912265130004</v>
      </c>
      <c r="N27" s="1">
        <f t="shared" si="10"/>
        <v>0</v>
      </c>
    </row>
    <row r="28" spans="1:14" x14ac:dyDescent="0.25">
      <c r="A28" s="4">
        <v>11</v>
      </c>
      <c r="B28" s="4">
        <f t="shared" si="16"/>
        <v>45.3</v>
      </c>
      <c r="C28" s="4">
        <f t="shared" si="15"/>
        <v>45.3</v>
      </c>
      <c r="D28" s="4">
        <f t="shared" si="8"/>
        <v>0</v>
      </c>
      <c r="F28" s="4">
        <v>11</v>
      </c>
      <c r="G28" s="4">
        <f t="shared" si="11"/>
        <v>45.958744928028693</v>
      </c>
      <c r="H28" s="4">
        <f t="shared" si="12"/>
        <v>45.958744928028693</v>
      </c>
      <c r="I28" s="1">
        <f t="shared" si="9"/>
        <v>0</v>
      </c>
      <c r="K28" s="4">
        <v>11</v>
      </c>
      <c r="L28" s="1">
        <f t="shared" si="13"/>
        <v>42.401062369044695</v>
      </c>
      <c r="M28" s="1">
        <f t="shared" si="14"/>
        <v>42.401062369044595</v>
      </c>
      <c r="N28" s="1">
        <f t="shared" si="10"/>
        <v>9.9475983006414026E-14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8"/>
        <v>0</v>
      </c>
      <c r="F29" s="4">
        <v>12</v>
      </c>
      <c r="G29" s="1">
        <f>D13+N12</f>
        <v>27.299999999999994</v>
      </c>
      <c r="H29" s="1">
        <f>B13+C13+O13</f>
        <v>27.3</v>
      </c>
      <c r="I29" s="1">
        <f t="shared" si="9"/>
        <v>0</v>
      </c>
      <c r="K29" s="4">
        <v>12</v>
      </c>
      <c r="L29" s="1">
        <f>D13+AD12</f>
        <v>25.511424209470999</v>
      </c>
      <c r="M29" s="1">
        <f>B13+C13+AE13</f>
        <v>25.511265532365901</v>
      </c>
      <c r="N29" s="1">
        <f t="shared" si="10"/>
        <v>1.5867710509809285E-4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-10548367.793296982</v>
      </c>
      <c r="H34" s="1">
        <f>B3*V3+C3*W3+O3*W3+N3*V3+U3</f>
        <v>-7171545.0899022147</v>
      </c>
      <c r="I34" s="1">
        <f t="shared" ref="I34:I44" si="17">G34-H34</f>
        <v>-3376822.7033947669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8">D4*(Z4*Y4+(1-Z4)*X4)+N3*V3+O5*W5</f>
        <v>-9410831.0384740233</v>
      </c>
      <c r="H35" s="1">
        <f t="shared" ref="H35:H42" si="19">B4*V4+C4*W4+O4*W4+N4*V4+U4</f>
        <v>-8916346.3342728559</v>
      </c>
      <c r="I35" s="1">
        <f t="shared" si="17"/>
        <v>-494484.70420116745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8"/>
        <v>-8382203.2129694857</v>
      </c>
      <c r="H36" s="1">
        <f t="shared" si="19"/>
        <v>-9128637.1000317559</v>
      </c>
      <c r="I36" s="1">
        <f t="shared" si="17"/>
        <v>746433.88706227019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8"/>
        <v>-10470140.994258001</v>
      </c>
      <c r="H37" s="1">
        <f t="shared" si="19"/>
        <v>-10145444.87377492</v>
      </c>
      <c r="I37" s="1">
        <f t="shared" si="17"/>
        <v>-324696.12048308179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8"/>
        <v>-8955873.9908859655</v>
      </c>
      <c r="H38" s="1">
        <f t="shared" si="19"/>
        <v>-7112338.4732475309</v>
      </c>
      <c r="I38" s="1">
        <f t="shared" si="17"/>
        <v>-1843535.5176384347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8"/>
        <v>-6772196.7019694978</v>
      </c>
      <c r="H39" s="1">
        <f t="shared" si="19"/>
        <v>-8606442.9463877454</v>
      </c>
      <c r="I39" s="1">
        <f t="shared" si="17"/>
        <v>1834246.2444182476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8"/>
        <v>-8445090.9497946128</v>
      </c>
      <c r="H40" s="1">
        <f t="shared" si="19"/>
        <v>-8073101.67219216</v>
      </c>
      <c r="I40" s="1">
        <f t="shared" si="17"/>
        <v>-371989.27760245278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8"/>
        <v>-7945147.1161797652</v>
      </c>
      <c r="H41" s="1">
        <f t="shared" si="19"/>
        <v>315276.43558549928</v>
      </c>
      <c r="I41" s="1">
        <f t="shared" si="17"/>
        <v>-8260423.5517652649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8"/>
        <v>446160.80971841188</v>
      </c>
      <c r="H42" s="1">
        <f t="shared" si="19"/>
        <v>-8468673.4992968291</v>
      </c>
      <c r="I42" s="1">
        <f t="shared" si="17"/>
        <v>8914834.3090152405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8"/>
        <v>-8328840.6322351992</v>
      </c>
      <c r="H43" s="1">
        <f>B12*V12+C12*W12+O12*W12+N12*V12+U12</f>
        <v>-8099348.1043003295</v>
      </c>
      <c r="I43" s="1">
        <f t="shared" si="17"/>
        <v>-229492.52793486975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-5327631.1737883128</v>
      </c>
      <c r="H44" s="1">
        <f>B13*V13+C13*W13+O13*W13+U13</f>
        <v>-4529821.3195825722</v>
      </c>
      <c r="I44" s="1">
        <f t="shared" si="17"/>
        <v>-797809.85420574062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1367374.0377434827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0">C51+273.15</f>
        <v>305.42999999999995</v>
      </c>
      <c r="D52">
        <f t="shared" si="20"/>
        <v>369.9</v>
      </c>
      <c r="E52">
        <f t="shared" si="20"/>
        <v>408.04999999999995</v>
      </c>
      <c r="F52">
        <f t="shared" si="20"/>
        <v>425.15</v>
      </c>
      <c r="G52">
        <f t="shared" si="20"/>
        <v>460.34999999999997</v>
      </c>
      <c r="H52">
        <f t="shared" si="20"/>
        <v>469.65</v>
      </c>
      <c r="I52">
        <f t="shared" si="20"/>
        <v>507.84999999999997</v>
      </c>
      <c r="J52">
        <f t="shared" si="20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1">C54+273.15</f>
        <v>184.55000305175778</v>
      </c>
      <c r="D55">
        <f t="shared" si="21"/>
        <v>231.04800415039057</v>
      </c>
      <c r="E55">
        <f t="shared" si="21"/>
        <v>261.42001342773437</v>
      </c>
      <c r="F55">
        <f t="shared" si="21"/>
        <v>272.64801025390625</v>
      </c>
      <c r="G55">
        <f t="shared" si="21"/>
        <v>301.02801513671875</v>
      </c>
      <c r="H55">
        <f t="shared" si="21"/>
        <v>309.20901489257807</v>
      </c>
      <c r="I55">
        <f t="shared" si="21"/>
        <v>341.8800048828125</v>
      </c>
      <c r="J55">
        <f t="shared" si="21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8" si="22">C54/C51</f>
        <v>-2.7447334866246034</v>
      </c>
      <c r="D57">
        <f t="shared" si="22"/>
        <v>-0.43516274779958036</v>
      </c>
      <c r="E57">
        <f t="shared" si="22"/>
        <v>-8.6953199201375828E-2</v>
      </c>
      <c r="F57">
        <f t="shared" si="22"/>
        <v>-3.3025641190376777E-3</v>
      </c>
      <c r="G57">
        <f t="shared" si="22"/>
        <v>0.14892102102948079</v>
      </c>
      <c r="H57">
        <f t="shared" si="22"/>
        <v>0.18350643711235673</v>
      </c>
      <c r="I57">
        <f t="shared" si="22"/>
        <v>0.29284194666728802</v>
      </c>
      <c r="J57">
        <f t="shared" si="22"/>
        <v>0.36864797756466516</v>
      </c>
    </row>
    <row r="58" spans="1:10" x14ac:dyDescent="0.25">
      <c r="B58" s="4">
        <f>B55/B52</f>
        <v>0.58534347142108012</v>
      </c>
      <c r="C58" s="4">
        <f t="shared" si="22"/>
        <v>0.60423011181533515</v>
      </c>
      <c r="D58" s="4">
        <f t="shared" si="22"/>
        <v>0.62462288226653306</v>
      </c>
      <c r="E58" s="4">
        <f t="shared" si="22"/>
        <v>0.64065681516415729</v>
      </c>
      <c r="F58" s="4">
        <f t="shared" si="22"/>
        <v>0.64129838940116723</v>
      </c>
      <c r="G58" s="4">
        <f t="shared" si="22"/>
        <v>0.65391118743720811</v>
      </c>
      <c r="H58" s="4">
        <f t="shared" si="22"/>
        <v>0.65838180537118718</v>
      </c>
      <c r="I58" s="4">
        <f t="shared" si="22"/>
        <v>0.67319091244031215</v>
      </c>
      <c r="J58" s="4">
        <f t="shared" si="22"/>
        <v>0.687918189409915</v>
      </c>
    </row>
  </sheetData>
  <mergeCells count="1">
    <mergeCell ref="AB1:AB1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R3" sqref="R3"/>
    </sheetView>
  </sheetViews>
  <sheetFormatPr defaultRowHeight="15" x14ac:dyDescent="0.25"/>
  <cols>
    <col min="1" max="1" width="16.7109375" bestFit="1" customWidth="1"/>
    <col min="2" max="2" width="16.7109375" customWidth="1"/>
  </cols>
  <sheetData>
    <row r="1" spans="1:22" x14ac:dyDescent="0.25">
      <c r="A1" t="s">
        <v>165</v>
      </c>
      <c r="B1" t="s">
        <v>157</v>
      </c>
      <c r="C1" t="s">
        <v>199</v>
      </c>
      <c r="D1" t="s">
        <v>16</v>
      </c>
      <c r="E1" t="s">
        <v>181</v>
      </c>
      <c r="F1" t="s">
        <v>155</v>
      </c>
      <c r="G1" t="s">
        <v>156</v>
      </c>
      <c r="H1" t="s">
        <v>180</v>
      </c>
      <c r="I1" t="s">
        <v>179</v>
      </c>
      <c r="J1" t="s">
        <v>178</v>
      </c>
      <c r="K1" t="s">
        <v>177</v>
      </c>
      <c r="M1" t="s">
        <v>55</v>
      </c>
      <c r="N1" t="s">
        <v>200</v>
      </c>
      <c r="O1" s="24" t="s">
        <v>201</v>
      </c>
      <c r="P1" s="24" t="s">
        <v>202</v>
      </c>
      <c r="Q1" s="24" t="s">
        <v>203</v>
      </c>
      <c r="R1" s="24" t="s">
        <v>199</v>
      </c>
      <c r="T1" s="24" t="s">
        <v>20</v>
      </c>
      <c r="U1" s="24" t="s">
        <v>204</v>
      </c>
      <c r="V1" s="24" t="s">
        <v>205</v>
      </c>
    </row>
    <row r="2" spans="1:22" x14ac:dyDescent="0.25">
      <c r="A2">
        <v>1.73</v>
      </c>
      <c r="B2">
        <v>1</v>
      </c>
      <c r="C2">
        <v>0</v>
      </c>
      <c r="D2">
        <v>0</v>
      </c>
      <c r="E2">
        <v>0</v>
      </c>
      <c r="F2">
        <v>4.5</v>
      </c>
      <c r="G2">
        <v>0</v>
      </c>
      <c r="H2">
        <v>0</v>
      </c>
      <c r="I2">
        <v>0</v>
      </c>
      <c r="J2">
        <f>J18*$J$15</f>
        <v>-74957.333608159694</v>
      </c>
      <c r="K2">
        <f>K18*$K$15</f>
        <v>11283.3440412698</v>
      </c>
      <c r="L2">
        <f t="shared" ref="L2:L13" si="0">D2-F2-G2</f>
        <v>-4.5</v>
      </c>
      <c r="M2">
        <v>11</v>
      </c>
      <c r="N2">
        <f>SUM(L2:L11)</f>
        <v>9.3000000000000007</v>
      </c>
      <c r="R2">
        <v>0</v>
      </c>
      <c r="T2">
        <f>L2</f>
        <v>-4.5</v>
      </c>
      <c r="U2">
        <f>R3+T2-$R$2</f>
        <v>23.580948435943313</v>
      </c>
      <c r="V2">
        <f>D2+R3-F2-U2</f>
        <v>0</v>
      </c>
    </row>
    <row r="3" spans="1:22" x14ac:dyDescent="0.25">
      <c r="B3">
        <v>2</v>
      </c>
      <c r="C3">
        <v>32.944541138439298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13" si="1">J19*$J$15</f>
        <v>-114834.775509484</v>
      </c>
      <c r="K3">
        <f>K19</f>
        <v>-33763.508964799803</v>
      </c>
      <c r="L3">
        <f t="shared" si="0"/>
        <v>0</v>
      </c>
      <c r="M3">
        <v>10</v>
      </c>
      <c r="N3">
        <f>SUM(L2:L10)</f>
        <v>9.3000000000000007</v>
      </c>
      <c r="O3">
        <f>(I3*(1-E3)+J3*E3-K3)*D3+(K2-K3)*N3+(K3-J3)*G3</f>
        <v>418935.73295644735</v>
      </c>
      <c r="P3">
        <f t="shared" ref="P3:P12" si="2">J4-K3</f>
        <v>-91333.906337367196</v>
      </c>
      <c r="Q3">
        <f>J3-K2</f>
        <v>-126118.11955075379</v>
      </c>
      <c r="R3">
        <f>(P3*R4+O3)/Q3</f>
        <v>28.080948435943313</v>
      </c>
      <c r="S3">
        <v>18</v>
      </c>
      <c r="T3">
        <f>SUM(L2:L3)</f>
        <v>-4.5</v>
      </c>
      <c r="U3">
        <f t="shared" ref="U3:U12" si="3">R4+T3-$R$2</f>
        <v>38.86234267994918</v>
      </c>
      <c r="V3">
        <f>D3+R4+U2-U3-R3</f>
        <v>0</v>
      </c>
    </row>
    <row r="4" spans="1:22" x14ac:dyDescent="0.25">
      <c r="B4">
        <v>3</v>
      </c>
      <c r="C4">
        <v>43.271911799289398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-125097.41530216701</v>
      </c>
      <c r="K4">
        <f t="shared" ref="K4:K13" si="4">K20</f>
        <v>-25199.9240403189</v>
      </c>
      <c r="L4">
        <f t="shared" si="0"/>
        <v>0</v>
      </c>
      <c r="M4">
        <v>9</v>
      </c>
      <c r="N4">
        <f>SUM(L2:L9)</f>
        <v>9.3000000000000007</v>
      </c>
      <c r="O4">
        <f t="shared" ref="O4:O12" si="5">(I4*(1-E4)+J4*E4-K4)*D4+(K3-K4)*N4+(K4-J4)*G4</f>
        <v>-79641.339797672408</v>
      </c>
      <c r="P4">
        <f t="shared" si="2"/>
        <v>-103149.99188424609</v>
      </c>
      <c r="Q4">
        <f t="shared" ref="Q4:Q12" si="6">J4-K3</f>
        <v>-91333.906337367196</v>
      </c>
      <c r="R4">
        <f t="shared" ref="R4:R10" si="7">(P4*R5+O4)/Q4</f>
        <v>43.36234267994918</v>
      </c>
      <c r="T4">
        <f>SUM(L2:L4)</f>
        <v>-4.5</v>
      </c>
      <c r="U4">
        <f t="shared" si="3"/>
        <v>33.12298701348066</v>
      </c>
      <c r="V4">
        <f t="shared" ref="V4:V12" si="8">D4+R5+U3-U4-R4</f>
        <v>0</v>
      </c>
    </row>
    <row r="5" spans="1:22" x14ac:dyDescent="0.25">
      <c r="B5">
        <v>4</v>
      </c>
      <c r="C5">
        <v>38.688600925472002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1"/>
        <v>-128349.91592456499</v>
      </c>
      <c r="K5">
        <f t="shared" si="4"/>
        <v>-13326.7129545849</v>
      </c>
      <c r="L5">
        <f t="shared" si="0"/>
        <v>0</v>
      </c>
      <c r="M5">
        <v>8</v>
      </c>
      <c r="N5">
        <f>SUM(L2:L8)</f>
        <v>9.3000000000000007</v>
      </c>
      <c r="O5">
        <f t="shared" si="5"/>
        <v>-110420.8630973262</v>
      </c>
      <c r="P5">
        <f t="shared" si="2"/>
        <v>-119000.97497962309</v>
      </c>
      <c r="Q5">
        <f t="shared" si="6"/>
        <v>-103149.99188424609</v>
      </c>
      <c r="R5">
        <f t="shared" si="7"/>
        <v>37.62298701348066</v>
      </c>
      <c r="T5">
        <f>SUM(L2:L5)</f>
        <v>-4.5</v>
      </c>
      <c r="U5">
        <f t="shared" si="3"/>
        <v>27.183689504644104</v>
      </c>
      <c r="V5">
        <f t="shared" si="8"/>
        <v>0</v>
      </c>
    </row>
    <row r="6" spans="1:22" x14ac:dyDescent="0.25">
      <c r="B6">
        <v>5</v>
      </c>
      <c r="C6">
        <v>33.984245272389998</v>
      </c>
      <c r="D6">
        <v>13.8</v>
      </c>
      <c r="E6">
        <v>0.42134857177734403</v>
      </c>
      <c r="F6">
        <v>0</v>
      </c>
      <c r="G6">
        <v>0</v>
      </c>
      <c r="H6">
        <v>-127001.378460454</v>
      </c>
      <c r="I6">
        <v>46299.904034970401</v>
      </c>
      <c r="J6">
        <f t="shared" si="1"/>
        <v>-132327.68793420799</v>
      </c>
      <c r="K6">
        <f t="shared" si="4"/>
        <v>10661.5307713367</v>
      </c>
      <c r="L6">
        <f>D6-F6-G6</f>
        <v>13.8</v>
      </c>
      <c r="M6">
        <v>7</v>
      </c>
      <c r="N6">
        <f>SUM(L2:L7)</f>
        <v>9.3000000000000007</v>
      </c>
      <c r="O6">
        <f t="shared" si="5"/>
        <v>-769930.95004903083</v>
      </c>
      <c r="P6">
        <f t="shared" si="2"/>
        <v>-151575.25496984669</v>
      </c>
      <c r="Q6">
        <f t="shared" si="6"/>
        <v>-119000.97497962309</v>
      </c>
      <c r="R6">
        <f t="shared" si="7"/>
        <v>31.683689504644104</v>
      </c>
      <c r="T6">
        <f>SUM(L2:L6)</f>
        <v>9.3000000000000007</v>
      </c>
      <c r="U6">
        <f t="shared" si="3"/>
        <v>29.095176940669894</v>
      </c>
      <c r="V6">
        <f t="shared" si="8"/>
        <v>0</v>
      </c>
    </row>
    <row r="7" spans="1:22" x14ac:dyDescent="0.25">
      <c r="B7">
        <v>6</v>
      </c>
      <c r="C7">
        <v>23.989638343869199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1"/>
        <v>-140913.72419851</v>
      </c>
      <c r="K7">
        <f t="shared" si="4"/>
        <v>14403.503686275501</v>
      </c>
      <c r="L7">
        <f t="shared" si="0"/>
        <v>0</v>
      </c>
      <c r="M7">
        <v>6</v>
      </c>
      <c r="N7">
        <f>SUM(L2:L6)</f>
        <v>9.3000000000000007</v>
      </c>
      <c r="O7">
        <f t="shared" si="5"/>
        <v>-34800.348108930848</v>
      </c>
      <c r="P7">
        <f t="shared" si="2"/>
        <v>-158991.21212758351</v>
      </c>
      <c r="Q7">
        <f t="shared" si="6"/>
        <v>-151575.25496984669</v>
      </c>
      <c r="R7">
        <f t="shared" si="7"/>
        <v>19.795176940669894</v>
      </c>
      <c r="T7">
        <f>SUM(L2:L7)</f>
        <v>9.3000000000000007</v>
      </c>
      <c r="U7">
        <f t="shared" si="3"/>
        <v>27.952972099278838</v>
      </c>
      <c r="V7">
        <f t="shared" si="8"/>
        <v>0</v>
      </c>
    </row>
    <row r="8" spans="1:22" x14ac:dyDescent="0.25">
      <c r="B8">
        <v>7</v>
      </c>
      <c r="C8">
        <v>22.6517878082938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1"/>
        <v>-144587.708441308</v>
      </c>
      <c r="K8">
        <f t="shared" si="4"/>
        <v>16500.866541977201</v>
      </c>
      <c r="L8">
        <f t="shared" si="0"/>
        <v>0</v>
      </c>
      <c r="M8">
        <v>5</v>
      </c>
      <c r="N8">
        <f>SUM(L2:L5)</f>
        <v>-4.5</v>
      </c>
      <c r="O8">
        <f t="shared" si="5"/>
        <v>9438.1328506576501</v>
      </c>
      <c r="P8">
        <f t="shared" si="2"/>
        <v>-162999.31775212922</v>
      </c>
      <c r="Q8">
        <f t="shared" si="6"/>
        <v>-158991.21212758351</v>
      </c>
      <c r="R8">
        <f t="shared" si="7"/>
        <v>18.652972099278838</v>
      </c>
      <c r="T8">
        <f>SUM(L2:L8)</f>
        <v>9.3000000000000007</v>
      </c>
      <c r="U8">
        <f t="shared" si="3"/>
        <v>27.55220386027127</v>
      </c>
      <c r="V8">
        <f t="shared" si="8"/>
        <v>0</v>
      </c>
    </row>
    <row r="9" spans="1:22" x14ac:dyDescent="0.25">
      <c r="B9">
        <v>8</v>
      </c>
      <c r="C9">
        <v>21.975120971895301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1"/>
        <v>-146498.45121015201</v>
      </c>
      <c r="K9">
        <f t="shared" si="4"/>
        <v>18408.134733127401</v>
      </c>
      <c r="L9">
        <f t="shared" si="0"/>
        <v>0</v>
      </c>
      <c r="M9">
        <v>4</v>
      </c>
      <c r="N9">
        <f>SUM(L2:L4)</f>
        <v>-4.5</v>
      </c>
      <c r="O9">
        <f t="shared" si="5"/>
        <v>8582.706860175902</v>
      </c>
      <c r="P9">
        <f t="shared" si="2"/>
        <v>-165803.77011186341</v>
      </c>
      <c r="Q9">
        <f t="shared" si="6"/>
        <v>-162999.31775212922</v>
      </c>
      <c r="R9">
        <f t="shared" si="7"/>
        <v>18.252203860271269</v>
      </c>
      <c r="T9">
        <f>SUM(L2:L9)</f>
        <v>9.3000000000000007</v>
      </c>
      <c r="U9">
        <f t="shared" si="3"/>
        <v>27.295245111399836</v>
      </c>
      <c r="V9">
        <f t="shared" si="8"/>
        <v>0</v>
      </c>
    </row>
    <row r="10" spans="1:22" x14ac:dyDescent="0.25">
      <c r="B10">
        <v>9</v>
      </c>
      <c r="C10">
        <v>21.496448056380601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1"/>
        <v>-147395.63537873601</v>
      </c>
      <c r="K10">
        <f t="shared" si="4"/>
        <v>21495.883797724498</v>
      </c>
      <c r="L10">
        <f t="shared" si="0"/>
        <v>0</v>
      </c>
      <c r="M10">
        <v>3</v>
      </c>
      <c r="N10">
        <f>SUM(L2:L3)</f>
        <v>-4.5</v>
      </c>
      <c r="O10">
        <f t="shared" si="5"/>
        <v>13894.870790686939</v>
      </c>
      <c r="P10">
        <f t="shared" si="2"/>
        <v>-169404.4306430385</v>
      </c>
      <c r="Q10">
        <f t="shared" si="6"/>
        <v>-165803.77011186341</v>
      </c>
      <c r="R10">
        <f t="shared" si="7"/>
        <v>17.995245111399836</v>
      </c>
      <c r="T10">
        <f>SUM(L2:L10)</f>
        <v>9.3000000000000007</v>
      </c>
      <c r="U10">
        <f t="shared" si="3"/>
        <v>26.994781316931522</v>
      </c>
      <c r="V10">
        <f t="shared" si="8"/>
        <v>0</v>
      </c>
    </row>
    <row r="11" spans="1:22" x14ac:dyDescent="0.25">
      <c r="B11">
        <v>10</v>
      </c>
      <c r="C11">
        <v>20.870033044830901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1"/>
        <v>-147908.54684531401</v>
      </c>
      <c r="K11">
        <f t="shared" si="4"/>
        <v>27275.605246266401</v>
      </c>
      <c r="L11">
        <f t="shared" si="0"/>
        <v>0</v>
      </c>
      <c r="M11">
        <v>2</v>
      </c>
      <c r="N11">
        <f>SUM(L2)</f>
        <v>-4.5</v>
      </c>
      <c r="O11">
        <f t="shared" si="5"/>
        <v>26008.746518438562</v>
      </c>
      <c r="P11">
        <f t="shared" si="2"/>
        <v>-175819.25573237942</v>
      </c>
      <c r="Q11">
        <f t="shared" si="6"/>
        <v>-169404.4306430385</v>
      </c>
      <c r="R11">
        <f>(P11*R12+O11)/Q11</f>
        <v>17.694781316931522</v>
      </c>
      <c r="T11">
        <f>SUM(L2:L11)</f>
        <v>9.3000000000000007</v>
      </c>
      <c r="U11">
        <f t="shared" si="3"/>
        <v>26.497110113289292</v>
      </c>
      <c r="V11">
        <f t="shared" si="8"/>
        <v>0</v>
      </c>
    </row>
    <row r="12" spans="1:22" x14ac:dyDescent="0.25">
      <c r="B12">
        <v>11</v>
      </c>
      <c r="C12">
        <v>19.802863124896898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1"/>
        <v>-148543.65048611301</v>
      </c>
      <c r="K12">
        <f t="shared" si="4"/>
        <v>37921.715118711698</v>
      </c>
      <c r="L12">
        <f t="shared" si="0"/>
        <v>0</v>
      </c>
      <c r="N12">
        <f>SUM(L10:L12)</f>
        <v>0</v>
      </c>
      <c r="O12">
        <f t="shared" si="5"/>
        <v>0</v>
      </c>
      <c r="P12">
        <f t="shared" si="2"/>
        <v>-187928.5910166137</v>
      </c>
      <c r="Q12">
        <f t="shared" si="6"/>
        <v>-175819.25573237942</v>
      </c>
      <c r="R12">
        <f>(P12*R13+O12)/Q12</f>
        <v>17.197110113289291</v>
      </c>
      <c r="T12">
        <f>SUM(L2:L12)</f>
        <v>9.3000000000000007</v>
      </c>
      <c r="U12">
        <f t="shared" si="3"/>
        <v>25.389000000000003</v>
      </c>
      <c r="V12">
        <f t="shared" si="8"/>
        <v>0</v>
      </c>
    </row>
    <row r="13" spans="1:22" x14ac:dyDescent="0.25">
      <c r="B13">
        <v>12</v>
      </c>
      <c r="C13">
        <f>A2*F13</f>
        <v>16.089000000000002</v>
      </c>
      <c r="D13">
        <v>0</v>
      </c>
      <c r="E13">
        <v>0</v>
      </c>
      <c r="F13">
        <v>9.3000000000000007</v>
      </c>
      <c r="G13">
        <v>0</v>
      </c>
      <c r="H13">
        <v>0</v>
      </c>
      <c r="I13">
        <v>0</v>
      </c>
      <c r="J13">
        <f t="shared" si="1"/>
        <v>-150006.87589790201</v>
      </c>
      <c r="K13">
        <f t="shared" si="4"/>
        <v>57424.972644685899</v>
      </c>
      <c r="L13">
        <f t="shared" si="0"/>
        <v>-9.3000000000000007</v>
      </c>
      <c r="R13">
        <f>F13*A2</f>
        <v>16.089000000000002</v>
      </c>
      <c r="T13">
        <f>SUM(L2:L13)</f>
        <v>0</v>
      </c>
      <c r="U13">
        <f>F13</f>
        <v>9.3000000000000007</v>
      </c>
      <c r="V13">
        <f>D13+U12-U13-R13-G13</f>
        <v>0</v>
      </c>
    </row>
    <row r="15" spans="1:22" x14ac:dyDescent="0.25">
      <c r="J15">
        <v>1</v>
      </c>
      <c r="K15">
        <v>1</v>
      </c>
    </row>
    <row r="17" spans="10:11" x14ac:dyDescent="0.25">
      <c r="J17" t="s">
        <v>178</v>
      </c>
      <c r="K17" t="s">
        <v>177</v>
      </c>
    </row>
    <row r="18" spans="10:11" x14ac:dyDescent="0.25">
      <c r="J18">
        <v>-74957.333608159694</v>
      </c>
      <c r="K18">
        <v>11283.3440412698</v>
      </c>
    </row>
    <row r="19" spans="10:11" x14ac:dyDescent="0.25">
      <c r="J19">
        <v>-114834.775509484</v>
      </c>
      <c r="K19">
        <v>-33763.508964799803</v>
      </c>
    </row>
    <row r="20" spans="10:11" x14ac:dyDescent="0.25">
      <c r="J20">
        <v>-125097.41530216701</v>
      </c>
      <c r="K20">
        <v>-25199.9240403189</v>
      </c>
    </row>
    <row r="21" spans="10:11" x14ac:dyDescent="0.25">
      <c r="J21">
        <v>-128349.91592456499</v>
      </c>
      <c r="K21">
        <v>-13326.7129545849</v>
      </c>
    </row>
    <row r="22" spans="10:11" x14ac:dyDescent="0.25">
      <c r="J22">
        <v>-132327.68793420799</v>
      </c>
      <c r="K22">
        <v>10661.5307713367</v>
      </c>
    </row>
    <row r="23" spans="10:11" x14ac:dyDescent="0.25">
      <c r="J23">
        <v>-140913.72419851</v>
      </c>
      <c r="K23">
        <v>14403.503686275501</v>
      </c>
    </row>
    <row r="24" spans="10:11" x14ac:dyDescent="0.25">
      <c r="J24">
        <v>-144587.708441308</v>
      </c>
      <c r="K24">
        <v>16500.866541977201</v>
      </c>
    </row>
    <row r="25" spans="10:11" x14ac:dyDescent="0.25">
      <c r="J25">
        <v>-146498.45121015201</v>
      </c>
      <c r="K25">
        <v>18408.134733127401</v>
      </c>
    </row>
    <row r="26" spans="10:11" x14ac:dyDescent="0.25">
      <c r="J26">
        <v>-147395.63537873601</v>
      </c>
      <c r="K26">
        <v>21495.883797724498</v>
      </c>
    </row>
    <row r="27" spans="10:11" x14ac:dyDescent="0.25">
      <c r="J27">
        <v>-147908.54684531401</v>
      </c>
      <c r="K27">
        <v>27275.605246266401</v>
      </c>
    </row>
    <row r="28" spans="10:11" x14ac:dyDescent="0.25">
      <c r="J28">
        <v>-148543.65048611301</v>
      </c>
      <c r="K28">
        <v>37921.715118711698</v>
      </c>
    </row>
    <row r="29" spans="10:11" x14ac:dyDescent="0.25">
      <c r="J29">
        <v>-150006.87589790201</v>
      </c>
      <c r="K29">
        <v>57424.972644685899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4"/>
  <sheetViews>
    <sheetView tabSelected="1" topLeftCell="O1" workbookViewId="0">
      <selection activeCell="AE26" sqref="AE26"/>
    </sheetView>
  </sheetViews>
  <sheetFormatPr defaultRowHeight="15" x14ac:dyDescent="0.25"/>
  <sheetData>
    <row r="1" spans="1:38" x14ac:dyDescent="0.25">
      <c r="A1" t="s">
        <v>206</v>
      </c>
      <c r="N1" s="32">
        <v>1</v>
      </c>
      <c r="O1" s="32">
        <v>2</v>
      </c>
      <c r="P1" s="32">
        <v>3</v>
      </c>
      <c r="Q1" s="32">
        <v>4</v>
      </c>
      <c r="R1" s="32">
        <v>5</v>
      </c>
      <c r="S1" s="32">
        <v>6</v>
      </c>
      <c r="T1" s="32">
        <v>7</v>
      </c>
      <c r="U1" s="32">
        <v>8</v>
      </c>
      <c r="V1" s="32">
        <v>9</v>
      </c>
      <c r="W1" s="32">
        <v>10</v>
      </c>
      <c r="X1" s="32">
        <v>11</v>
      </c>
      <c r="Y1" s="32">
        <v>12</v>
      </c>
      <c r="AA1" s="32">
        <v>1</v>
      </c>
      <c r="AB1" s="32">
        <v>2</v>
      </c>
      <c r="AC1" s="32">
        <v>3</v>
      </c>
      <c r="AD1" s="32">
        <v>4</v>
      </c>
      <c r="AE1" s="32">
        <v>5</v>
      </c>
      <c r="AF1" s="32">
        <v>6</v>
      </c>
      <c r="AG1" s="32">
        <v>7</v>
      </c>
      <c r="AH1" s="32">
        <v>8</v>
      </c>
      <c r="AI1" s="32">
        <v>9</v>
      </c>
      <c r="AJ1" s="32">
        <v>10</v>
      </c>
      <c r="AK1" s="32">
        <v>11</v>
      </c>
      <c r="AL1" s="32">
        <v>12</v>
      </c>
    </row>
    <row r="3" spans="1:3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18">
        <v>0.99462492101449473</v>
      </c>
      <c r="O3" s="18">
        <v>5.7137861297218213E-2</v>
      </c>
      <c r="P3" s="18">
        <v>1.1403749787079549E-2</v>
      </c>
      <c r="Q3" s="18">
        <v>1.1660871928764749E-2</v>
      </c>
      <c r="R3" s="18">
        <v>1.1772628573707542E-2</v>
      </c>
      <c r="S3" s="18">
        <v>7.5697324282969229E-5</v>
      </c>
      <c r="T3" s="18">
        <v>4.7104321808558049E-7</v>
      </c>
      <c r="U3" s="18">
        <v>2.9429754779543094E-9</v>
      </c>
      <c r="V3" s="18">
        <v>1.875819131137431E-11</v>
      </c>
      <c r="W3" s="18">
        <v>1.2437263169766653E-13</v>
      </c>
      <c r="X3" s="18">
        <v>8.9353933964006076E-16</v>
      </c>
      <c r="Y3" s="18">
        <v>7.0203213719898806E-18</v>
      </c>
      <c r="AA3">
        <f>N3*A3</f>
        <v>0</v>
      </c>
      <c r="AB3">
        <f t="shared" ref="AB3:AL11" si="0">O3*B3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</row>
    <row r="4" spans="1:3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s="18">
        <v>5.1796834531926544E-3</v>
      </c>
      <c r="O4" s="18">
        <v>0.11446432255140951</v>
      </c>
      <c r="P4" s="18">
        <v>2.7819230458327203E-2</v>
      </c>
      <c r="Q4" s="18">
        <v>2.4168646895975938E-2</v>
      </c>
      <c r="R4" s="18">
        <v>2.4150056137909316E-2</v>
      </c>
      <c r="S4" s="18">
        <v>1.0735209683084212E-3</v>
      </c>
      <c r="T4" s="18">
        <v>4.4179799258828919E-5</v>
      </c>
      <c r="U4" s="18">
        <v>1.79590489819718E-6</v>
      </c>
      <c r="V4" s="18">
        <v>7.3695003295372257E-8</v>
      </c>
      <c r="W4" s="18">
        <v>3.1116637245451759E-9</v>
      </c>
      <c r="X4" s="18">
        <v>1.4007376657573076E-10</v>
      </c>
      <c r="Y4" s="18">
        <v>6.6165532118243978E-12</v>
      </c>
      <c r="AA4">
        <f t="shared" ref="AA4:AA11" si="1">N4*A4</f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</row>
    <row r="5" spans="1:3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18">
        <v>1.69799497610859E-4</v>
      </c>
      <c r="O5" s="18">
        <v>0.17187664622613752</v>
      </c>
      <c r="P5" s="18">
        <v>6.9321908879274835E-2</v>
      </c>
      <c r="Q5" s="18">
        <v>4.3823685907793133E-2</v>
      </c>
      <c r="R5" s="18">
        <v>3.9817531700977536E-2</v>
      </c>
      <c r="S5" s="18">
        <v>6.2920074031965001E-3</v>
      </c>
      <c r="T5" s="18">
        <v>8.9491063328938443E-4</v>
      </c>
      <c r="U5" s="18">
        <v>1.2442159348452728E-4</v>
      </c>
      <c r="V5" s="18">
        <v>1.734397603930037E-5</v>
      </c>
      <c r="W5" s="18">
        <v>2.4686400768253244E-6</v>
      </c>
      <c r="X5" s="18">
        <v>3.6865396876990282E-7</v>
      </c>
      <c r="Y5" s="18">
        <v>5.4759503180154318E-8</v>
      </c>
      <c r="AA5">
        <f t="shared" si="1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</row>
    <row r="6" spans="1:3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 s="18">
        <v>1.7861751135636902E-5</v>
      </c>
      <c r="O6" s="18">
        <v>0.22930777968415123</v>
      </c>
      <c r="P6" s="18">
        <v>0.18116168735989688</v>
      </c>
      <c r="Q6" s="18">
        <v>0.1089944180249182</v>
      </c>
      <c r="R6" s="18">
        <v>7.6779162871090226E-2</v>
      </c>
      <c r="S6" s="18">
        <v>3.0721287175746636E-2</v>
      </c>
      <c r="T6" s="18">
        <v>1.0866562883875651E-2</v>
      </c>
      <c r="U6" s="18">
        <v>3.7300082526704158E-3</v>
      </c>
      <c r="V6" s="18">
        <v>1.2753767208206872E-3</v>
      </c>
      <c r="W6" s="18">
        <v>4.4017245874140371E-4</v>
      </c>
      <c r="X6" s="18">
        <v>1.5494056122215409E-4</v>
      </c>
      <c r="Y6" s="18">
        <v>5.1043693970886127E-5</v>
      </c>
      <c r="AA6">
        <f t="shared" si="1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</row>
    <row r="7" spans="1:3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s="18">
        <v>7.5166485471317435E-6</v>
      </c>
      <c r="O7" s="18">
        <v>0.28649972963727444</v>
      </c>
      <c r="P7" s="18">
        <v>0.3051034360621539</v>
      </c>
      <c r="Q7" s="18">
        <v>0.2072675116257939</v>
      </c>
      <c r="R7" s="18">
        <v>0.13801777542927154</v>
      </c>
      <c r="S7" s="18">
        <v>7.6250093399455737E-2</v>
      </c>
      <c r="T7" s="18">
        <v>3.6895431122164868E-2</v>
      </c>
      <c r="U7" s="18">
        <v>1.7240359803656308E-2</v>
      </c>
      <c r="V7" s="18">
        <v>7.9793647857525785E-3</v>
      </c>
      <c r="W7" s="18">
        <v>3.6929603107305311E-3</v>
      </c>
      <c r="X7" s="18">
        <v>1.7140413180016015E-3</v>
      </c>
      <c r="Y7" s="18">
        <v>7.2826832626168294E-4</v>
      </c>
      <c r="AA7">
        <f t="shared" si="1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</row>
    <row r="8" spans="1:38" x14ac:dyDescent="0.25">
      <c r="A8">
        <v>686.2655921352</v>
      </c>
      <c r="B8">
        <v>690.85725447796995</v>
      </c>
      <c r="C8">
        <v>695.43510651977704</v>
      </c>
      <c r="D8">
        <v>699.99925220890998</v>
      </c>
      <c r="E8">
        <v>704.54979426029695</v>
      </c>
      <c r="F8">
        <v>709.086834175425</v>
      </c>
      <c r="G8">
        <v>713.61047226184405</v>
      </c>
      <c r="H8">
        <v>718.12080765227699</v>
      </c>
      <c r="I8">
        <v>722.61793832335195</v>
      </c>
      <c r="J8">
        <v>727.10196111394498</v>
      </c>
      <c r="K8">
        <v>731.572971743165</v>
      </c>
      <c r="L8">
        <v>740.476333900452</v>
      </c>
      <c r="N8" s="18">
        <v>1.4153419323669718E-7</v>
      </c>
      <c r="O8" s="18">
        <v>9.0166271589009597E-2</v>
      </c>
      <c r="P8" s="18">
        <v>0.24790799936204827</v>
      </c>
      <c r="Q8" s="18">
        <v>0.34833387489117323</v>
      </c>
      <c r="R8" s="18">
        <v>0.37021746456364252</v>
      </c>
      <c r="S8" s="18">
        <v>0.45251250674182442</v>
      </c>
      <c r="T8" s="18">
        <v>0.4732428639160457</v>
      </c>
      <c r="U8" s="18">
        <v>0.47065600671976432</v>
      </c>
      <c r="V8" s="18">
        <v>0.45562595180459065</v>
      </c>
      <c r="W8" s="18">
        <v>0.43079586923572599</v>
      </c>
      <c r="X8" s="18">
        <v>0.39471331276970784</v>
      </c>
      <c r="Y8" s="18">
        <v>0.3265649688214583</v>
      </c>
      <c r="AA8">
        <f t="shared" si="1"/>
        <v>9.713004692895981E-5</v>
      </c>
      <c r="AB8">
        <f t="shared" si="0"/>
        <v>62.292022836498155</v>
      </c>
      <c r="AC8">
        <f t="shared" si="0"/>
        <v>172.40392594345084</v>
      </c>
      <c r="AD8">
        <f t="shared" si="0"/>
        <v>243.83345194285326</v>
      </c>
      <c r="AE8">
        <f t="shared" si="0"/>
        <v>260.83663848988311</v>
      </c>
      <c r="AF8">
        <f t="shared" si="0"/>
        <v>320.87066083034591</v>
      </c>
      <c r="AG8">
        <f t="shared" si="0"/>
        <v>337.71106361367697</v>
      </c>
      <c r="AH8">
        <f t="shared" si="0"/>
        <v>337.98787167199265</v>
      </c>
      <c r="AI8">
        <f t="shared" si="0"/>
        <v>329.24348593964822</v>
      </c>
      <c r="AJ8">
        <f t="shared" si="0"/>
        <v>313.23252136108295</v>
      </c>
      <c r="AK8">
        <f t="shared" si="0"/>
        <v>288.76159120952451</v>
      </c>
      <c r="AL8">
        <f t="shared" si="0"/>
        <v>241.81363089322886</v>
      </c>
    </row>
    <row r="9" spans="1:38" x14ac:dyDescent="0.25">
      <c r="A9">
        <v>955.57385185810904</v>
      </c>
      <c r="B9">
        <v>960.37463707490201</v>
      </c>
      <c r="C9">
        <v>965.16081424548202</v>
      </c>
      <c r="D9">
        <v>969.93249373548099</v>
      </c>
      <c r="E9">
        <v>974.689784597992</v>
      </c>
      <c r="F9">
        <v>979.43279459480095</v>
      </c>
      <c r="G9">
        <v>984.16163021717796</v>
      </c>
      <c r="H9">
        <v>988.87639670625197</v>
      </c>
      <c r="I9">
        <v>993.57719807296905</v>
      </c>
      <c r="J9">
        <v>998.26413711764599</v>
      </c>
      <c r="K9">
        <v>1002.93731544915</v>
      </c>
      <c r="L9">
        <v>1012.24279056306</v>
      </c>
      <c r="N9" s="18">
        <v>7.609270800264603E-8</v>
      </c>
      <c r="O9" s="18">
        <v>5.0358138157222877E-2</v>
      </c>
      <c r="P9" s="18">
        <v>0.15520435857472625</v>
      </c>
      <c r="Q9" s="18">
        <v>0.244580818448974</v>
      </c>
      <c r="R9" s="18">
        <v>0.2908932576009986</v>
      </c>
      <c r="S9" s="18">
        <v>0.36978296679622685</v>
      </c>
      <c r="T9" s="18">
        <v>0.40589542658820116</v>
      </c>
      <c r="U9" s="18">
        <v>0.42681136420449528</v>
      </c>
      <c r="V9" s="18">
        <v>0.43976340814322484</v>
      </c>
      <c r="W9" s="18">
        <v>0.44518184625894996</v>
      </c>
      <c r="X9" s="18">
        <v>0.4388144337658384</v>
      </c>
      <c r="Y9" s="18">
        <v>0.39520189148905482</v>
      </c>
      <c r="AA9">
        <f t="shared" si="1"/>
        <v>7.2712202084402819E-5</v>
      </c>
      <c r="AB9">
        <f t="shared" si="0"/>
        <v>48.362678656510695</v>
      </c>
      <c r="AC9">
        <f t="shared" si="0"/>
        <v>149.79716509643055</v>
      </c>
      <c r="AD9">
        <f t="shared" si="0"/>
        <v>237.22688315807829</v>
      </c>
      <c r="AE9">
        <f t="shared" si="0"/>
        <v>283.53068659212551</v>
      </c>
      <c r="AF9">
        <f t="shared" si="0"/>
        <v>362.17756456278494</v>
      </c>
      <c r="AG9">
        <f t="shared" si="0"/>
        <v>399.46670472874092</v>
      </c>
      <c r="AH9">
        <f t="shared" si="0"/>
        <v>422.06368390782109</v>
      </c>
      <c r="AI9">
        <f t="shared" si="0"/>
        <v>436.93889487796486</v>
      </c>
      <c r="AJ9">
        <f t="shared" si="0"/>
        <v>444.4090716161312</v>
      </c>
      <c r="AK9">
        <f t="shared" si="0"/>
        <v>440.10337018144878</v>
      </c>
      <c r="AL9">
        <f t="shared" si="0"/>
        <v>400.04026547668047</v>
      </c>
    </row>
    <row r="10" spans="1:38" x14ac:dyDescent="0.25">
      <c r="A10">
        <v>2476.2617408389901</v>
      </c>
      <c r="B10">
        <v>2482.9928901005001</v>
      </c>
      <c r="C10">
        <v>2489.7033238250801</v>
      </c>
      <c r="D10">
        <v>2496.3931989952798</v>
      </c>
      <c r="E10">
        <v>2503.06267072336</v>
      </c>
      <c r="F10">
        <v>2509.7118922816499</v>
      </c>
      <c r="G10">
        <v>2516.34101513216</v>
      </c>
      <c r="H10">
        <v>2522.95018895564</v>
      </c>
      <c r="I10">
        <v>2529.5395616801102</v>
      </c>
      <c r="J10">
        <v>2536.1092795086702</v>
      </c>
      <c r="K10">
        <v>2542.65948694694</v>
      </c>
      <c r="L10">
        <v>2555.7019403476002</v>
      </c>
      <c r="N10" s="18">
        <v>8.1111088330825735E-12</v>
      </c>
      <c r="O10" s="18">
        <v>1.8647896703829795E-4</v>
      </c>
      <c r="P10" s="18">
        <v>1.9884137943471615E-3</v>
      </c>
      <c r="Q10" s="18">
        <v>9.915493048373681E-3</v>
      </c>
      <c r="R10" s="18">
        <v>3.592226061660625E-2</v>
      </c>
      <c r="S10" s="18">
        <v>4.6890928119570845E-2</v>
      </c>
      <c r="T10" s="18">
        <v>5.3508050741182318E-2</v>
      </c>
      <c r="U10" s="18">
        <v>6.054557292336455E-2</v>
      </c>
      <c r="V10" s="18">
        <v>7.113366817840884E-2</v>
      </c>
      <c r="W10" s="18">
        <v>8.9555275616799587E-2</v>
      </c>
      <c r="X10" s="18">
        <v>0.12217604163317321</v>
      </c>
      <c r="Y10" s="18">
        <v>0.18974031897879412</v>
      </c>
      <c r="AA10">
        <f t="shared" si="1"/>
        <v>2.0085228479143563E-8</v>
      </c>
      <c r="AB10">
        <f t="shared" si="0"/>
        <v>0.46302594930937929</v>
      </c>
      <c r="AC10">
        <f t="shared" si="0"/>
        <v>4.9505604329257675</v>
      </c>
      <c r="AD10">
        <f t="shared" si="0"/>
        <v>24.752969410645033</v>
      </c>
      <c r="AE10">
        <f t="shared" si="0"/>
        <v>89.915669597423019</v>
      </c>
      <c r="AF10">
        <f t="shared" si="0"/>
        <v>117.68271994181097</v>
      </c>
      <c r="AG10">
        <f t="shared" si="0"/>
        <v>134.64450271980985</v>
      </c>
      <c r="AH10">
        <f t="shared" si="0"/>
        <v>152.75346464743006</v>
      </c>
      <c r="AI10">
        <f t="shared" si="0"/>
        <v>179.9354278247107</v>
      </c>
      <c r="AJ10">
        <f t="shared" si="0"/>
        <v>227.12196552072197</v>
      </c>
      <c r="AK10">
        <f t="shared" si="0"/>
        <v>310.65207133621215</v>
      </c>
      <c r="AL10">
        <f t="shared" si="0"/>
        <v>484.91970137627669</v>
      </c>
    </row>
    <row r="11" spans="1:38" x14ac:dyDescent="0.25">
      <c r="A11">
        <v>4389.5275001148602</v>
      </c>
      <c r="B11">
        <v>4398.4395495910703</v>
      </c>
      <c r="C11">
        <v>4407.3239010735597</v>
      </c>
      <c r="D11">
        <v>4416.1807650236897</v>
      </c>
      <c r="E11">
        <v>4425.0103493914603</v>
      </c>
      <c r="F11">
        <v>4433.8128596562101</v>
      </c>
      <c r="G11">
        <v>4442.5884988665102</v>
      </c>
      <c r="H11">
        <v>4451.33746767923</v>
      </c>
      <c r="I11">
        <v>4460.0599643978303</v>
      </c>
      <c r="J11">
        <v>4468.75618500981</v>
      </c>
      <c r="K11">
        <v>4477.4263232235198</v>
      </c>
      <c r="L11">
        <v>4494.6891161089698</v>
      </c>
      <c r="N11" s="18">
        <v>6.5906568411911234E-15</v>
      </c>
      <c r="O11" s="18">
        <v>2.7718905383861029E-6</v>
      </c>
      <c r="P11" s="18">
        <v>8.9215722146089894E-5</v>
      </c>
      <c r="Q11" s="18">
        <v>1.2546792282330179E-3</v>
      </c>
      <c r="R11" s="18">
        <v>1.2429862505796571E-2</v>
      </c>
      <c r="S11" s="18">
        <v>1.6400992071387687E-2</v>
      </c>
      <c r="T11" s="18">
        <v>1.8652103272764082E-2</v>
      </c>
      <c r="U11" s="18">
        <v>2.0890467654690988E-2</v>
      </c>
      <c r="V11" s="18">
        <v>2.4204812677401683E-2</v>
      </c>
      <c r="W11" s="18">
        <v>3.0331404367187443E-2</v>
      </c>
      <c r="X11" s="18">
        <v>4.2426861158013369E-2</v>
      </c>
      <c r="Y11" s="18">
        <v>8.7713453924340379E-2</v>
      </c>
      <c r="AA11">
        <f t="shared" si="1"/>
        <v>2.8929869448228574E-11</v>
      </c>
      <c r="AB11">
        <f t="shared" si="0"/>
        <v>1.2191992971174719E-2</v>
      </c>
      <c r="AC11">
        <f t="shared" si="0"/>
        <v>0.39320258456599966</v>
      </c>
      <c r="AD11">
        <f t="shared" si="0"/>
        <v>5.5408902739974213</v>
      </c>
      <c r="AE11">
        <f t="shared" si="0"/>
        <v>55.002270229662699</v>
      </c>
      <c r="AF11">
        <f t="shared" si="0"/>
        <v>72.718929557238269</v>
      </c>
      <c r="AG11">
        <f t="shared" si="0"/>
        <v>82.863619479252108</v>
      </c>
      <c r="AH11">
        <f t="shared" si="0"/>
        <v>92.990521388667048</v>
      </c>
      <c r="AI11">
        <f t="shared" si="0"/>
        <v>107.95491596822831</v>
      </c>
      <c r="AJ11">
        <f t="shared" si="0"/>
        <v>135.54365086590244</v>
      </c>
      <c r="AK11">
        <f t="shared" si="0"/>
        <v>189.96314496063857</v>
      </c>
      <c r="AL11">
        <f t="shared" si="0"/>
        <v>394.24470669005831</v>
      </c>
    </row>
    <row r="12" spans="1:38" x14ac:dyDescent="0.25">
      <c r="AA12" s="22">
        <f>SUM(AA3:AA11)</f>
        <v>1.6986236317171122E-4</v>
      </c>
      <c r="AB12" s="22">
        <f t="shared" ref="AB12:AL12" si="2">SUM(AB3:AB11)</f>
        <v>111.12991943528939</v>
      </c>
      <c r="AC12" s="22">
        <f t="shared" si="2"/>
        <v>327.54485405737313</v>
      </c>
      <c r="AD12" s="22">
        <f t="shared" si="2"/>
        <v>511.35419478557401</v>
      </c>
      <c r="AE12" s="22">
        <f t="shared" si="2"/>
        <v>689.28526490909439</v>
      </c>
      <c r="AF12" s="22">
        <f t="shared" si="2"/>
        <v>873.44987489218022</v>
      </c>
      <c r="AG12" s="22">
        <f t="shared" si="2"/>
        <v>954.68589054147992</v>
      </c>
      <c r="AH12" s="22">
        <f t="shared" si="2"/>
        <v>1005.7955416159109</v>
      </c>
      <c r="AI12" s="22">
        <f t="shared" si="2"/>
        <v>1054.0727246105521</v>
      </c>
      <c r="AJ12" s="22">
        <f t="shared" si="2"/>
        <v>1120.3072093638386</v>
      </c>
      <c r="AK12" s="22">
        <f t="shared" si="2"/>
        <v>1229.4801776878242</v>
      </c>
      <c r="AL12" s="22">
        <f t="shared" si="2"/>
        <v>1521.0183044362443</v>
      </c>
    </row>
    <row r="13" spans="1:38" x14ac:dyDescent="0.25">
      <c r="A13" t="s">
        <v>207</v>
      </c>
    </row>
    <row r="15" spans="1:3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s="18">
        <v>5.7315136361736907E-2</v>
      </c>
      <c r="O15" s="18">
        <v>3.7397724155206378E-4</v>
      </c>
      <c r="P15" s="18">
        <v>6.0426267614939337E-5</v>
      </c>
      <c r="Q15" s="18">
        <v>5.6546867928618912E-5</v>
      </c>
      <c r="R15" s="18">
        <v>5.2515217191591902E-5</v>
      </c>
      <c r="S15" s="18">
        <v>3.1942177690628679E-7</v>
      </c>
      <c r="T15" s="18">
        <v>1.952620930967006E-9</v>
      </c>
      <c r="U15" s="18">
        <v>1.2077911373976397E-11</v>
      </c>
      <c r="V15" s="18">
        <v>7.6178359843927507E-14</v>
      </c>
      <c r="W15" s="18">
        <v>4.9665364097341761E-16</v>
      </c>
      <c r="X15" s="18">
        <v>3.4665356836445635E-18</v>
      </c>
      <c r="Y15" s="18">
        <v>2.5441741502753819E-20</v>
      </c>
      <c r="AA15">
        <f>N15*A15</f>
        <v>0</v>
      </c>
      <c r="AB15">
        <f t="shared" ref="AB15:AL15" si="3">O15*B15</f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3"/>
        <v>0</v>
      </c>
    </row>
    <row r="16" spans="1:38" x14ac:dyDescent="0.25">
      <c r="A16">
        <v>612.13791352616397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s="18">
        <v>0.11463027272325486</v>
      </c>
      <c r="O16" s="18">
        <v>6.9422496889424241E-3</v>
      </c>
      <c r="P16" s="18">
        <v>1.1646215355613407E-3</v>
      </c>
      <c r="Q16" s="18">
        <v>8.6442104305665978E-4</v>
      </c>
      <c r="R16" s="18">
        <v>7.4459122005827863E-4</v>
      </c>
      <c r="S16" s="18">
        <v>2.9954195874304747E-5</v>
      </c>
      <c r="T16" s="18">
        <v>1.1913908537884408E-6</v>
      </c>
      <c r="U16" s="18">
        <v>4.7443177577132877E-8</v>
      </c>
      <c r="V16" s="18">
        <v>1.905567972072618E-9</v>
      </c>
      <c r="W16" s="18">
        <v>7.7893595668693379E-11</v>
      </c>
      <c r="X16" s="18">
        <v>3.3242055847513676E-12</v>
      </c>
      <c r="Y16" s="18">
        <v>1.3861123624660426E-13</v>
      </c>
      <c r="AA16">
        <f t="shared" ref="AA16:AA23" si="4">N16*A16</f>
        <v>70.169535971748374</v>
      </c>
      <c r="AB16">
        <f t="shared" ref="AB16:AB23" si="5">O16*B16</f>
        <v>0</v>
      </c>
      <c r="AC16">
        <f t="shared" ref="AC16:AC23" si="6">P16*C16</f>
        <v>0</v>
      </c>
      <c r="AD16">
        <f t="shared" ref="AD16:AD23" si="7">Q16*D16</f>
        <v>0</v>
      </c>
      <c r="AE16">
        <f t="shared" ref="AE16:AE23" si="8">R16*E16</f>
        <v>0</v>
      </c>
      <c r="AF16">
        <f t="shared" ref="AF16:AF23" si="9">S16*F16</f>
        <v>0</v>
      </c>
      <c r="AG16">
        <f t="shared" ref="AG16:AG23" si="10">T16*G16</f>
        <v>0</v>
      </c>
      <c r="AH16">
        <f t="shared" ref="AH16:AH23" si="11">U16*H16</f>
        <v>0</v>
      </c>
      <c r="AI16">
        <f t="shared" ref="AI16:AI23" si="12">V16*I16</f>
        <v>0</v>
      </c>
      <c r="AJ16">
        <f t="shared" ref="AJ16:AJ23" si="13">W16*J16</f>
        <v>0</v>
      </c>
      <c r="AK16">
        <f t="shared" ref="AK16:AK23" si="14">X16*K16</f>
        <v>0</v>
      </c>
      <c r="AL16">
        <f t="shared" ref="AL16:AL23" si="15">Y16*L16</f>
        <v>0</v>
      </c>
    </row>
    <row r="17" spans="1:38" x14ac:dyDescent="0.25">
      <c r="A17">
        <v>-179.27725997739299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s="18">
        <v>0.17194540333799108</v>
      </c>
      <c r="O17" s="18">
        <v>4.4646168708562681E-2</v>
      </c>
      <c r="P17" s="18">
        <v>1.1230677542503004E-2</v>
      </c>
      <c r="Q17" s="18">
        <v>5.806075343363787E-3</v>
      </c>
      <c r="R17" s="18">
        <v>4.3634987782919556E-3</v>
      </c>
      <c r="S17" s="18">
        <v>6.0669444169407321E-4</v>
      </c>
      <c r="T17" s="18">
        <v>8.2534345491803291E-5</v>
      </c>
      <c r="U17" s="18">
        <v>1.1165872546441032E-5</v>
      </c>
      <c r="V17" s="18">
        <v>1.5129591659114256E-6</v>
      </c>
      <c r="W17" s="18">
        <v>2.0642208556449376E-7</v>
      </c>
      <c r="X17" s="18">
        <v>2.8772511947576236E-8</v>
      </c>
      <c r="Y17" s="18">
        <v>3.6393671432058296E-9</v>
      </c>
      <c r="AA17">
        <f t="shared" si="4"/>
        <v>-30.825900776142721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0</v>
      </c>
      <c r="AF17">
        <f t="shared" si="9"/>
        <v>0</v>
      </c>
      <c r="AG17">
        <f t="shared" si="10"/>
        <v>0</v>
      </c>
      <c r="AH17">
        <f t="shared" si="11"/>
        <v>0</v>
      </c>
      <c r="AI17">
        <f t="shared" si="12"/>
        <v>0</v>
      </c>
      <c r="AJ17">
        <f t="shared" si="13"/>
        <v>0</v>
      </c>
      <c r="AK17">
        <f t="shared" si="14"/>
        <v>0</v>
      </c>
      <c r="AL17">
        <f t="shared" si="15"/>
        <v>0</v>
      </c>
    </row>
    <row r="18" spans="1:38" x14ac:dyDescent="0.25">
      <c r="A18">
        <v>-981.28487316190797</v>
      </c>
      <c r="B18">
        <v>5649.5029141268697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s="18">
        <v>0.22924791785574308</v>
      </c>
      <c r="O18" s="18">
        <v>0.16963564280254087</v>
      </c>
      <c r="P18" s="18">
        <v>7.8410409180314028E-2</v>
      </c>
      <c r="Q18" s="18">
        <v>3.7529910749505214E-2</v>
      </c>
      <c r="R18" s="18">
        <v>2.1305706026847282E-2</v>
      </c>
      <c r="S18" s="18">
        <v>7.3689493072165114E-3</v>
      </c>
      <c r="T18" s="18">
        <v>2.4767976656417628E-3</v>
      </c>
      <c r="U18" s="18">
        <v>8.2377908714725465E-4</v>
      </c>
      <c r="V18" s="18">
        <v>2.7259706462204347E-4</v>
      </c>
      <c r="W18" s="18">
        <v>8.9621733804807474E-5</v>
      </c>
      <c r="X18" s="18">
        <v>2.9157773160590803E-5</v>
      </c>
      <c r="Y18" s="18">
        <v>7.9962905550777201E-6</v>
      </c>
      <c r="AA18">
        <f t="shared" si="4"/>
        <v>-224.95751399570435</v>
      </c>
      <c r="AB18">
        <f t="shared" si="5"/>
        <v>958.35705835273939</v>
      </c>
      <c r="AC18">
        <f t="shared" si="6"/>
        <v>0</v>
      </c>
      <c r="AD18">
        <f t="shared" si="7"/>
        <v>0</v>
      </c>
      <c r="AE18">
        <f t="shared" si="8"/>
        <v>0</v>
      </c>
      <c r="AF18">
        <f t="shared" si="9"/>
        <v>0</v>
      </c>
      <c r="AG18">
        <f t="shared" si="10"/>
        <v>0</v>
      </c>
      <c r="AH18">
        <f t="shared" si="11"/>
        <v>0</v>
      </c>
      <c r="AI18">
        <f t="shared" si="12"/>
        <v>0</v>
      </c>
      <c r="AJ18">
        <f t="shared" si="13"/>
        <v>0</v>
      </c>
      <c r="AK18">
        <f t="shared" si="14"/>
        <v>0</v>
      </c>
      <c r="AL18">
        <f t="shared" si="15"/>
        <v>0</v>
      </c>
    </row>
    <row r="19" spans="1:38" x14ac:dyDescent="0.25">
      <c r="A19">
        <v>-1388.2724951008299</v>
      </c>
      <c r="B19">
        <v>1297.8472369016199</v>
      </c>
      <c r="C19">
        <v>12959.2182253591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s="18">
        <v>0.28633506583366741</v>
      </c>
      <c r="O19" s="18">
        <v>0.30965410222030598</v>
      </c>
      <c r="P19" s="18">
        <v>0.1871675835279209</v>
      </c>
      <c r="Q19" s="18">
        <v>9.983825706717861E-2</v>
      </c>
      <c r="R19" s="18">
        <v>5.2919049981190479E-2</v>
      </c>
      <c r="S19" s="18">
        <v>2.5059499723995553E-2</v>
      </c>
      <c r="T19" s="18">
        <v>1.148649557898752E-2</v>
      </c>
      <c r="U19" s="18">
        <v>5.1902799508242682E-3</v>
      </c>
      <c r="V19" s="18">
        <v>2.3200243660409605E-3</v>
      </c>
      <c r="W19" s="18">
        <v>1.019809730547005E-3</v>
      </c>
      <c r="X19" s="18">
        <v>4.3545308430360965E-4</v>
      </c>
      <c r="Y19" s="18">
        <v>1.5236755904034569E-4</v>
      </c>
      <c r="AA19">
        <f t="shared" si="4"/>
        <v>-397.51109627976587</v>
      </c>
      <c r="AB19">
        <f t="shared" si="5"/>
        <v>401.88372096187589</v>
      </c>
      <c r="AC19">
        <f t="shared" si="6"/>
        <v>2425.5455596514544</v>
      </c>
      <c r="AD19">
        <f t="shared" si="7"/>
        <v>0</v>
      </c>
      <c r="AE19">
        <f t="shared" si="8"/>
        <v>0</v>
      </c>
      <c r="AF19">
        <f t="shared" si="9"/>
        <v>0</v>
      </c>
      <c r="AG19">
        <f t="shared" si="10"/>
        <v>0</v>
      </c>
      <c r="AH19">
        <f t="shared" si="11"/>
        <v>0</v>
      </c>
      <c r="AI19">
        <f t="shared" si="12"/>
        <v>0</v>
      </c>
      <c r="AJ19">
        <f t="shared" si="13"/>
        <v>0</v>
      </c>
      <c r="AK19">
        <f t="shared" si="14"/>
        <v>0</v>
      </c>
      <c r="AL19">
        <f t="shared" si="15"/>
        <v>0</v>
      </c>
    </row>
    <row r="20" spans="1:38" x14ac:dyDescent="0.25">
      <c r="A20">
        <v>-1275.2227163433199</v>
      </c>
      <c r="B20">
        <v>658.01787363872199</v>
      </c>
      <c r="C20">
        <v>1006.09744453213</v>
      </c>
      <c r="D20">
        <v>1367.7553603700501</v>
      </c>
      <c r="E20">
        <v>2703.91732874741</v>
      </c>
      <c r="F20">
        <v>36262.367264159802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 s="18">
        <v>9.004506938680458E-2</v>
      </c>
      <c r="O20" s="18">
        <v>0.28581190798222483</v>
      </c>
      <c r="P20" s="18">
        <v>0.4140137639697925</v>
      </c>
      <c r="Q20" s="18">
        <v>0.44233650480191644</v>
      </c>
      <c r="R20" s="18">
        <v>0.36303673491889649</v>
      </c>
      <c r="S20" s="18">
        <v>0.37256324449513134</v>
      </c>
      <c r="T20" s="18">
        <v>0.36628998895838705</v>
      </c>
      <c r="U20" s="18">
        <v>0.35053480369534773</v>
      </c>
      <c r="V20" s="18">
        <v>0.32606344674662852</v>
      </c>
      <c r="W20" s="18">
        <v>0.29068698159856493</v>
      </c>
      <c r="X20" s="18">
        <v>0.24224004677752592</v>
      </c>
      <c r="Y20" s="18">
        <v>0.16074517542799674</v>
      </c>
      <c r="AA20">
        <f t="shared" si="4"/>
        <v>-114.82751797676366</v>
      </c>
      <c r="AB20">
        <f t="shared" si="5"/>
        <v>188.06934395108965</v>
      </c>
      <c r="AC20">
        <f t="shared" si="6"/>
        <v>416.53818993113669</v>
      </c>
      <c r="AD20">
        <f t="shared" si="7"/>
        <v>605.00812553017363</v>
      </c>
      <c r="AE20">
        <f t="shared" si="8"/>
        <v>981.62131851908418</v>
      </c>
      <c r="AF20">
        <f t="shared" si="9"/>
        <v>13510.025201009415</v>
      </c>
      <c r="AG20">
        <f t="shared" si="10"/>
        <v>0</v>
      </c>
      <c r="AH20">
        <f t="shared" si="11"/>
        <v>0</v>
      </c>
      <c r="AI20">
        <f t="shared" si="12"/>
        <v>0</v>
      </c>
      <c r="AJ20">
        <f t="shared" si="13"/>
        <v>0</v>
      </c>
      <c r="AK20">
        <f t="shared" si="14"/>
        <v>0</v>
      </c>
      <c r="AL20">
        <f t="shared" si="15"/>
        <v>0</v>
      </c>
    </row>
    <row r="21" spans="1:38" x14ac:dyDescent="0.25">
      <c r="A21">
        <v>-1168.41667484348</v>
      </c>
      <c r="B21">
        <v>733.55985415019097</v>
      </c>
      <c r="C21">
        <v>1024.7532402086699</v>
      </c>
      <c r="D21">
        <v>1285.0698489644501</v>
      </c>
      <c r="E21">
        <v>1914.8482563986199</v>
      </c>
      <c r="F21">
        <v>3155.6566026711598</v>
      </c>
      <c r="G21">
        <v>5299.3341455354303</v>
      </c>
      <c r="H21">
        <v>10409.163460871699</v>
      </c>
      <c r="I21">
        <v>194879.05387384599</v>
      </c>
      <c r="J21">
        <v>0</v>
      </c>
      <c r="K21">
        <v>0</v>
      </c>
      <c r="L21">
        <v>0</v>
      </c>
      <c r="N21" s="18">
        <v>5.0292322189198588E-2</v>
      </c>
      <c r="O21" s="18">
        <v>0.18040620293293569</v>
      </c>
      <c r="P21" s="18">
        <v>0.29399506546426363</v>
      </c>
      <c r="Q21" s="18">
        <v>0.35283112737758177</v>
      </c>
      <c r="R21" s="18">
        <v>0.32452844808718528</v>
      </c>
      <c r="S21" s="18">
        <v>0.3467181810305916</v>
      </c>
      <c r="T21" s="18">
        <v>0.35791161259509485</v>
      </c>
      <c r="U21" s="18">
        <v>0.36223294518931204</v>
      </c>
      <c r="V21" s="18">
        <v>0.35871074654224094</v>
      </c>
      <c r="W21" s="18">
        <v>0.34251229125098015</v>
      </c>
      <c r="X21" s="18">
        <v>0.30723465467329947</v>
      </c>
      <c r="Y21" s="18">
        <v>0.22221240127652431</v>
      </c>
      <c r="AA21">
        <f t="shared" si="4"/>
        <v>-58.762387862460379</v>
      </c>
      <c r="AB21">
        <f t="shared" si="5"/>
        <v>132.33874791127406</v>
      </c>
      <c r="AC21">
        <f t="shared" si="6"/>
        <v>301.27239593986417</v>
      </c>
      <c r="AD21">
        <f t="shared" si="7"/>
        <v>453.41264356906566</v>
      </c>
      <c r="AE21">
        <f t="shared" si="8"/>
        <v>621.42273297149677</v>
      </c>
      <c r="AF21">
        <f t="shared" si="9"/>
        <v>1094.1235172353208</v>
      </c>
      <c r="AG21">
        <f t="shared" si="10"/>
        <v>1896.6932297088349</v>
      </c>
      <c r="AH21">
        <f t="shared" si="11"/>
        <v>3770.5419373885279</v>
      </c>
      <c r="AI21">
        <f t="shared" si="12"/>
        <v>69905.210900532882</v>
      </c>
      <c r="AJ21">
        <f t="shared" si="13"/>
        <v>0</v>
      </c>
      <c r="AK21">
        <f t="shared" si="14"/>
        <v>0</v>
      </c>
      <c r="AL21">
        <f t="shared" si="15"/>
        <v>0</v>
      </c>
    </row>
    <row r="22" spans="1:38" x14ac:dyDescent="0.25">
      <c r="A22">
        <v>-251.503179698476</v>
      </c>
      <c r="B22">
        <v>1577.4461412077901</v>
      </c>
      <c r="C22">
        <v>1790.61997536793</v>
      </c>
      <c r="D22">
        <v>1947.3936520989701</v>
      </c>
      <c r="E22">
        <v>2196.3987127700202</v>
      </c>
      <c r="F22">
        <v>2402.2980731257699</v>
      </c>
      <c r="G22">
        <v>2516.9074165823199</v>
      </c>
      <c r="H22">
        <v>2590.6033425856399</v>
      </c>
      <c r="I22">
        <v>2654.4666846962</v>
      </c>
      <c r="J22">
        <v>2743.6285413839501</v>
      </c>
      <c r="K22">
        <v>2915.63337906468</v>
      </c>
      <c r="L22">
        <v>3388.9488396045199</v>
      </c>
      <c r="N22" s="18">
        <v>1.8604900228611179E-4</v>
      </c>
      <c r="O22" s="18">
        <v>2.4198940710138213E-3</v>
      </c>
      <c r="P22" s="18">
        <v>1.2385451153929658E-2</v>
      </c>
      <c r="Q22" s="18">
        <v>4.5113494825951762E-2</v>
      </c>
      <c r="R22" s="18">
        <v>0.12151099927005203</v>
      </c>
      <c r="S22" s="18">
        <v>0.1297736902841877</v>
      </c>
      <c r="T22" s="18">
        <v>0.1378945617894474</v>
      </c>
      <c r="U22" s="18">
        <v>0.1492165226908207</v>
      </c>
      <c r="V22" s="18">
        <v>0.16738146546291013</v>
      </c>
      <c r="W22" s="18">
        <v>0.19689369908374654</v>
      </c>
      <c r="X22" s="18">
        <v>0.24083898224524486</v>
      </c>
      <c r="Y22" s="18">
        <v>0.29023588957744295</v>
      </c>
      <c r="AA22">
        <f t="shared" si="4"/>
        <v>-4.6791915654686149E-2</v>
      </c>
      <c r="AB22">
        <f t="shared" si="5"/>
        <v>3.8172525644523625</v>
      </c>
      <c r="AC22">
        <f t="shared" si="6"/>
        <v>22.177636240170223</v>
      </c>
      <c r="AD22">
        <f t="shared" si="7"/>
        <v>87.853733448058193</v>
      </c>
      <c r="AE22">
        <f t="shared" si="8"/>
        <v>266.88660238414116</v>
      </c>
      <c r="AF22">
        <f t="shared" si="9"/>
        <v>311.75508611212456</v>
      </c>
      <c r="AG22">
        <f t="shared" si="10"/>
        <v>347.06784527422911</v>
      </c>
      <c r="AH22">
        <f t="shared" si="11"/>
        <v>386.56082245184609</v>
      </c>
      <c r="AI22">
        <f t="shared" si="12"/>
        <v>444.30852370692259</v>
      </c>
      <c r="AJ22">
        <f t="shared" si="13"/>
        <v>540.20317242482986</v>
      </c>
      <c r="AK22">
        <f t="shared" si="14"/>
        <v>702.19817561420177</v>
      </c>
      <c r="AL22">
        <f t="shared" si="15"/>
        <v>983.59458119506087</v>
      </c>
    </row>
    <row r="23" spans="1:38" x14ac:dyDescent="0.25">
      <c r="A23">
        <v>1017.40719051264</v>
      </c>
      <c r="B23">
        <v>2834.6134033244998</v>
      </c>
      <c r="C23">
        <v>3033.3641436274302</v>
      </c>
      <c r="D23">
        <v>3174.5686500069201</v>
      </c>
      <c r="E23">
        <v>3384.0865650486098</v>
      </c>
      <c r="F23">
        <v>3541.9187591735699</v>
      </c>
      <c r="G23">
        <v>3624.0205318143999</v>
      </c>
      <c r="H23">
        <v>3675.3235389132901</v>
      </c>
      <c r="I23">
        <v>3718.5411288984401</v>
      </c>
      <c r="J23">
        <v>3774.4115475490398</v>
      </c>
      <c r="K23">
        <v>3868.2315778944499</v>
      </c>
      <c r="L23">
        <v>4059.98871157539</v>
      </c>
      <c r="N23" s="18">
        <v>2.7633093172889065E-6</v>
      </c>
      <c r="O23" s="18">
        <v>1.0985435192172731E-4</v>
      </c>
      <c r="P23" s="18">
        <v>1.5720013580999637E-3</v>
      </c>
      <c r="Q23" s="18">
        <v>1.562366192351701E-2</v>
      </c>
      <c r="R23" s="18">
        <v>0.11153845650028661</v>
      </c>
      <c r="S23" s="18">
        <v>0.11787946709953211</v>
      </c>
      <c r="T23" s="18">
        <v>0.1238568157234749</v>
      </c>
      <c r="U23" s="18">
        <v>0.1319904560587461</v>
      </c>
      <c r="V23" s="18">
        <v>0.14525020495274749</v>
      </c>
      <c r="W23" s="18">
        <v>0.16879739010237685</v>
      </c>
      <c r="X23" s="18">
        <v>0.20922167667062935</v>
      </c>
      <c r="Y23" s="18">
        <v>0.32664616622893478</v>
      </c>
      <c r="AA23">
        <f t="shared" si="4"/>
        <v>2.8114107690203078E-3</v>
      </c>
      <c r="AB23">
        <f t="shared" si="5"/>
        <v>0.31139461837085475</v>
      </c>
      <c r="AC23">
        <f t="shared" si="6"/>
        <v>4.7684525533940532</v>
      </c>
      <c r="AD23">
        <f t="shared" si="7"/>
        <v>49.598387340703916</v>
      </c>
      <c r="AE23">
        <f t="shared" si="8"/>
        <v>377.45579212887873</v>
      </c>
      <c r="AF23">
        <f t="shared" si="9"/>
        <v>417.51949584121644</v>
      </c>
      <c r="AG23">
        <f t="shared" si="10"/>
        <v>448.85964318702565</v>
      </c>
      <c r="AH23">
        <f t="shared" si="11"/>
        <v>485.10763006460985</v>
      </c>
      <c r="AI23">
        <f t="shared" si="12"/>
        <v>540.11886109771945</v>
      </c>
      <c r="AJ23">
        <f t="shared" si="13"/>
        <v>637.11081839855115</v>
      </c>
      <c r="AK23">
        <f t="shared" si="14"/>
        <v>809.31789647735104</v>
      </c>
      <c r="AL23">
        <f t="shared" si="15"/>
        <v>1326.1797475688536</v>
      </c>
    </row>
    <row r="24" spans="1:38" x14ac:dyDescent="0.25">
      <c r="AA24" s="22">
        <f>SUM(AA15:AA23)</f>
        <v>-756.75886142397417</v>
      </c>
      <c r="AB24" s="22">
        <f t="shared" ref="AB24:AL24" si="16">SUM(AB15:AB23)</f>
        <v>1684.7775183598023</v>
      </c>
      <c r="AC24" s="22">
        <f t="shared" si="16"/>
        <v>3170.3022343160192</v>
      </c>
      <c r="AD24" s="22">
        <f t="shared" si="16"/>
        <v>1195.8728898880015</v>
      </c>
      <c r="AE24" s="22">
        <f t="shared" si="16"/>
        <v>2247.3864460036007</v>
      </c>
      <c r="AF24" s="22">
        <f t="shared" si="16"/>
        <v>15333.423300198077</v>
      </c>
      <c r="AG24" s="22">
        <f t="shared" si="16"/>
        <v>2692.6207181700897</v>
      </c>
      <c r="AH24" s="22">
        <f t="shared" si="16"/>
        <v>4642.2103899049844</v>
      </c>
      <c r="AI24" s="22">
        <f t="shared" si="16"/>
        <v>70889.638285337525</v>
      </c>
      <c r="AJ24" s="22">
        <f t="shared" si="16"/>
        <v>1177.3139908233811</v>
      </c>
      <c r="AK24" s="22">
        <f t="shared" si="16"/>
        <v>1511.5160720915528</v>
      </c>
      <c r="AL24" s="22">
        <f t="shared" si="16"/>
        <v>2309.7743287639146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30" sqref="B30"/>
    </sheetView>
  </sheetViews>
  <sheetFormatPr defaultRowHeight="15" x14ac:dyDescent="0.25"/>
  <cols>
    <col min="1" max="1" width="32.85546875" bestFit="1" customWidth="1"/>
  </cols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624.77666997596259</v>
      </c>
      <c r="C12" s="14">
        <f t="shared" ref="C12:I12" si="0">C3+C4*$B$10+C5*$B$10^2+C6*$B$10^3+C7*$B$10^4+C8*$B$10^5</f>
        <v>397.68141250737631</v>
      </c>
      <c r="D12" s="14">
        <f t="shared" si="0"/>
        <v>350.56420363753267</v>
      </c>
      <c r="E12" s="14">
        <f t="shared" si="0"/>
        <v>307.30684187242935</v>
      </c>
      <c r="F12" s="14">
        <f t="shared" si="0"/>
        <v>333.28781222880531</v>
      </c>
      <c r="G12" s="14">
        <f t="shared" si="0"/>
        <v>306.10038881947764</v>
      </c>
      <c r="H12" s="14">
        <f t="shared" si="0"/>
        <v>324.79884105993989</v>
      </c>
      <c r="I12" s="14">
        <f t="shared" si="0"/>
        <v>321.4183550686426</v>
      </c>
      <c r="J12" s="14">
        <f>J3+J4*$B$10+J5*$B$10^2+J6*$B$10^3+J7*$B$10^4+J8*$B$10^5</f>
        <v>317.73438425592326</v>
      </c>
    </row>
    <row r="13" spans="1:10" x14ac:dyDescent="0.25">
      <c r="B13">
        <f>B12*B23</f>
        <v>10023.229692144037</v>
      </c>
      <c r="C13">
        <f t="shared" ref="C13:J13" si="1">C12*C23</f>
        <v>11958.240509844945</v>
      </c>
      <c r="D13">
        <f t="shared" si="1"/>
        <v>15458.829730597756</v>
      </c>
      <c r="E13">
        <f t="shared" si="1"/>
        <v>17861.90304580177</v>
      </c>
      <c r="F13">
        <f t="shared" si="1"/>
        <v>19372.020981067541</v>
      </c>
      <c r="G13">
        <f t="shared" si="1"/>
        <v>22085.449452640292</v>
      </c>
      <c r="H13">
        <f t="shared" si="1"/>
        <v>23434.561498502091</v>
      </c>
      <c r="I13">
        <f t="shared" si="1"/>
        <v>27699.159575358612</v>
      </c>
      <c r="J13">
        <f t="shared" si="1"/>
        <v>31838.574556153922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2">CONCATENATE(C3,$B$14)</f>
        <v>-1.7675,</v>
      </c>
      <c r="D15" t="str">
        <f t="shared" si="2"/>
        <v>39.4889,</v>
      </c>
      <c r="E15" t="str">
        <f t="shared" si="2"/>
        <v>30.903,</v>
      </c>
      <c r="F15" t="str">
        <f t="shared" si="2"/>
        <v>67.721,</v>
      </c>
      <c r="G15" t="str">
        <f t="shared" si="2"/>
        <v>64.25,</v>
      </c>
      <c r="H15" t="str">
        <f t="shared" si="2"/>
        <v>63.198,</v>
      </c>
      <c r="I15" t="str">
        <f t="shared" si="2"/>
        <v>74.513,</v>
      </c>
      <c r="J15" t="str">
        <f>CONCATENATE(J3,$J$14)</f>
        <v>71.41);</v>
      </c>
    </row>
    <row r="16" spans="1:10" x14ac:dyDescent="0.25">
      <c r="B16" t="str">
        <f t="shared" ref="B16:B20" si="3">CONCATENATE($A$14,B4,$B$14)</f>
        <v>(2.36459,</v>
      </c>
      <c r="C16" t="str">
        <f t="shared" ref="C16:I16" si="4">CONCATENATE(C4,$B$14)</f>
        <v>1.1429,</v>
      </c>
      <c r="D16" t="str">
        <f t="shared" si="4"/>
        <v>0.395,</v>
      </c>
      <c r="E16" t="str">
        <f t="shared" si="4"/>
        <v>0.1533,</v>
      </c>
      <c r="F16" t="str">
        <f t="shared" si="4"/>
        <v>0.00854058,</v>
      </c>
      <c r="G16" t="str">
        <f t="shared" si="4"/>
        <v>-0.131798,</v>
      </c>
      <c r="H16" t="str">
        <f t="shared" si="4"/>
        <v>-0.0117017,</v>
      </c>
      <c r="I16" t="str">
        <f t="shared" si="4"/>
        <v>-0.096697,</v>
      </c>
      <c r="J16" t="str">
        <f t="shared" ref="J16:J20" si="5">CONCATENATE(J4,$J$14)</f>
        <v>-0.0968949);</v>
      </c>
    </row>
    <row r="17" spans="1:10" x14ac:dyDescent="0.25">
      <c r="B17" t="str">
        <f t="shared" si="3"/>
        <v>(-0.00213247,</v>
      </c>
      <c r="C17" t="str">
        <f t="shared" ref="C17:I17" si="6">CONCATENATE(C5,$B$14)</f>
        <v>-0.0003236,</v>
      </c>
      <c r="D17" t="str">
        <f t="shared" si="6"/>
        <v>0.00211409,</v>
      </c>
      <c r="E17" t="str">
        <f t="shared" si="6"/>
        <v>0.00263479,</v>
      </c>
      <c r="F17" t="str">
        <f t="shared" si="6"/>
        <v>0.00327699,</v>
      </c>
      <c r="G17" t="str">
        <f t="shared" si="6"/>
        <v>0.003541,</v>
      </c>
      <c r="H17" t="str">
        <f t="shared" si="6"/>
        <v>0.0033164,</v>
      </c>
      <c r="I17" t="str">
        <f t="shared" si="6"/>
        <v>0.00347649,</v>
      </c>
      <c r="J17" t="str">
        <f t="shared" si="5"/>
        <v>0.003473);</v>
      </c>
    </row>
    <row r="18" spans="1:10" x14ac:dyDescent="0.25">
      <c r="B18" t="str">
        <f t="shared" si="3"/>
        <v>(0.0000056618,</v>
      </c>
      <c r="C18" t="str">
        <f t="shared" ref="C18:I18" si="7">CONCATENATE(C6,$B$14)</f>
        <v>0.0000042431,</v>
      </c>
      <c r="D18" t="str">
        <f t="shared" si="7"/>
        <v>0.000000396486,</v>
      </c>
      <c r="E18" t="str">
        <f t="shared" si="7"/>
        <v>0.0000000727226,</v>
      </c>
      <c r="F18" t="str">
        <f t="shared" si="7"/>
        <v>-0.00000110968,</v>
      </c>
      <c r="G18" t="str">
        <f t="shared" si="7"/>
        <v>-0.0000013332,</v>
      </c>
      <c r="H18" t="str">
        <f t="shared" si="7"/>
        <v>-0.0000011705,</v>
      </c>
      <c r="I18" t="str">
        <f t="shared" si="7"/>
        <v>-0.0000013212,</v>
      </c>
      <c r="J18" t="str">
        <f t="shared" si="5"/>
        <v>-0.0000013302);</v>
      </c>
    </row>
    <row r="19" spans="1:10" x14ac:dyDescent="0.25">
      <c r="B19" t="str">
        <f t="shared" si="3"/>
        <v>(-0.00000000372476,</v>
      </c>
      <c r="C19" t="str">
        <f t="shared" ref="C19:I19" si="8">CONCATENATE(C7,$B$14)</f>
        <v>-0.00000000339316,</v>
      </c>
      <c r="D19" t="str">
        <f t="shared" si="8"/>
        <v>-0.000000000667176,</v>
      </c>
      <c r="E19" t="str">
        <f t="shared" si="8"/>
        <v>-0.000000000727896,</v>
      </c>
      <c r="F19" t="str">
        <f t="shared" si="8"/>
        <v>0.000000000176646,</v>
      </c>
      <c r="G19" t="str">
        <f t="shared" si="8"/>
        <v>0.000000000251446,</v>
      </c>
      <c r="H19" t="str">
        <f t="shared" si="8"/>
        <v>0.000000000199636,</v>
      </c>
      <c r="I19" t="str">
        <f t="shared" si="8"/>
        <v>0.000000000252365,</v>
      </c>
      <c r="J19" t="str">
        <f t="shared" si="5"/>
        <v>0.000000000255766);</v>
      </c>
    </row>
    <row r="20" spans="1:10" x14ac:dyDescent="0.25">
      <c r="B20" t="str">
        <f t="shared" si="3"/>
        <v>(0.000000000000860896,</v>
      </c>
      <c r="C20" t="str">
        <f t="shared" ref="C20:I20" si="9">CONCATENATE(C8,$B$14)</f>
        <v>0.000000000000882096,</v>
      </c>
      <c r="D20" t="str">
        <f t="shared" si="9"/>
        <v>0.000000000000167936,</v>
      </c>
      <c r="E20" t="str">
        <f t="shared" si="9"/>
        <v>0.000000000000236736,</v>
      </c>
      <c r="F20" t="str">
        <f t="shared" si="9"/>
        <v>-6.39926E-15,</v>
      </c>
      <c r="G20" t="str">
        <f t="shared" si="9"/>
        <v>-1.29576E-14,</v>
      </c>
      <c r="H20" t="str">
        <f t="shared" si="9"/>
        <v>-8.66485E-15,</v>
      </c>
      <c r="I20" t="str">
        <f t="shared" si="9"/>
        <v>-1.34666E-14,</v>
      </c>
      <c r="J20" t="str">
        <f t="shared" si="5"/>
        <v>-1.37726E-14);</v>
      </c>
    </row>
    <row r="22" spans="1:10" x14ac:dyDescent="0.25">
      <c r="A22" t="s">
        <v>193</v>
      </c>
      <c r="B22" s="4" t="s">
        <v>28</v>
      </c>
      <c r="C22" s="4" t="s">
        <v>29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34</v>
      </c>
      <c r="I22" s="4" t="s">
        <v>35</v>
      </c>
      <c r="J22" s="4" t="s">
        <v>36</v>
      </c>
    </row>
    <row r="23" spans="1:10" x14ac:dyDescent="0.25">
      <c r="B23" s="4">
        <v>16.042900085449201</v>
      </c>
      <c r="C23" s="4">
        <v>30.069900512695298</v>
      </c>
      <c r="D23" s="4">
        <v>44.097000122070298</v>
      </c>
      <c r="E23" s="4">
        <v>58.124000549316399</v>
      </c>
      <c r="F23" s="4">
        <v>58.124000549316399</v>
      </c>
      <c r="G23" s="4">
        <v>72.1510009765625</v>
      </c>
      <c r="H23" s="4">
        <v>72.1510009765625</v>
      </c>
      <c r="I23" s="4">
        <v>86.177902221679702</v>
      </c>
      <c r="J23" s="4">
        <v>100.205001831055</v>
      </c>
    </row>
    <row r="24" spans="1:10" x14ac:dyDescent="0.25">
      <c r="B24" s="30"/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A25" t="s">
        <v>134</v>
      </c>
      <c r="B25">
        <v>-161.52500000000001</v>
      </c>
      <c r="C25">
        <v>-88.599996948242193</v>
      </c>
      <c r="D25">
        <v>-42.101995849609402</v>
      </c>
      <c r="E25">
        <v>-11.7299865722656</v>
      </c>
      <c r="F25">
        <v>-0.50198974609372704</v>
      </c>
      <c r="G25">
        <v>27.878015136718801</v>
      </c>
      <c r="H25">
        <v>36.059014892578098</v>
      </c>
      <c r="I25">
        <v>68.730004882812494</v>
      </c>
      <c r="J25">
        <v>98.429010009765605</v>
      </c>
    </row>
    <row r="26" spans="1:10" x14ac:dyDescent="0.25">
      <c r="A26" t="s">
        <v>101</v>
      </c>
      <c r="B26">
        <v>120.045972232935</v>
      </c>
      <c r="C26">
        <v>197.82860935532199</v>
      </c>
      <c r="D26">
        <v>246.87619614213099</v>
      </c>
      <c r="E26">
        <v>279.40760224913998</v>
      </c>
      <c r="F26">
        <v>291.05885989192899</v>
      </c>
      <c r="G26">
        <v>321.38292240027999</v>
      </c>
      <c r="H26">
        <v>329.86348975768198</v>
      </c>
      <c r="I26">
        <v>364.30083038148302</v>
      </c>
      <c r="J26">
        <v>395.54993099207098</v>
      </c>
    </row>
    <row r="27" spans="1:10" x14ac:dyDescent="0.25">
      <c r="B27" s="14"/>
    </row>
    <row r="28" spans="1:10" x14ac:dyDescent="0.25">
      <c r="A28" t="s">
        <v>194</v>
      </c>
      <c r="B28" s="4" t="s">
        <v>28</v>
      </c>
      <c r="C28" s="4" t="s">
        <v>29</v>
      </c>
      <c r="D28" s="4" t="s">
        <v>30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4" t="s">
        <v>36</v>
      </c>
    </row>
    <row r="29" spans="1:10" x14ac:dyDescent="0.25">
      <c r="B29" s="14">
        <f>(B3+B4*B26+B5*B26^2+B6*B26^3+B7*B26^4+B8*B26^5)*B23</f>
        <v>3997.7488208040782</v>
      </c>
      <c r="C29" s="14">
        <f t="shared" ref="C29:I29" si="10">(C3+C4*C26+C5*C26^2+C6*C26^3+C7*C26^4+C8*C26^5)*C23</f>
        <v>7204.3778953286037</v>
      </c>
      <c r="D29" s="14">
        <f t="shared" si="10"/>
        <v>11883.951672795969</v>
      </c>
      <c r="E29" s="14">
        <f t="shared" si="10"/>
        <v>16099.400453964392</v>
      </c>
      <c r="F29" s="14">
        <f t="shared" si="10"/>
        <v>18699.113741368237</v>
      </c>
      <c r="G29" s="14">
        <f t="shared" si="10"/>
        <v>24965.292007405551</v>
      </c>
      <c r="H29" s="14">
        <f t="shared" si="10"/>
        <v>27454.3904513751</v>
      </c>
      <c r="I29" s="14">
        <f t="shared" si="10"/>
        <v>38017.36489095146</v>
      </c>
      <c r="J29" s="14">
        <f>(J3+J4*J26+J5*J26^2+J6*J26^3+J7*J26^4+J8*J26^5)*J23</f>
        <v>50129.826342776381</v>
      </c>
    </row>
    <row r="31" spans="1:10" x14ac:dyDescent="0.25">
      <c r="A31" t="s">
        <v>195</v>
      </c>
      <c r="B31" s="4" t="s">
        <v>28</v>
      </c>
      <c r="C31" s="4" t="s">
        <v>29</v>
      </c>
      <c r="D31" s="4" t="s">
        <v>30</v>
      </c>
      <c r="E31" s="4" t="s">
        <v>31</v>
      </c>
      <c r="F31" s="4" t="s">
        <v>32</v>
      </c>
      <c r="G31" s="4" t="s">
        <v>33</v>
      </c>
      <c r="H31" s="4" t="s">
        <v>34</v>
      </c>
      <c r="I31" s="4" t="s">
        <v>35</v>
      </c>
      <c r="J31" s="4" t="s">
        <v>36</v>
      </c>
    </row>
    <row r="32" spans="1:10" x14ac:dyDescent="0.25">
      <c r="B32" s="4">
        <v>-74900</v>
      </c>
      <c r="C32" s="4">
        <v>-84738</v>
      </c>
      <c r="D32" s="4">
        <v>-103890</v>
      </c>
      <c r="E32" s="4">
        <v>-134590</v>
      </c>
      <c r="F32" s="4">
        <v>-126190</v>
      </c>
      <c r="G32" s="4">
        <v>-154590</v>
      </c>
      <c r="H32" s="4">
        <v>-146490</v>
      </c>
      <c r="I32" s="4">
        <v>-167290</v>
      </c>
      <c r="J32" s="4">
        <v>-187890</v>
      </c>
    </row>
    <row r="34" spans="1:10" x14ac:dyDescent="0.25">
      <c r="A34" t="s">
        <v>196</v>
      </c>
      <c r="B34">
        <v>-5441.6654625699821</v>
      </c>
      <c r="C34">
        <v>-4545.8522395741966</v>
      </c>
      <c r="D34">
        <v>-3479.502216427285</v>
      </c>
      <c r="E34">
        <v>-1766.0471186787001</v>
      </c>
      <c r="F34">
        <v>-675.94137571781584</v>
      </c>
      <c r="G34">
        <v>2873.256781151616</v>
      </c>
      <c r="H34">
        <v>4000.7966029595545</v>
      </c>
      <c r="I34">
        <v>10367.612656544699</v>
      </c>
      <c r="J34">
        <v>18378.07373748079</v>
      </c>
    </row>
    <row r="35" spans="1:10" x14ac:dyDescent="0.25">
      <c r="A35" t="s">
        <v>194</v>
      </c>
      <c r="B35">
        <f>B34+B32</f>
        <v>-80341.665462569988</v>
      </c>
      <c r="C35">
        <f t="shared" ref="C35:J35" si="11">C34+C32</f>
        <v>-89283.852239574189</v>
      </c>
      <c r="D35">
        <f t="shared" si="11"/>
        <v>-107369.50221642728</v>
      </c>
      <c r="E35">
        <f t="shared" si="11"/>
        <v>-136356.04711867869</v>
      </c>
      <c r="F35">
        <f t="shared" si="11"/>
        <v>-126865.94137571781</v>
      </c>
      <c r="G35">
        <f t="shared" si="11"/>
        <v>-151716.74321884839</v>
      </c>
      <c r="H35">
        <f t="shared" si="11"/>
        <v>-142489.20339704046</v>
      </c>
      <c r="I35">
        <f t="shared" si="11"/>
        <v>-156922.38734345531</v>
      </c>
      <c r="J35">
        <f t="shared" si="11"/>
        <v>-169511.92626251921</v>
      </c>
    </row>
    <row r="36" spans="1:10" x14ac:dyDescent="0.25">
      <c r="B36" s="14"/>
      <c r="C36" s="14"/>
      <c r="D36" s="14"/>
      <c r="E36" s="14"/>
      <c r="F36" s="14"/>
      <c r="G36" s="14"/>
      <c r="H36" s="14"/>
      <c r="I36" s="14"/>
      <c r="J3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6" sqref="A16:J16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8.4905483508239996</v>
      </c>
      <c r="C8" s="21">
        <f t="shared" ref="C8:J8" si="0">C4+C5*$G$1+C6*$G$1^2+C7*$G$1^3</f>
        <v>12.552508454952001</v>
      </c>
      <c r="D8" s="21">
        <f t="shared" si="0"/>
        <v>17.628103899376004</v>
      </c>
      <c r="E8" s="21">
        <f t="shared" si="0"/>
        <v>23.318847378680001</v>
      </c>
      <c r="F8" s="21">
        <f t="shared" si="0"/>
        <v>23.478976175976001</v>
      </c>
      <c r="G8" s="21">
        <f t="shared" si="0"/>
        <v>28.355624542640001</v>
      </c>
      <c r="H8" s="21">
        <f t="shared" si="0"/>
        <v>28.683503190640003</v>
      </c>
      <c r="I8" s="21">
        <f t="shared" si="0"/>
        <v>34.163440351920002</v>
      </c>
      <c r="J8" s="21">
        <f t="shared" si="0"/>
        <v>39.63831029768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  <row r="16" spans="1:10" x14ac:dyDescent="0.25">
      <c r="A16" t="s">
        <v>134</v>
      </c>
      <c r="B16">
        <v>-161.52500000000001</v>
      </c>
      <c r="C16">
        <v>-88.599996948242193</v>
      </c>
      <c r="D16">
        <v>-42.101995849609402</v>
      </c>
      <c r="E16">
        <v>-11.7299865722656</v>
      </c>
      <c r="F16">
        <v>-0.50198974609372704</v>
      </c>
      <c r="G16">
        <v>27.878015136718801</v>
      </c>
      <c r="H16">
        <v>36.059014892578098</v>
      </c>
      <c r="I16">
        <v>68.730004882812494</v>
      </c>
      <c r="J16">
        <v>98.429010009765605</v>
      </c>
    </row>
    <row r="17" spans="1:10" x14ac:dyDescent="0.25">
      <c r="A17" t="s">
        <v>191</v>
      </c>
      <c r="B17">
        <v>120.045972232935</v>
      </c>
      <c r="C17">
        <v>197.82860935532199</v>
      </c>
      <c r="D17">
        <v>246.87619614213099</v>
      </c>
      <c r="E17">
        <v>279.40760224913998</v>
      </c>
      <c r="F17">
        <v>291.05885989192899</v>
      </c>
      <c r="G17">
        <v>321.38292240027999</v>
      </c>
      <c r="H17">
        <v>329.86348975768198</v>
      </c>
      <c r="I17">
        <v>364.30083038148302</v>
      </c>
      <c r="J17">
        <v>395.54993099207098</v>
      </c>
    </row>
    <row r="19" spans="1:10" x14ac:dyDescent="0.25">
      <c r="A19" t="s">
        <v>189</v>
      </c>
      <c r="C19" t="s">
        <v>145</v>
      </c>
      <c r="D19">
        <v>298</v>
      </c>
    </row>
    <row r="21" spans="1:10" x14ac:dyDescent="0.25">
      <c r="A21" t="s">
        <v>190</v>
      </c>
      <c r="B21" s="4" t="s">
        <v>28</v>
      </c>
      <c r="C21" s="4" t="s">
        <v>29</v>
      </c>
      <c r="D21" s="4" t="s">
        <v>30</v>
      </c>
      <c r="E21" s="4" t="s">
        <v>31</v>
      </c>
      <c r="F21" s="4" t="s">
        <v>32</v>
      </c>
      <c r="G21" s="4" t="s">
        <v>33</v>
      </c>
      <c r="H21" s="4" t="s">
        <v>34</v>
      </c>
      <c r="I21" s="4" t="s">
        <v>35</v>
      </c>
      <c r="J21" s="4" t="s">
        <v>36</v>
      </c>
    </row>
    <row r="22" spans="1:10" x14ac:dyDescent="0.25">
      <c r="B22" s="14">
        <f>-(B4*($D$19-B17)+B5/2*($D$19^2-B17^2)+B6/3*($D$19^3-B17^3)+B7/4*($D$19^4-B17^4))</f>
        <v>-1299.7194665544048</v>
      </c>
      <c r="C22" s="14">
        <f t="shared" ref="C22:J22" si="7">-(C4*($D$19-C17)+C5/2*($D$19^2-C17^2)+C6/3*($D$19^3-C17^3)+C7/4*($D$19^4-C17^4))</f>
        <v>-1085.7581540972094</v>
      </c>
      <c r="D22" s="14">
        <f t="shared" si="7"/>
        <v>-831.06482669993432</v>
      </c>
      <c r="E22" s="14">
        <f t="shared" si="7"/>
        <v>-421.81310754721989</v>
      </c>
      <c r="F22" s="14">
        <f t="shared" si="7"/>
        <v>-161.44582395094486</v>
      </c>
      <c r="G22" s="14">
        <f t="shared" si="7"/>
        <v>686.26559213519067</v>
      </c>
      <c r="H22" s="14">
        <f t="shared" si="7"/>
        <v>955.57385185811472</v>
      </c>
      <c r="I22" s="14">
        <f t="shared" si="7"/>
        <v>2476.2617408389938</v>
      </c>
      <c r="J22" s="14">
        <f t="shared" si="7"/>
        <v>4389.5275001148348</v>
      </c>
    </row>
    <row r="23" spans="1:10" x14ac:dyDescent="0.25">
      <c r="A23" t="s">
        <v>192</v>
      </c>
      <c r="B23">
        <f>B22*4.1868</f>
        <v>-5441.6654625699821</v>
      </c>
      <c r="C23">
        <f t="shared" ref="C23:J23" si="8">C22*4.1868</f>
        <v>-4545.8522395741966</v>
      </c>
      <c r="D23">
        <f t="shared" si="8"/>
        <v>-3479.502216427285</v>
      </c>
      <c r="E23">
        <f t="shared" si="8"/>
        <v>-1766.0471186787001</v>
      </c>
      <c r="F23">
        <f t="shared" si="8"/>
        <v>-675.94137571781584</v>
      </c>
      <c r="G23">
        <f t="shared" si="8"/>
        <v>2873.256781151616</v>
      </c>
      <c r="H23">
        <f t="shared" si="8"/>
        <v>4000.7966029595545</v>
      </c>
      <c r="I23">
        <f t="shared" si="8"/>
        <v>10367.612656544699</v>
      </c>
      <c r="J23">
        <f t="shared" si="8"/>
        <v>18378.07373748079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zoomScale="85" zoomScaleNormal="85" workbookViewId="0">
      <selection activeCell="A20" sqref="A20:J20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B12" sqref="B12:J12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  <c r="H1" t="s">
        <v>175</v>
      </c>
      <c r="I1">
        <v>200000</v>
      </c>
      <c r="K1">
        <f>101325</f>
        <v>101325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  <row r="21" spans="1:10" x14ac:dyDescent="0.25">
      <c r="A21" t="s">
        <v>173</v>
      </c>
    </row>
    <row r="23" spans="1:10" x14ac:dyDescent="0.25">
      <c r="A23" t="s">
        <v>174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(1/(B12+273.15)-(8.314*LN($I$1/$K$1))/(B18*4.1868))^(-1)</f>
        <v>120.78942450794031</v>
      </c>
      <c r="C24" s="4">
        <f t="shared" ref="C24:J24" si="3">(1/(C12+273.15)-(8.314*LN($I$1/$K$1))/(C18*4.1868))^(-1)</f>
        <v>198.99678437725325</v>
      </c>
      <c r="D24" s="4">
        <f t="shared" si="3"/>
        <v>248.26380130875134</v>
      </c>
      <c r="E24" s="4">
        <f t="shared" si="3"/>
        <v>280.98499801705793</v>
      </c>
      <c r="F24" s="4">
        <f t="shared" si="3"/>
        <v>292.67126812514124</v>
      </c>
      <c r="G24" s="4">
        <f t="shared" si="3"/>
        <v>323.1657566473699</v>
      </c>
      <c r="H24" s="4">
        <f t="shared" si="3"/>
        <v>331.6710508996976</v>
      </c>
      <c r="I24" s="4">
        <f t="shared" si="3"/>
        <v>366.26053874551502</v>
      </c>
      <c r="J24" s="4">
        <f t="shared" si="3"/>
        <v>397.64283896281677</v>
      </c>
    </row>
    <row r="25" spans="1:10" x14ac:dyDescent="0.25">
      <c r="B25">
        <f>B24-273.15</f>
        <v>-152.36057549205967</v>
      </c>
      <c r="C25">
        <f t="shared" ref="C25:J25" si="4">C24-273.15</f>
        <v>-74.153215622746728</v>
      </c>
      <c r="D25">
        <f t="shared" si="4"/>
        <v>-24.886198691248637</v>
      </c>
      <c r="E25">
        <f t="shared" si="4"/>
        <v>7.8349980170579556</v>
      </c>
      <c r="F25">
        <f t="shared" si="4"/>
        <v>19.521268125141262</v>
      </c>
      <c r="G25">
        <f t="shared" si="4"/>
        <v>50.015756647369926</v>
      </c>
      <c r="H25">
        <f t="shared" si="4"/>
        <v>58.521050899697627</v>
      </c>
      <c r="I25">
        <f t="shared" si="4"/>
        <v>93.110538745515044</v>
      </c>
      <c r="J25">
        <f t="shared" si="4"/>
        <v>124.49283896281679</v>
      </c>
    </row>
    <row r="27" spans="1:10" x14ac:dyDescent="0.25">
      <c r="A27" s="22" t="s">
        <v>176</v>
      </c>
      <c r="B27" s="4" t="s">
        <v>28</v>
      </c>
      <c r="C27" s="4" t="s">
        <v>29</v>
      </c>
      <c r="D27" s="4" t="s">
        <v>30</v>
      </c>
      <c r="E27" s="4" t="s">
        <v>31</v>
      </c>
      <c r="F27" s="4" t="s">
        <v>32</v>
      </c>
      <c r="G27" s="4" t="s">
        <v>33</v>
      </c>
      <c r="H27" s="4" t="s">
        <v>34</v>
      </c>
      <c r="I27" s="4" t="s">
        <v>35</v>
      </c>
      <c r="J27" s="4" t="s">
        <v>36</v>
      </c>
    </row>
    <row r="28" spans="1:10" x14ac:dyDescent="0.25">
      <c r="A28" s="24" t="s">
        <v>136</v>
      </c>
      <c r="B28">
        <f>1.093*$B$3*(B6+273.15)*(LN(B9/101.325)-1)/(0.93-(B25+273.15)/(B6+273.15))*(B12+273.15)/(B6+273.15)</f>
        <v>2308.4874236959377</v>
      </c>
      <c r="C28">
        <f t="shared" ref="C28:J28" si="5">1.093*$B$3*(C6+273.15)*(LN(C9/101.325)-1)/(0.93-(C25+273.15)/(C6+273.15))*(C12+273.15)/(C6+273.15)</f>
        <v>4015.5777814098146</v>
      </c>
      <c r="D28">
        <f t="shared" si="5"/>
        <v>5307.9643571128991</v>
      </c>
      <c r="E28">
        <f t="shared" si="5"/>
        <v>6076.4910849489461</v>
      </c>
      <c r="F28">
        <f t="shared" si="5"/>
        <v>6430.1063945095066</v>
      </c>
      <c r="G28">
        <f t="shared" si="5"/>
        <v>7185.2148270206908</v>
      </c>
      <c r="H28">
        <f t="shared" si="5"/>
        <v>7482.6155844378882</v>
      </c>
      <c r="I28">
        <f t="shared" si="5"/>
        <v>8529.4990844486874</v>
      </c>
      <c r="J28">
        <f t="shared" si="5"/>
        <v>9560.4085707778686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  <vt:lpstr>Лист4</vt:lpstr>
      <vt:lpstr>Лист5</vt:lpstr>
      <vt:lpstr>Проверка энтальпии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2020-01-24T08:34:29Z</dcterms:modified>
</cp:coreProperties>
</file>