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-120" yWindow="-60" windowWidth="29040" windowHeight="15780" firstSheet="7" activeTab="12"/>
  </bookViews>
  <sheets>
    <sheet name="Лист1" sheetId="1" r:id="rId1"/>
    <sheet name="Лист2" sheetId="2" r:id="rId2"/>
    <sheet name="проверка" sheetId="5" r:id="rId3"/>
    <sheet name="Лист3" sheetId="3" r:id="rId4"/>
    <sheet name="Метод секущих" sheetId="4" r:id="rId5"/>
    <sheet name="Энтальпия идеал.газа" sheetId="6" r:id="rId6"/>
    <sheet name="Теплоемкость идеал.газа" sheetId="7" r:id="rId7"/>
    <sheet name="метод Лимана-Деннера" sheetId="8" r:id="rId8"/>
    <sheet name="Энтальпия парообразования" sheetId="9" r:id="rId9"/>
    <sheet name="dHf_298" sheetId="10" r:id="rId10"/>
    <sheet name="Проверка энтальпий" sheetId="11" r:id="rId11"/>
    <sheet name="Проверка профили" sheetId="12" r:id="rId12"/>
    <sheet name="Проверка профили (2)" sheetId="15" r:id="rId13"/>
    <sheet name="Теплоемкость" sheetId="13" r:id="rId1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3" i="15" l="1"/>
  <c r="O14" i="15" l="1"/>
  <c r="G33" i="15"/>
  <c r="G34" i="15"/>
  <c r="N32" i="15"/>
  <c r="G37" i="15"/>
  <c r="J58" i="15"/>
  <c r="F58" i="15"/>
  <c r="B58" i="15"/>
  <c r="J57" i="15"/>
  <c r="I57" i="15"/>
  <c r="H57" i="15"/>
  <c r="G57" i="15"/>
  <c r="F57" i="15"/>
  <c r="E57" i="15"/>
  <c r="D57" i="15"/>
  <c r="C57" i="15"/>
  <c r="B57" i="15"/>
  <c r="J55" i="15"/>
  <c r="I55" i="15"/>
  <c r="H55" i="15"/>
  <c r="H58" i="15" s="1"/>
  <c r="G55" i="15"/>
  <c r="G58" i="15" s="1"/>
  <c r="F55" i="15"/>
  <c r="E55" i="15"/>
  <c r="D55" i="15"/>
  <c r="D58" i="15" s="1"/>
  <c r="C55" i="15"/>
  <c r="C58" i="15" s="1"/>
  <c r="B55" i="15"/>
  <c r="J52" i="15"/>
  <c r="I52" i="15"/>
  <c r="I58" i="15" s="1"/>
  <c r="H52" i="15"/>
  <c r="G52" i="15"/>
  <c r="F52" i="15"/>
  <c r="E52" i="15"/>
  <c r="E58" i="15" s="1"/>
  <c r="D52" i="15"/>
  <c r="C52" i="15"/>
  <c r="B52" i="15"/>
  <c r="M29" i="15"/>
  <c r="L29" i="15"/>
  <c r="N29" i="15" s="1"/>
  <c r="C29" i="15"/>
  <c r="M28" i="15"/>
  <c r="L28" i="15"/>
  <c r="N28" i="15" s="1"/>
  <c r="M27" i="15"/>
  <c r="L27" i="15"/>
  <c r="N27" i="15" s="1"/>
  <c r="M26" i="15"/>
  <c r="L26" i="15"/>
  <c r="M25" i="15"/>
  <c r="N25" i="15" s="1"/>
  <c r="L25" i="15"/>
  <c r="M24" i="15"/>
  <c r="L24" i="15"/>
  <c r="N24" i="15" s="1"/>
  <c r="M23" i="15"/>
  <c r="L23" i="15"/>
  <c r="M22" i="15"/>
  <c r="L22" i="15"/>
  <c r="N21" i="15"/>
  <c r="M21" i="15"/>
  <c r="L21" i="15"/>
  <c r="M20" i="15"/>
  <c r="L20" i="15"/>
  <c r="N20" i="15" s="1"/>
  <c r="M19" i="15"/>
  <c r="L19" i="15"/>
  <c r="N19" i="15" s="1"/>
  <c r="M18" i="15"/>
  <c r="L18" i="15"/>
  <c r="C18" i="15"/>
  <c r="B18" i="15"/>
  <c r="D18" i="15" s="1"/>
  <c r="G13" i="15"/>
  <c r="F13" i="15"/>
  <c r="I13" i="15" s="1"/>
  <c r="S12" i="15"/>
  <c r="Q12" i="15"/>
  <c r="G12" i="15"/>
  <c r="S11" i="15"/>
  <c r="Q11" i="15"/>
  <c r="G11" i="15"/>
  <c r="S10" i="15"/>
  <c r="Q10" i="15"/>
  <c r="G10" i="15"/>
  <c r="S9" i="15"/>
  <c r="Q9" i="15"/>
  <c r="G9" i="15"/>
  <c r="S8" i="15"/>
  <c r="Q8" i="15"/>
  <c r="G8" i="15"/>
  <c r="S7" i="15"/>
  <c r="Q7" i="15"/>
  <c r="G7" i="15"/>
  <c r="S6" i="15"/>
  <c r="Q6" i="15"/>
  <c r="G6" i="15"/>
  <c r="S5" i="15"/>
  <c r="Q5" i="15"/>
  <c r="G5" i="15"/>
  <c r="S4" i="15"/>
  <c r="S14" i="15" s="1"/>
  <c r="T2" i="15" s="1"/>
  <c r="Q4" i="15"/>
  <c r="G4" i="15"/>
  <c r="B19" i="15" s="1"/>
  <c r="S3" i="15"/>
  <c r="Q3" i="15"/>
  <c r="G3" i="15"/>
  <c r="F3" i="15"/>
  <c r="I2" i="15"/>
  <c r="J2" i="15" s="1"/>
  <c r="N13" i="12"/>
  <c r="N12" i="12"/>
  <c r="N11" i="12"/>
  <c r="N10" i="12"/>
  <c r="N9" i="12"/>
  <c r="N8" i="12"/>
  <c r="N7" i="12"/>
  <c r="N6" i="12"/>
  <c r="N5" i="12"/>
  <c r="N4" i="12"/>
  <c r="N3" i="12"/>
  <c r="N2" i="12"/>
  <c r="O13" i="12"/>
  <c r="N18" i="15" l="1"/>
  <c r="N22" i="15"/>
  <c r="N23" i="15"/>
  <c r="N26" i="15"/>
  <c r="D19" i="15"/>
  <c r="H29" i="15"/>
  <c r="B20" i="15"/>
  <c r="F4" i="15"/>
  <c r="H44" i="15"/>
  <c r="H33" i="15"/>
  <c r="C19" i="15"/>
  <c r="Q14" i="15"/>
  <c r="R2" i="15" s="1"/>
  <c r="H18" i="15"/>
  <c r="I3" i="15"/>
  <c r="J3" i="15" s="1"/>
  <c r="J10" i="13"/>
  <c r="I10" i="13"/>
  <c r="H10" i="13"/>
  <c r="G10" i="13"/>
  <c r="F10" i="13"/>
  <c r="E10" i="13"/>
  <c r="D10" i="13"/>
  <c r="C10" i="13"/>
  <c r="B10" i="13"/>
  <c r="C4" i="13"/>
  <c r="D4" i="13"/>
  <c r="E4" i="13"/>
  <c r="F4" i="13"/>
  <c r="G4" i="13"/>
  <c r="H4" i="13"/>
  <c r="I4" i="13"/>
  <c r="J4" i="13"/>
  <c r="B4" i="13"/>
  <c r="B21" i="15" l="1"/>
  <c r="C20" i="15"/>
  <c r="I4" i="15"/>
  <c r="J4" i="15" s="1"/>
  <c r="F5" i="15"/>
  <c r="D20" i="15"/>
  <c r="B58" i="12"/>
  <c r="C55" i="12"/>
  <c r="C58" i="12" s="1"/>
  <c r="D55" i="12"/>
  <c r="D58" i="12" s="1"/>
  <c r="E55" i="12"/>
  <c r="E58" i="12" s="1"/>
  <c r="F55" i="12"/>
  <c r="F58" i="12" s="1"/>
  <c r="G55" i="12"/>
  <c r="G58" i="12" s="1"/>
  <c r="H55" i="12"/>
  <c r="H58" i="12" s="1"/>
  <c r="I55" i="12"/>
  <c r="I58" i="12" s="1"/>
  <c r="J55" i="12"/>
  <c r="J58" i="12" s="1"/>
  <c r="B55" i="12"/>
  <c r="C52" i="12"/>
  <c r="D52" i="12"/>
  <c r="E52" i="12"/>
  <c r="F52" i="12"/>
  <c r="G52" i="12"/>
  <c r="H52" i="12"/>
  <c r="I52" i="12"/>
  <c r="J52" i="12"/>
  <c r="B52" i="12"/>
  <c r="C57" i="12"/>
  <c r="D57" i="12"/>
  <c r="E57" i="12"/>
  <c r="F57" i="12"/>
  <c r="G57" i="12"/>
  <c r="H57" i="12"/>
  <c r="I57" i="12"/>
  <c r="J57" i="12"/>
  <c r="B57" i="12"/>
  <c r="B22" i="15" l="1"/>
  <c r="I5" i="15"/>
  <c r="J5" i="15" s="1"/>
  <c r="F6" i="15"/>
  <c r="C21" i="15"/>
  <c r="D21" i="15" s="1"/>
  <c r="B29" i="6"/>
  <c r="B22" i="7"/>
  <c r="B23" i="7" s="1"/>
  <c r="D22" i="15" l="1"/>
  <c r="I6" i="15"/>
  <c r="J6" i="15" s="1"/>
  <c r="B23" i="15"/>
  <c r="C22" i="15"/>
  <c r="F7" i="15"/>
  <c r="B12" i="6"/>
  <c r="B13" i="6" s="1"/>
  <c r="B35" i="6"/>
  <c r="C22" i="7"/>
  <c r="C23" i="7" s="1"/>
  <c r="D22" i="7"/>
  <c r="D23" i="7" s="1"/>
  <c r="E22" i="7"/>
  <c r="E23" i="7" s="1"/>
  <c r="F22" i="7"/>
  <c r="F23" i="7" s="1"/>
  <c r="G22" i="7"/>
  <c r="G23" i="7" s="1"/>
  <c r="H22" i="7"/>
  <c r="H23" i="7" s="1"/>
  <c r="I22" i="7"/>
  <c r="I23" i="7" s="1"/>
  <c r="J22" i="7"/>
  <c r="J23" i="7" s="1"/>
  <c r="J29" i="6"/>
  <c r="C35" i="6"/>
  <c r="D35" i="6"/>
  <c r="E35" i="6"/>
  <c r="F35" i="6"/>
  <c r="G35" i="6"/>
  <c r="H35" i="6"/>
  <c r="I35" i="6"/>
  <c r="J35" i="6"/>
  <c r="C29" i="6"/>
  <c r="D29" i="6"/>
  <c r="E29" i="6"/>
  <c r="F29" i="6"/>
  <c r="G29" i="6"/>
  <c r="H29" i="6"/>
  <c r="I29" i="6"/>
  <c r="B8" i="7"/>
  <c r="V3" i="12"/>
  <c r="V4" i="12"/>
  <c r="V5" i="12"/>
  <c r="V6" i="12"/>
  <c r="V7" i="12"/>
  <c r="V8" i="12"/>
  <c r="V9" i="12"/>
  <c r="V10" i="12"/>
  <c r="V11" i="12"/>
  <c r="V12" i="12"/>
  <c r="V13" i="12"/>
  <c r="V2" i="12"/>
  <c r="B24" i="15" l="1"/>
  <c r="C23" i="15"/>
  <c r="F8" i="15"/>
  <c r="I7" i="15"/>
  <c r="J7" i="15" s="1"/>
  <c r="D23" i="15"/>
  <c r="G4" i="12"/>
  <c r="G3" i="12"/>
  <c r="H44" i="12"/>
  <c r="H33" i="12"/>
  <c r="F3" i="12"/>
  <c r="I2" i="12"/>
  <c r="F9" i="15" l="1"/>
  <c r="B25" i="15"/>
  <c r="I8" i="15"/>
  <c r="J8" i="15" s="1"/>
  <c r="C24" i="15"/>
  <c r="D24" i="15" s="1"/>
  <c r="B18" i="9"/>
  <c r="K1" i="9"/>
  <c r="B15" i="9"/>
  <c r="I9" i="15" l="1"/>
  <c r="J9" i="15" s="1"/>
  <c r="C25" i="15"/>
  <c r="D25" i="15" s="1"/>
  <c r="F10" i="15"/>
  <c r="B26" i="15"/>
  <c r="B24" i="9"/>
  <c r="B25" i="9" s="1"/>
  <c r="B28" i="9" s="1"/>
  <c r="L20" i="12"/>
  <c r="L21" i="12"/>
  <c r="L22" i="12"/>
  <c r="L23" i="12"/>
  <c r="N23" i="12" s="1"/>
  <c r="L24" i="12"/>
  <c r="L25" i="12"/>
  <c r="N25" i="12" s="1"/>
  <c r="L26" i="12"/>
  <c r="L27" i="12"/>
  <c r="L28" i="12"/>
  <c r="L19" i="12"/>
  <c r="M22" i="12"/>
  <c r="M23" i="12"/>
  <c r="M19" i="12"/>
  <c r="M18" i="12"/>
  <c r="L29" i="12"/>
  <c r="L18" i="12"/>
  <c r="S4" i="12"/>
  <c r="S5" i="12"/>
  <c r="S6" i="12"/>
  <c r="S7" i="12"/>
  <c r="S8" i="12"/>
  <c r="S9" i="12"/>
  <c r="S10" i="12"/>
  <c r="S11" i="12"/>
  <c r="S12" i="12"/>
  <c r="S3" i="12"/>
  <c r="Q4" i="12"/>
  <c r="Q5" i="12"/>
  <c r="Q6" i="12"/>
  <c r="Q7" i="12"/>
  <c r="Q8" i="12"/>
  <c r="Q9" i="12"/>
  <c r="Q10" i="12"/>
  <c r="Q11" i="12"/>
  <c r="Q12" i="12"/>
  <c r="Q3" i="12"/>
  <c r="H29" i="12"/>
  <c r="H18" i="12"/>
  <c r="M29" i="12"/>
  <c r="M28" i="12"/>
  <c r="N28" i="12" s="1"/>
  <c r="M21" i="12"/>
  <c r="M24" i="12"/>
  <c r="M25" i="12"/>
  <c r="M26" i="12"/>
  <c r="M27" i="12"/>
  <c r="M20" i="12"/>
  <c r="I10" i="15" l="1"/>
  <c r="J10" i="15" s="1"/>
  <c r="B27" i="15"/>
  <c r="C26" i="15"/>
  <c r="F11" i="15"/>
  <c r="D26" i="15"/>
  <c r="N22" i="12"/>
  <c r="N21" i="12"/>
  <c r="Q14" i="12"/>
  <c r="R2" i="12" s="1"/>
  <c r="S14" i="12"/>
  <c r="T2" i="12" s="1"/>
  <c r="N19" i="12"/>
  <c r="N26" i="12"/>
  <c r="N20" i="12"/>
  <c r="N24" i="12"/>
  <c r="N29" i="12"/>
  <c r="N27" i="12"/>
  <c r="N18" i="12"/>
  <c r="C18" i="12"/>
  <c r="B18" i="12"/>
  <c r="D18" i="12" s="1"/>
  <c r="B19" i="12"/>
  <c r="G5" i="12"/>
  <c r="G6" i="12"/>
  <c r="G7" i="12"/>
  <c r="G8" i="12"/>
  <c r="G9" i="12"/>
  <c r="G10" i="12"/>
  <c r="G11" i="12"/>
  <c r="G12" i="12"/>
  <c r="G13" i="12"/>
  <c r="C29" i="12" s="1"/>
  <c r="F13" i="12"/>
  <c r="D27" i="15" l="1"/>
  <c r="B28" i="15"/>
  <c r="C27" i="15"/>
  <c r="F12" i="15"/>
  <c r="I11" i="15"/>
  <c r="J11" i="15" s="1"/>
  <c r="B20" i="12"/>
  <c r="I13" i="12"/>
  <c r="C19" i="12"/>
  <c r="D19" i="12" s="1"/>
  <c r="F4" i="12"/>
  <c r="B21" i="12" s="1"/>
  <c r="J14" i="10"/>
  <c r="D14" i="10"/>
  <c r="E14" i="10"/>
  <c r="F14" i="10"/>
  <c r="G14" i="10"/>
  <c r="H14" i="10"/>
  <c r="I14" i="10"/>
  <c r="C14" i="10"/>
  <c r="B14" i="10"/>
  <c r="D28" i="15" l="1"/>
  <c r="B29" i="15"/>
  <c r="D29" i="15" s="1"/>
  <c r="C28" i="15"/>
  <c r="I12" i="15"/>
  <c r="J13" i="15"/>
  <c r="C20" i="12"/>
  <c r="D20" i="12" s="1"/>
  <c r="F5" i="12"/>
  <c r="I5" i="12" s="1"/>
  <c r="J5" i="12" s="1"/>
  <c r="I3" i="12"/>
  <c r="J3" i="12" s="1"/>
  <c r="I4" i="12"/>
  <c r="J4" i="12" s="1"/>
  <c r="J2" i="12"/>
  <c r="J12" i="15" l="1"/>
  <c r="F6" i="12"/>
  <c r="F7" i="12" s="1"/>
  <c r="C21" i="12"/>
  <c r="B22" i="12"/>
  <c r="P42" i="1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D21" i="12" l="1"/>
  <c r="B23" i="12"/>
  <c r="C22" i="12"/>
  <c r="D22" i="12" s="1"/>
  <c r="I6" i="12"/>
  <c r="J6" i="12" s="1"/>
  <c r="R27" i="11"/>
  <c r="Q27" i="11"/>
  <c r="P35" i="11"/>
  <c r="P27" i="11"/>
  <c r="O27" i="11"/>
  <c r="L49" i="11"/>
  <c r="B41" i="11"/>
  <c r="C41" i="11"/>
  <c r="D41" i="11"/>
  <c r="E41" i="11"/>
  <c r="F41" i="11"/>
  <c r="G41" i="11"/>
  <c r="H41" i="11"/>
  <c r="I41" i="11"/>
  <c r="J41" i="11"/>
  <c r="K41" i="11"/>
  <c r="L41" i="11"/>
  <c r="B42" i="11"/>
  <c r="C42" i="11"/>
  <c r="D42" i="11"/>
  <c r="E42" i="11"/>
  <c r="F42" i="11"/>
  <c r="G42" i="11"/>
  <c r="H42" i="11"/>
  <c r="I42" i="11"/>
  <c r="J42" i="11"/>
  <c r="K42" i="11"/>
  <c r="L42" i="11"/>
  <c r="B43" i="11"/>
  <c r="C43" i="11"/>
  <c r="D43" i="11"/>
  <c r="E43" i="11"/>
  <c r="F43" i="11"/>
  <c r="G43" i="11"/>
  <c r="H43" i="11"/>
  <c r="I43" i="11"/>
  <c r="J43" i="11"/>
  <c r="K43" i="11"/>
  <c r="L43" i="11"/>
  <c r="B44" i="11"/>
  <c r="C44" i="11"/>
  <c r="D44" i="11"/>
  <c r="E44" i="11"/>
  <c r="F44" i="11"/>
  <c r="G44" i="11"/>
  <c r="H44" i="11"/>
  <c r="I44" i="11"/>
  <c r="J44" i="11"/>
  <c r="K44" i="11"/>
  <c r="L44" i="11"/>
  <c r="B45" i="11"/>
  <c r="C45" i="11"/>
  <c r="D45" i="11"/>
  <c r="E45" i="11"/>
  <c r="F45" i="11"/>
  <c r="G45" i="11"/>
  <c r="H45" i="11"/>
  <c r="I45" i="11"/>
  <c r="J45" i="11"/>
  <c r="K45" i="11"/>
  <c r="L45" i="11"/>
  <c r="B46" i="11"/>
  <c r="C46" i="11"/>
  <c r="D46" i="11"/>
  <c r="E46" i="11"/>
  <c r="F46" i="11"/>
  <c r="G46" i="11"/>
  <c r="H46" i="11"/>
  <c r="I46" i="11"/>
  <c r="J46" i="11"/>
  <c r="K46" i="11"/>
  <c r="L46" i="11"/>
  <c r="B47" i="11"/>
  <c r="C47" i="11"/>
  <c r="D47" i="11"/>
  <c r="E47" i="11"/>
  <c r="F47" i="11"/>
  <c r="G47" i="11"/>
  <c r="H47" i="11"/>
  <c r="I47" i="11"/>
  <c r="J47" i="11"/>
  <c r="K47" i="11"/>
  <c r="L47" i="11"/>
  <c r="B48" i="11"/>
  <c r="C48" i="11"/>
  <c r="D48" i="11"/>
  <c r="E48" i="11"/>
  <c r="F48" i="11"/>
  <c r="G48" i="11"/>
  <c r="H48" i="11"/>
  <c r="I48" i="11"/>
  <c r="J48" i="11"/>
  <c r="K48" i="11"/>
  <c r="L48" i="11"/>
  <c r="B49" i="11"/>
  <c r="C49" i="11"/>
  <c r="D49" i="11"/>
  <c r="E49" i="11"/>
  <c r="F49" i="11"/>
  <c r="G49" i="11"/>
  <c r="H49" i="11"/>
  <c r="I49" i="11"/>
  <c r="J49" i="11"/>
  <c r="K49" i="11"/>
  <c r="A49" i="11"/>
  <c r="A48" i="11"/>
  <c r="A47" i="11"/>
  <c r="A46" i="11"/>
  <c r="A45" i="11"/>
  <c r="A44" i="11"/>
  <c r="A43" i="11"/>
  <c r="A42" i="11"/>
  <c r="A41" i="11"/>
  <c r="P34" i="11"/>
  <c r="P33" i="11"/>
  <c r="P32" i="11"/>
  <c r="P31" i="11"/>
  <c r="P30" i="11"/>
  <c r="P29" i="11"/>
  <c r="P28" i="11"/>
  <c r="Z35" i="11"/>
  <c r="X27" i="11"/>
  <c r="Y27" i="11"/>
  <c r="Z27" i="11"/>
  <c r="X28" i="11"/>
  <c r="Y28" i="11"/>
  <c r="Z28" i="11"/>
  <c r="X29" i="11"/>
  <c r="Y29" i="11"/>
  <c r="Z29" i="11"/>
  <c r="X30" i="11"/>
  <c r="Y30" i="11"/>
  <c r="Z30" i="11"/>
  <c r="X31" i="11"/>
  <c r="Y31" i="11"/>
  <c r="Z31" i="11"/>
  <c r="X32" i="11"/>
  <c r="Y32" i="11"/>
  <c r="Z32" i="11"/>
  <c r="X33" i="11"/>
  <c r="Y33" i="11"/>
  <c r="Z33" i="11"/>
  <c r="X34" i="11"/>
  <c r="Y34" i="11"/>
  <c r="Z34" i="11"/>
  <c r="X35" i="11"/>
  <c r="Y35" i="11"/>
  <c r="S27" i="11"/>
  <c r="T27" i="11"/>
  <c r="U27" i="11"/>
  <c r="V27" i="11"/>
  <c r="W27" i="11"/>
  <c r="Q28" i="11"/>
  <c r="R28" i="11"/>
  <c r="S28" i="11"/>
  <c r="T28" i="11"/>
  <c r="U28" i="11"/>
  <c r="V28" i="11"/>
  <c r="W28" i="11"/>
  <c r="Q29" i="11"/>
  <c r="Q36" i="11" s="1"/>
  <c r="Q38" i="11" s="1"/>
  <c r="R29" i="11"/>
  <c r="S29" i="11"/>
  <c r="T29" i="11"/>
  <c r="U29" i="11"/>
  <c r="V29" i="11"/>
  <c r="W29" i="11"/>
  <c r="Q30" i="11"/>
  <c r="R30" i="11"/>
  <c r="S30" i="11"/>
  <c r="T30" i="11"/>
  <c r="U30" i="11"/>
  <c r="V30" i="11"/>
  <c r="W30" i="11"/>
  <c r="Q31" i="11"/>
  <c r="R31" i="11"/>
  <c r="S31" i="11"/>
  <c r="T31" i="11"/>
  <c r="U31" i="11"/>
  <c r="V31" i="11"/>
  <c r="W31" i="11"/>
  <c r="Q32" i="11"/>
  <c r="R32" i="11"/>
  <c r="S32" i="11"/>
  <c r="T32" i="11"/>
  <c r="U32" i="11"/>
  <c r="V32" i="11"/>
  <c r="W32" i="11"/>
  <c r="Q33" i="11"/>
  <c r="R33" i="11"/>
  <c r="S33" i="11"/>
  <c r="T33" i="11"/>
  <c r="U33" i="11"/>
  <c r="V33" i="11"/>
  <c r="W33" i="11"/>
  <c r="Q34" i="11"/>
  <c r="R34" i="11"/>
  <c r="S34" i="11"/>
  <c r="T34" i="11"/>
  <c r="U34" i="11"/>
  <c r="V34" i="11"/>
  <c r="W34" i="11"/>
  <c r="Q35" i="11"/>
  <c r="R35" i="11"/>
  <c r="S35" i="11"/>
  <c r="T35" i="11"/>
  <c r="U35" i="11"/>
  <c r="V35" i="11"/>
  <c r="W35" i="11"/>
  <c r="O35" i="11"/>
  <c r="O34" i="11"/>
  <c r="O33" i="11"/>
  <c r="O32" i="11"/>
  <c r="O31" i="11"/>
  <c r="O30" i="11"/>
  <c r="O29" i="11"/>
  <c r="O28" i="11"/>
  <c r="P36" i="11" l="1"/>
  <c r="P38" i="11" s="1"/>
  <c r="V36" i="11"/>
  <c r="V38" i="11" s="1"/>
  <c r="T36" i="11"/>
  <c r="T38" i="11" s="1"/>
  <c r="S36" i="11"/>
  <c r="S38" i="11" s="1"/>
  <c r="X36" i="11"/>
  <c r="X38" i="11" s="1"/>
  <c r="U36" i="11"/>
  <c r="U38" i="11" s="1"/>
  <c r="A50" i="11"/>
  <c r="A52" i="11" s="1"/>
  <c r="R36" i="11"/>
  <c r="R38" i="11" s="1"/>
  <c r="F50" i="11"/>
  <c r="F52" i="11" s="1"/>
  <c r="L50" i="11"/>
  <c r="L52" i="11" s="1"/>
  <c r="D50" i="11"/>
  <c r="D52" i="11" s="1"/>
  <c r="G50" i="11"/>
  <c r="G52" i="11" s="1"/>
  <c r="E50" i="11"/>
  <c r="E52" i="11" s="1"/>
  <c r="W36" i="11"/>
  <c r="W38" i="11" s="1"/>
  <c r="H50" i="11"/>
  <c r="H52" i="11" s="1"/>
  <c r="K50" i="11"/>
  <c r="K52" i="11" s="1"/>
  <c r="I50" i="11"/>
  <c r="I52" i="11" s="1"/>
  <c r="J50" i="11"/>
  <c r="J52" i="11" s="1"/>
  <c r="Z36" i="11"/>
  <c r="Z38" i="11" s="1"/>
  <c r="B50" i="11"/>
  <c r="B52" i="11" s="1"/>
  <c r="C50" i="11"/>
  <c r="C52" i="11" s="1"/>
  <c r="Y36" i="11"/>
  <c r="Y38" i="11" s="1"/>
  <c r="F8" i="12"/>
  <c r="C23" i="12"/>
  <c r="D23" i="12" s="1"/>
  <c r="B24" i="12"/>
  <c r="I7" i="12"/>
  <c r="J7" i="12" s="1"/>
  <c r="O36" i="11"/>
  <c r="O38" i="11" s="1"/>
  <c r="C50" i="8"/>
  <c r="C53" i="8" s="1"/>
  <c r="B50" i="8"/>
  <c r="B53" i="8" s="1"/>
  <c r="D50" i="8"/>
  <c r="D53" i="8" s="1"/>
  <c r="E50" i="8"/>
  <c r="E53" i="8" s="1"/>
  <c r="F50" i="8"/>
  <c r="F53" i="8" s="1"/>
  <c r="G50" i="8"/>
  <c r="G53" i="8" s="1"/>
  <c r="H50" i="8"/>
  <c r="H53" i="8" s="1"/>
  <c r="I50" i="8"/>
  <c r="I53" i="8" s="1"/>
  <c r="J50" i="8"/>
  <c r="J53" i="8" s="1"/>
  <c r="B35" i="8"/>
  <c r="B31" i="8"/>
  <c r="B40" i="8"/>
  <c r="B39" i="8"/>
  <c r="B38" i="8"/>
  <c r="B37" i="8"/>
  <c r="B34" i="8"/>
  <c r="B36" i="8"/>
  <c r="J31" i="8"/>
  <c r="C31" i="8"/>
  <c r="D31" i="8"/>
  <c r="E31" i="8"/>
  <c r="F31" i="8"/>
  <c r="G31" i="8"/>
  <c r="H31" i="8"/>
  <c r="I31" i="8"/>
  <c r="F9" i="12" l="1"/>
  <c r="C24" i="12"/>
  <c r="D24" i="12" s="1"/>
  <c r="B25" i="12"/>
  <c r="I8" i="12"/>
  <c r="J8" i="12" s="1"/>
  <c r="B41" i="8"/>
  <c r="B42" i="8" s="1"/>
  <c r="J13" i="10"/>
  <c r="D13" i="10"/>
  <c r="E13" i="10"/>
  <c r="F13" i="10"/>
  <c r="G13" i="10"/>
  <c r="H13" i="10"/>
  <c r="I13" i="10"/>
  <c r="C13" i="10"/>
  <c r="B13" i="10"/>
  <c r="J12" i="10"/>
  <c r="D12" i="10"/>
  <c r="E12" i="10"/>
  <c r="F12" i="10"/>
  <c r="G12" i="10"/>
  <c r="H12" i="10"/>
  <c r="I12" i="10"/>
  <c r="C12" i="10"/>
  <c r="B12" i="10"/>
  <c r="U12" i="9"/>
  <c r="T12" i="9"/>
  <c r="O12" i="9"/>
  <c r="P12" i="9"/>
  <c r="Q12" i="9"/>
  <c r="R12" i="9"/>
  <c r="S12" i="9"/>
  <c r="N12" i="9"/>
  <c r="M12" i="9"/>
  <c r="L11" i="8"/>
  <c r="M11" i="8"/>
  <c r="N11" i="8"/>
  <c r="O11" i="8"/>
  <c r="P11" i="8"/>
  <c r="Q11" i="8"/>
  <c r="R11" i="8"/>
  <c r="S11" i="8"/>
  <c r="T11" i="8"/>
  <c r="T10" i="8"/>
  <c r="N10" i="8"/>
  <c r="O10" i="8"/>
  <c r="P10" i="8"/>
  <c r="Q10" i="8"/>
  <c r="R10" i="8"/>
  <c r="S10" i="8"/>
  <c r="M10" i="8"/>
  <c r="L10" i="8"/>
  <c r="P6" i="8"/>
  <c r="N6" i="8"/>
  <c r="O6" i="8"/>
  <c r="M6" i="8"/>
  <c r="L6" i="8"/>
  <c r="S5" i="8"/>
  <c r="R5" i="8"/>
  <c r="Q5" i="8"/>
  <c r="N5" i="8"/>
  <c r="O5" i="8"/>
  <c r="P5" i="8"/>
  <c r="M5" i="8"/>
  <c r="L5" i="8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J11" i="7"/>
  <c r="D11" i="7"/>
  <c r="E11" i="7"/>
  <c r="F11" i="7"/>
  <c r="G11" i="7"/>
  <c r="H11" i="7"/>
  <c r="I11" i="7"/>
  <c r="C11" i="7"/>
  <c r="B12" i="7"/>
  <c r="B13" i="7"/>
  <c r="B14" i="7"/>
  <c r="B11" i="7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J15" i="6"/>
  <c r="B15" i="6"/>
  <c r="C15" i="6"/>
  <c r="D15" i="6"/>
  <c r="E15" i="6"/>
  <c r="F15" i="6"/>
  <c r="G15" i="6"/>
  <c r="H15" i="6"/>
  <c r="I15" i="6"/>
  <c r="C18" i="9"/>
  <c r="C24" i="9" s="1"/>
  <c r="C25" i="9" s="1"/>
  <c r="C28" i="9" s="1"/>
  <c r="D18" i="9"/>
  <c r="D24" i="9" s="1"/>
  <c r="D25" i="9" s="1"/>
  <c r="D28" i="9" s="1"/>
  <c r="E18" i="9"/>
  <c r="E24" i="9" s="1"/>
  <c r="E25" i="9" s="1"/>
  <c r="E28" i="9" s="1"/>
  <c r="F18" i="9"/>
  <c r="F24" i="9" s="1"/>
  <c r="F25" i="9" s="1"/>
  <c r="F28" i="9" s="1"/>
  <c r="G18" i="9"/>
  <c r="G24" i="9" s="1"/>
  <c r="G25" i="9" s="1"/>
  <c r="G28" i="9" s="1"/>
  <c r="H18" i="9"/>
  <c r="H24" i="9" s="1"/>
  <c r="H25" i="9" s="1"/>
  <c r="H28" i="9" s="1"/>
  <c r="I18" i="9"/>
  <c r="I24" i="9" s="1"/>
  <c r="I25" i="9" s="1"/>
  <c r="I28" i="9" s="1"/>
  <c r="J18" i="9"/>
  <c r="J24" i="9" s="1"/>
  <c r="J25" i="9" s="1"/>
  <c r="J28" i="9" s="1"/>
  <c r="C15" i="9"/>
  <c r="D15" i="9"/>
  <c r="E15" i="9"/>
  <c r="F15" i="9"/>
  <c r="G15" i="9"/>
  <c r="H15" i="9"/>
  <c r="I15" i="9"/>
  <c r="J15" i="9"/>
  <c r="J24" i="8"/>
  <c r="B24" i="8"/>
  <c r="C18" i="8"/>
  <c r="B18" i="8"/>
  <c r="C24" i="8"/>
  <c r="D24" i="8"/>
  <c r="E24" i="8"/>
  <c r="F24" i="8"/>
  <c r="G24" i="8"/>
  <c r="H24" i="8"/>
  <c r="I24" i="8"/>
  <c r="J18" i="8"/>
  <c r="I18" i="8"/>
  <c r="H18" i="8"/>
  <c r="G18" i="8"/>
  <c r="F18" i="8"/>
  <c r="E18" i="8"/>
  <c r="D18" i="8"/>
  <c r="C8" i="7"/>
  <c r="D8" i="7"/>
  <c r="E8" i="7"/>
  <c r="F8" i="7"/>
  <c r="G8" i="7"/>
  <c r="H8" i="7"/>
  <c r="I8" i="7"/>
  <c r="J8" i="7"/>
  <c r="J12" i="6"/>
  <c r="J13" i="6" s="1"/>
  <c r="C12" i="6"/>
  <c r="C13" i="6" s="1"/>
  <c r="D12" i="6"/>
  <c r="D13" i="6" s="1"/>
  <c r="E12" i="6"/>
  <c r="E13" i="6" s="1"/>
  <c r="F12" i="6"/>
  <c r="F13" i="6" s="1"/>
  <c r="G12" i="6"/>
  <c r="G13" i="6" s="1"/>
  <c r="H12" i="6"/>
  <c r="H13" i="6" s="1"/>
  <c r="I12" i="6"/>
  <c r="I13" i="6" s="1"/>
  <c r="D27" i="8" l="1"/>
  <c r="G27" i="8"/>
  <c r="F10" i="12"/>
  <c r="C25" i="12"/>
  <c r="D25" i="12" s="1"/>
  <c r="B26" i="12"/>
  <c r="I9" i="12"/>
  <c r="J9" i="12" s="1"/>
  <c r="H27" i="8"/>
  <c r="B27" i="8"/>
  <c r="J27" i="8"/>
  <c r="F27" i="8"/>
  <c r="C27" i="8"/>
  <c r="E27" i="8"/>
  <c r="I27" i="8"/>
  <c r="K240" i="5"/>
  <c r="K239" i="5"/>
  <c r="K238" i="5"/>
  <c r="K237" i="5"/>
  <c r="K236" i="5"/>
  <c r="K235" i="5"/>
  <c r="K234" i="5"/>
  <c r="K233" i="5"/>
  <c r="K232" i="5"/>
  <c r="K231" i="5"/>
  <c r="K230" i="5"/>
  <c r="K229" i="5"/>
  <c r="L54" i="3"/>
  <c r="L55" i="3"/>
  <c r="L56" i="3"/>
  <c r="L57" i="3"/>
  <c r="L58" i="3"/>
  <c r="L59" i="3"/>
  <c r="L60" i="3"/>
  <c r="L61" i="3"/>
  <c r="L53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B54" i="3"/>
  <c r="B55" i="3"/>
  <c r="B56" i="3"/>
  <c r="B57" i="3"/>
  <c r="B58" i="3"/>
  <c r="B59" i="3"/>
  <c r="B60" i="3"/>
  <c r="B61" i="3"/>
  <c r="B53" i="3"/>
  <c r="B176" i="5"/>
  <c r="B191" i="5" s="1"/>
  <c r="K161" i="5"/>
  <c r="K162" i="5"/>
  <c r="K163" i="5"/>
  <c r="K164" i="5"/>
  <c r="K165" i="5"/>
  <c r="K166" i="5"/>
  <c r="K167" i="5"/>
  <c r="K168" i="5"/>
  <c r="K169" i="5"/>
  <c r="J187" i="5"/>
  <c r="J202" i="5" s="1"/>
  <c r="I187" i="5"/>
  <c r="I202" i="5" s="1"/>
  <c r="H187" i="5"/>
  <c r="H202" i="5" s="1"/>
  <c r="G187" i="5"/>
  <c r="G202" i="5" s="1"/>
  <c r="F187" i="5"/>
  <c r="F202" i="5" s="1"/>
  <c r="E187" i="5"/>
  <c r="E202" i="5" s="1"/>
  <c r="D187" i="5"/>
  <c r="D202" i="5" s="1"/>
  <c r="C187" i="5"/>
  <c r="C202" i="5" s="1"/>
  <c r="B187" i="5"/>
  <c r="B202" i="5" s="1"/>
  <c r="J186" i="5"/>
  <c r="I186" i="5"/>
  <c r="H186" i="5"/>
  <c r="G186" i="5"/>
  <c r="F186" i="5"/>
  <c r="E186" i="5"/>
  <c r="D186" i="5"/>
  <c r="C186" i="5"/>
  <c r="B186" i="5"/>
  <c r="J185" i="5"/>
  <c r="I185" i="5"/>
  <c r="H185" i="5"/>
  <c r="G185" i="5"/>
  <c r="F185" i="5"/>
  <c r="E185" i="5"/>
  <c r="D185" i="5"/>
  <c r="C185" i="5"/>
  <c r="B185" i="5"/>
  <c r="J184" i="5"/>
  <c r="I184" i="5"/>
  <c r="H184" i="5"/>
  <c r="G184" i="5"/>
  <c r="F184" i="5"/>
  <c r="E184" i="5"/>
  <c r="D184" i="5"/>
  <c r="C184" i="5"/>
  <c r="B184" i="5"/>
  <c r="J183" i="5"/>
  <c r="I183" i="5"/>
  <c r="H183" i="5"/>
  <c r="G183" i="5"/>
  <c r="F183" i="5"/>
  <c r="E183" i="5"/>
  <c r="D183" i="5"/>
  <c r="C183" i="5"/>
  <c r="B183" i="5"/>
  <c r="J182" i="5"/>
  <c r="I182" i="5"/>
  <c r="H182" i="5"/>
  <c r="G182" i="5"/>
  <c r="F182" i="5"/>
  <c r="E182" i="5"/>
  <c r="D182" i="5"/>
  <c r="C182" i="5"/>
  <c r="B182" i="5"/>
  <c r="J181" i="5"/>
  <c r="I181" i="5"/>
  <c r="H181" i="5"/>
  <c r="G181" i="5"/>
  <c r="F181" i="5"/>
  <c r="E181" i="5"/>
  <c r="D181" i="5"/>
  <c r="C181" i="5"/>
  <c r="B181" i="5"/>
  <c r="J180" i="5"/>
  <c r="I180" i="5"/>
  <c r="H180" i="5"/>
  <c r="G180" i="5"/>
  <c r="F180" i="5"/>
  <c r="E180" i="5"/>
  <c r="D180" i="5"/>
  <c r="C180" i="5"/>
  <c r="B180" i="5"/>
  <c r="J179" i="5"/>
  <c r="I179" i="5"/>
  <c r="H179" i="5"/>
  <c r="G179" i="5"/>
  <c r="F179" i="5"/>
  <c r="E179" i="5"/>
  <c r="D179" i="5"/>
  <c r="C179" i="5"/>
  <c r="B179" i="5"/>
  <c r="J178" i="5"/>
  <c r="I178" i="5"/>
  <c r="H178" i="5"/>
  <c r="G178" i="5"/>
  <c r="F178" i="5"/>
  <c r="E178" i="5"/>
  <c r="D178" i="5"/>
  <c r="C178" i="5"/>
  <c r="B178" i="5"/>
  <c r="J177" i="5"/>
  <c r="I177" i="5"/>
  <c r="H177" i="5"/>
  <c r="G177" i="5"/>
  <c r="F177" i="5"/>
  <c r="E177" i="5"/>
  <c r="D177" i="5"/>
  <c r="C177" i="5"/>
  <c r="B177" i="5"/>
  <c r="J176" i="5"/>
  <c r="J191" i="5" s="1"/>
  <c r="I176" i="5"/>
  <c r="I191" i="5" s="1"/>
  <c r="H176" i="5"/>
  <c r="H191" i="5" s="1"/>
  <c r="G176" i="5"/>
  <c r="G191" i="5" s="1"/>
  <c r="F176" i="5"/>
  <c r="F191" i="5" s="1"/>
  <c r="E176" i="5"/>
  <c r="E191" i="5" s="1"/>
  <c r="D176" i="5"/>
  <c r="D191" i="5" s="1"/>
  <c r="C176" i="5"/>
  <c r="C191" i="5" s="1"/>
  <c r="T156" i="5"/>
  <c r="S156" i="5"/>
  <c r="R156" i="5"/>
  <c r="Q156" i="5"/>
  <c r="P156" i="5"/>
  <c r="O156" i="5"/>
  <c r="N156" i="5"/>
  <c r="M156" i="5"/>
  <c r="L156" i="5"/>
  <c r="T155" i="5"/>
  <c r="S155" i="5"/>
  <c r="R155" i="5"/>
  <c r="Q155" i="5"/>
  <c r="P155" i="5"/>
  <c r="O155" i="5"/>
  <c r="N155" i="5"/>
  <c r="M155" i="5"/>
  <c r="L155" i="5"/>
  <c r="T154" i="5"/>
  <c r="S154" i="5"/>
  <c r="R154" i="5"/>
  <c r="Q154" i="5"/>
  <c r="P154" i="5"/>
  <c r="O154" i="5"/>
  <c r="N154" i="5"/>
  <c r="M154" i="5"/>
  <c r="L154" i="5"/>
  <c r="T153" i="5"/>
  <c r="S153" i="5"/>
  <c r="R153" i="5"/>
  <c r="Q153" i="5"/>
  <c r="P153" i="5"/>
  <c r="O153" i="5"/>
  <c r="N153" i="5"/>
  <c r="M153" i="5"/>
  <c r="L153" i="5"/>
  <c r="T152" i="5"/>
  <c r="S152" i="5"/>
  <c r="R152" i="5"/>
  <c r="Q152" i="5"/>
  <c r="P152" i="5"/>
  <c r="O152" i="5"/>
  <c r="N152" i="5"/>
  <c r="M152" i="5"/>
  <c r="L152" i="5"/>
  <c r="T151" i="5"/>
  <c r="S151" i="5"/>
  <c r="R151" i="5"/>
  <c r="Q151" i="5"/>
  <c r="P151" i="5"/>
  <c r="O151" i="5"/>
  <c r="N151" i="5"/>
  <c r="M151" i="5"/>
  <c r="L151" i="5"/>
  <c r="T150" i="5"/>
  <c r="S150" i="5"/>
  <c r="R150" i="5"/>
  <c r="Q150" i="5"/>
  <c r="P150" i="5"/>
  <c r="O150" i="5"/>
  <c r="N150" i="5"/>
  <c r="M150" i="5"/>
  <c r="L150" i="5"/>
  <c r="T149" i="5"/>
  <c r="S149" i="5"/>
  <c r="R149" i="5"/>
  <c r="Q149" i="5"/>
  <c r="P149" i="5"/>
  <c r="O149" i="5"/>
  <c r="N149" i="5"/>
  <c r="M149" i="5"/>
  <c r="L149" i="5"/>
  <c r="T148" i="5"/>
  <c r="S148" i="5"/>
  <c r="R148" i="5"/>
  <c r="Q148" i="5"/>
  <c r="P148" i="5"/>
  <c r="O148" i="5"/>
  <c r="N148" i="5"/>
  <c r="M148" i="5"/>
  <c r="L148" i="5"/>
  <c r="T147" i="5"/>
  <c r="S147" i="5"/>
  <c r="R147" i="5"/>
  <c r="Q147" i="5"/>
  <c r="P147" i="5"/>
  <c r="O147" i="5"/>
  <c r="N147" i="5"/>
  <c r="M147" i="5"/>
  <c r="L147" i="5"/>
  <c r="T146" i="5"/>
  <c r="S146" i="5"/>
  <c r="R146" i="5"/>
  <c r="Q146" i="5"/>
  <c r="P146" i="5"/>
  <c r="O146" i="5"/>
  <c r="N146" i="5"/>
  <c r="M146" i="5"/>
  <c r="L146" i="5"/>
  <c r="T145" i="5"/>
  <c r="S145" i="5"/>
  <c r="R145" i="5"/>
  <c r="Q145" i="5"/>
  <c r="P145" i="5"/>
  <c r="O145" i="5"/>
  <c r="N145" i="5"/>
  <c r="M145" i="5"/>
  <c r="L145" i="5"/>
  <c r="K140" i="5"/>
  <c r="J140" i="5"/>
  <c r="I140" i="5"/>
  <c r="H140" i="5"/>
  <c r="G140" i="5"/>
  <c r="F140" i="5"/>
  <c r="E140" i="5"/>
  <c r="D140" i="5"/>
  <c r="C140" i="5"/>
  <c r="B140" i="5"/>
  <c r="J139" i="5"/>
  <c r="I139" i="5"/>
  <c r="H139" i="5"/>
  <c r="G139" i="5"/>
  <c r="F139" i="5"/>
  <c r="E139" i="5"/>
  <c r="D139" i="5"/>
  <c r="C139" i="5"/>
  <c r="B139" i="5"/>
  <c r="M138" i="5"/>
  <c r="I138" i="5"/>
  <c r="H138" i="5"/>
  <c r="G138" i="5"/>
  <c r="F138" i="5"/>
  <c r="E138" i="5"/>
  <c r="D138" i="5"/>
  <c r="C138" i="5"/>
  <c r="B138" i="5"/>
  <c r="M137" i="5"/>
  <c r="L137" i="5"/>
  <c r="H137" i="5"/>
  <c r="G137" i="5"/>
  <c r="F137" i="5"/>
  <c r="E137" i="5"/>
  <c r="D137" i="5"/>
  <c r="C137" i="5"/>
  <c r="B137" i="5"/>
  <c r="M136" i="5"/>
  <c r="L136" i="5"/>
  <c r="K136" i="5"/>
  <c r="G136" i="5"/>
  <c r="F136" i="5"/>
  <c r="E136" i="5"/>
  <c r="D136" i="5"/>
  <c r="C136" i="5"/>
  <c r="B136" i="5"/>
  <c r="M135" i="5"/>
  <c r="L135" i="5"/>
  <c r="K135" i="5"/>
  <c r="J135" i="5"/>
  <c r="F135" i="5"/>
  <c r="E135" i="5"/>
  <c r="D135" i="5"/>
  <c r="C135" i="5"/>
  <c r="B135" i="5"/>
  <c r="M134" i="5"/>
  <c r="L134" i="5"/>
  <c r="K134" i="5"/>
  <c r="J134" i="5"/>
  <c r="I134" i="5"/>
  <c r="E134" i="5"/>
  <c r="D134" i="5"/>
  <c r="C134" i="5"/>
  <c r="B134" i="5"/>
  <c r="M133" i="5"/>
  <c r="L133" i="5"/>
  <c r="K133" i="5"/>
  <c r="J133" i="5"/>
  <c r="I133" i="5"/>
  <c r="H133" i="5"/>
  <c r="D133" i="5"/>
  <c r="C133" i="5"/>
  <c r="B133" i="5"/>
  <c r="M132" i="5"/>
  <c r="L132" i="5"/>
  <c r="K132" i="5"/>
  <c r="J132" i="5"/>
  <c r="I132" i="5"/>
  <c r="H132" i="5"/>
  <c r="G132" i="5"/>
  <c r="C132" i="5"/>
  <c r="B132" i="5"/>
  <c r="M131" i="5"/>
  <c r="L131" i="5"/>
  <c r="K131" i="5"/>
  <c r="J131" i="5"/>
  <c r="I131" i="5"/>
  <c r="H131" i="5"/>
  <c r="G131" i="5"/>
  <c r="F131" i="5"/>
  <c r="B131" i="5"/>
  <c r="M130" i="5"/>
  <c r="L130" i="5"/>
  <c r="K130" i="5"/>
  <c r="J130" i="5"/>
  <c r="I130" i="5"/>
  <c r="H130" i="5"/>
  <c r="G130" i="5"/>
  <c r="F130" i="5"/>
  <c r="E130" i="5"/>
  <c r="M129" i="5"/>
  <c r="L129" i="5"/>
  <c r="K129" i="5"/>
  <c r="J129" i="5"/>
  <c r="I129" i="5"/>
  <c r="H129" i="5"/>
  <c r="G129" i="5"/>
  <c r="F129" i="5"/>
  <c r="E129" i="5"/>
  <c r="D129" i="5"/>
  <c r="E101" i="5"/>
  <c r="O115" i="5" s="1"/>
  <c r="N140" i="5" s="1"/>
  <c r="E100" i="5"/>
  <c r="O114" i="5" s="1"/>
  <c r="N139" i="5" s="1"/>
  <c r="E99" i="5"/>
  <c r="O113" i="5" s="1"/>
  <c r="N138" i="5" s="1"/>
  <c r="E98" i="5"/>
  <c r="O112" i="5" s="1"/>
  <c r="N137" i="5" s="1"/>
  <c r="E97" i="5"/>
  <c r="O111" i="5" s="1"/>
  <c r="N136" i="5" s="1"/>
  <c r="E96" i="5"/>
  <c r="O110" i="5" s="1"/>
  <c r="N135" i="5" s="1"/>
  <c r="E95" i="5"/>
  <c r="O109" i="5" s="1"/>
  <c r="N134" i="5" s="1"/>
  <c r="E94" i="5"/>
  <c r="O108" i="5" s="1"/>
  <c r="N133" i="5" s="1"/>
  <c r="E93" i="5"/>
  <c r="O107" i="5" s="1"/>
  <c r="N132" i="5" s="1"/>
  <c r="E92" i="5"/>
  <c r="O106" i="5" s="1"/>
  <c r="N131" i="5" s="1"/>
  <c r="E91" i="5"/>
  <c r="O105" i="5" s="1"/>
  <c r="N130" i="5" s="1"/>
  <c r="E90" i="5"/>
  <c r="O104" i="5" s="1"/>
  <c r="N129" i="5" s="1"/>
  <c r="Q54" i="5"/>
  <c r="N54" i="5"/>
  <c r="K43" i="5" s="1"/>
  <c r="N53" i="5"/>
  <c r="N52" i="5"/>
  <c r="N51" i="5"/>
  <c r="N50" i="5"/>
  <c r="N49" i="5"/>
  <c r="N48" i="5"/>
  <c r="N47" i="5"/>
  <c r="N46" i="5"/>
  <c r="N45" i="5"/>
  <c r="N44" i="5"/>
  <c r="Q43" i="5"/>
  <c r="N43" i="5"/>
  <c r="M43" i="5"/>
  <c r="M44" i="5" s="1"/>
  <c r="L44" i="5" s="1"/>
  <c r="J43" i="5"/>
  <c r="E38" i="5"/>
  <c r="F38" i="5" s="1"/>
  <c r="B38" i="5"/>
  <c r="E37" i="5"/>
  <c r="F37" i="5" s="1"/>
  <c r="B37" i="5"/>
  <c r="E36" i="5"/>
  <c r="F36" i="5" s="1"/>
  <c r="B36" i="5"/>
  <c r="E35" i="5"/>
  <c r="F35" i="5" s="1"/>
  <c r="B35" i="5"/>
  <c r="E34" i="5"/>
  <c r="F34" i="5" s="1"/>
  <c r="B34" i="5"/>
  <c r="F33" i="5"/>
  <c r="E33" i="5"/>
  <c r="B33" i="5"/>
  <c r="E32" i="5"/>
  <c r="F32" i="5" s="1"/>
  <c r="B32" i="5"/>
  <c r="R31" i="5"/>
  <c r="E31" i="5"/>
  <c r="F31" i="5" s="1"/>
  <c r="B31" i="5"/>
  <c r="P30" i="5"/>
  <c r="E30" i="5"/>
  <c r="F30" i="5" s="1"/>
  <c r="B30" i="5"/>
  <c r="U22" i="5"/>
  <c r="AE22" i="5" s="1"/>
  <c r="T22" i="5"/>
  <c r="AD22" i="5" s="1"/>
  <c r="S22" i="5"/>
  <c r="AC22" i="5" s="1"/>
  <c r="R22" i="5"/>
  <c r="AB22" i="5" s="1"/>
  <c r="Q22" i="5"/>
  <c r="AA22" i="5" s="1"/>
  <c r="P22" i="5"/>
  <c r="Z22" i="5" s="1"/>
  <c r="O22" i="5"/>
  <c r="Y22" i="5" s="1"/>
  <c r="N22" i="5"/>
  <c r="X22" i="5" s="1"/>
  <c r="M22" i="5"/>
  <c r="W22" i="5" s="1"/>
  <c r="U21" i="5"/>
  <c r="AE21" i="5" s="1"/>
  <c r="T21" i="5"/>
  <c r="AD21" i="5" s="1"/>
  <c r="S21" i="5"/>
  <c r="AC21" i="5" s="1"/>
  <c r="R21" i="5"/>
  <c r="AB21" i="5" s="1"/>
  <c r="Q21" i="5"/>
  <c r="AA21" i="5" s="1"/>
  <c r="P21" i="5"/>
  <c r="Z21" i="5" s="1"/>
  <c r="O21" i="5"/>
  <c r="Y21" i="5" s="1"/>
  <c r="N21" i="5"/>
  <c r="X21" i="5" s="1"/>
  <c r="M21" i="5"/>
  <c r="W21" i="5" s="1"/>
  <c r="U20" i="5"/>
  <c r="AE20" i="5" s="1"/>
  <c r="T20" i="5"/>
  <c r="AD20" i="5" s="1"/>
  <c r="S20" i="5"/>
  <c r="AC20" i="5" s="1"/>
  <c r="R20" i="5"/>
  <c r="AB20" i="5" s="1"/>
  <c r="Q20" i="5"/>
  <c r="AA20" i="5" s="1"/>
  <c r="P20" i="5"/>
  <c r="Z20" i="5" s="1"/>
  <c r="O20" i="5"/>
  <c r="Y20" i="5" s="1"/>
  <c r="N20" i="5"/>
  <c r="X20" i="5" s="1"/>
  <c r="M20" i="5"/>
  <c r="W20" i="5" s="1"/>
  <c r="U19" i="5"/>
  <c r="AE19" i="5" s="1"/>
  <c r="T19" i="5"/>
  <c r="AD19" i="5" s="1"/>
  <c r="S19" i="5"/>
  <c r="AC19" i="5" s="1"/>
  <c r="R19" i="5"/>
  <c r="AB19" i="5" s="1"/>
  <c r="Q19" i="5"/>
  <c r="AA19" i="5" s="1"/>
  <c r="P19" i="5"/>
  <c r="Z19" i="5" s="1"/>
  <c r="O19" i="5"/>
  <c r="Y19" i="5" s="1"/>
  <c r="N19" i="5"/>
  <c r="X19" i="5" s="1"/>
  <c r="M19" i="5"/>
  <c r="W19" i="5" s="1"/>
  <c r="U18" i="5"/>
  <c r="AE18" i="5" s="1"/>
  <c r="T18" i="5"/>
  <c r="AD18" i="5" s="1"/>
  <c r="S18" i="5"/>
  <c r="AC18" i="5" s="1"/>
  <c r="R18" i="5"/>
  <c r="AB18" i="5" s="1"/>
  <c r="Q18" i="5"/>
  <c r="AA18" i="5" s="1"/>
  <c r="P18" i="5"/>
  <c r="Z18" i="5" s="1"/>
  <c r="O18" i="5"/>
  <c r="Y18" i="5" s="1"/>
  <c r="N18" i="5"/>
  <c r="X18" i="5" s="1"/>
  <c r="M18" i="5"/>
  <c r="W18" i="5" s="1"/>
  <c r="U17" i="5"/>
  <c r="AE17" i="5" s="1"/>
  <c r="T17" i="5"/>
  <c r="AD17" i="5" s="1"/>
  <c r="S17" i="5"/>
  <c r="AC17" i="5" s="1"/>
  <c r="R17" i="5"/>
  <c r="AB17" i="5" s="1"/>
  <c r="Q17" i="5"/>
  <c r="AA17" i="5" s="1"/>
  <c r="P17" i="5"/>
  <c r="Z17" i="5" s="1"/>
  <c r="O17" i="5"/>
  <c r="Y17" i="5" s="1"/>
  <c r="N17" i="5"/>
  <c r="X17" i="5" s="1"/>
  <c r="M17" i="5"/>
  <c r="W17" i="5" s="1"/>
  <c r="U16" i="5"/>
  <c r="AE16" i="5" s="1"/>
  <c r="T16" i="5"/>
  <c r="AD16" i="5" s="1"/>
  <c r="S16" i="5"/>
  <c r="AC16" i="5" s="1"/>
  <c r="R16" i="5"/>
  <c r="AB16" i="5" s="1"/>
  <c r="Q16" i="5"/>
  <c r="AA16" i="5" s="1"/>
  <c r="P16" i="5"/>
  <c r="Z16" i="5" s="1"/>
  <c r="O16" i="5"/>
  <c r="Y16" i="5" s="1"/>
  <c r="N16" i="5"/>
  <c r="X16" i="5" s="1"/>
  <c r="M16" i="5"/>
  <c r="W16" i="5" s="1"/>
  <c r="U15" i="5"/>
  <c r="AE15" i="5" s="1"/>
  <c r="T15" i="5"/>
  <c r="AD15" i="5" s="1"/>
  <c r="S15" i="5"/>
  <c r="AC15" i="5" s="1"/>
  <c r="R15" i="5"/>
  <c r="AB15" i="5" s="1"/>
  <c r="Q15" i="5"/>
  <c r="AA15" i="5" s="1"/>
  <c r="P15" i="5"/>
  <c r="Z15" i="5" s="1"/>
  <c r="O15" i="5"/>
  <c r="Y15" i="5" s="1"/>
  <c r="N15" i="5"/>
  <c r="X15" i="5" s="1"/>
  <c r="M15" i="5"/>
  <c r="W15" i="5" s="1"/>
  <c r="U14" i="5"/>
  <c r="AE14" i="5" s="1"/>
  <c r="T14" i="5"/>
  <c r="AD14" i="5" s="1"/>
  <c r="S14" i="5"/>
  <c r="AC14" i="5" s="1"/>
  <c r="R14" i="5"/>
  <c r="AB14" i="5" s="1"/>
  <c r="Q14" i="5"/>
  <c r="AA14" i="5" s="1"/>
  <c r="P14" i="5"/>
  <c r="Z14" i="5" s="1"/>
  <c r="O14" i="5"/>
  <c r="Y14" i="5" s="1"/>
  <c r="N14" i="5"/>
  <c r="X14" i="5" s="1"/>
  <c r="M14" i="5"/>
  <c r="W14" i="5" s="1"/>
  <c r="C10" i="5"/>
  <c r="L6" i="5"/>
  <c r="K6" i="5"/>
  <c r="J6" i="5"/>
  <c r="I6" i="5"/>
  <c r="H6" i="5"/>
  <c r="G6" i="5"/>
  <c r="F6" i="5"/>
  <c r="E6" i="5"/>
  <c r="D6" i="5"/>
  <c r="L3" i="5"/>
  <c r="K3" i="5"/>
  <c r="J3" i="5"/>
  <c r="I3" i="5"/>
  <c r="H3" i="5"/>
  <c r="G3" i="5"/>
  <c r="F3" i="5"/>
  <c r="E3" i="5"/>
  <c r="D3" i="5"/>
  <c r="A54" i="3"/>
  <c r="A55" i="3"/>
  <c r="A56" i="3"/>
  <c r="A57" i="3"/>
  <c r="A58" i="3"/>
  <c r="A59" i="3"/>
  <c r="A60" i="3"/>
  <c r="A61" i="3"/>
  <c r="A53" i="3"/>
  <c r="D2" i="4"/>
  <c r="L43" i="5" l="1"/>
  <c r="U147" i="5"/>
  <c r="F11" i="12"/>
  <c r="C26" i="12"/>
  <c r="D26" i="12" s="1"/>
  <c r="B27" i="12"/>
  <c r="I10" i="12"/>
  <c r="J10" i="12" s="1"/>
  <c r="F39" i="5"/>
  <c r="G30" i="5"/>
  <c r="U148" i="5"/>
  <c r="U156" i="5"/>
  <c r="U151" i="5"/>
  <c r="U152" i="5"/>
  <c r="U153" i="5"/>
  <c r="F192" i="5"/>
  <c r="G35" i="5"/>
  <c r="G32" i="5"/>
  <c r="I217" i="5"/>
  <c r="G38" i="5"/>
  <c r="G33" i="5"/>
  <c r="G31" i="5"/>
  <c r="C217" i="5"/>
  <c r="G36" i="5"/>
  <c r="G34" i="5"/>
  <c r="C192" i="5"/>
  <c r="P54" i="5"/>
  <c r="U145" i="5"/>
  <c r="U146" i="5"/>
  <c r="J217" i="5"/>
  <c r="M45" i="5"/>
  <c r="E192" i="5"/>
  <c r="U154" i="5"/>
  <c r="D192" i="5"/>
  <c r="G37" i="5"/>
  <c r="G192" i="5"/>
  <c r="E217" i="5"/>
  <c r="B91" i="5"/>
  <c r="B105" i="5" s="1"/>
  <c r="B130" i="5" s="1"/>
  <c r="U155" i="5"/>
  <c r="H192" i="5"/>
  <c r="F217" i="5"/>
  <c r="U149" i="5"/>
  <c r="U150" i="5"/>
  <c r="I192" i="5"/>
  <c r="G217" i="5"/>
  <c r="B217" i="5"/>
  <c r="R32" i="5"/>
  <c r="F193" i="5" s="1"/>
  <c r="F208" i="5" s="1"/>
  <c r="B192" i="5"/>
  <c r="J192" i="5"/>
  <c r="I193" i="5"/>
  <c r="I208" i="5" s="1"/>
  <c r="H217" i="5"/>
  <c r="D217" i="5"/>
  <c r="A3" i="4"/>
  <c r="C3" i="4" s="1"/>
  <c r="C2" i="4"/>
  <c r="E2" i="4" s="1"/>
  <c r="B3" i="4" s="1"/>
  <c r="A4" i="4" l="1"/>
  <c r="C4" i="4" s="1"/>
  <c r="D3" i="4"/>
  <c r="E3" i="4" s="1"/>
  <c r="F12" i="12"/>
  <c r="C27" i="12"/>
  <c r="D27" i="12" s="1"/>
  <c r="B28" i="12"/>
  <c r="I11" i="12"/>
  <c r="J11" i="12" s="1"/>
  <c r="H30" i="5"/>
  <c r="I30" i="5" s="1"/>
  <c r="G193" i="5"/>
  <c r="G208" i="5" s="1"/>
  <c r="J193" i="5"/>
  <c r="J208" i="5" s="1"/>
  <c r="D193" i="5"/>
  <c r="B193" i="5"/>
  <c r="B208" i="5" s="1"/>
  <c r="K217" i="5"/>
  <c r="L217" i="5" s="1"/>
  <c r="K172" i="5"/>
  <c r="H193" i="5"/>
  <c r="H208" i="5" s="1"/>
  <c r="F207" i="5"/>
  <c r="C207" i="5"/>
  <c r="J207" i="5"/>
  <c r="I207" i="5"/>
  <c r="H207" i="5"/>
  <c r="G207" i="5"/>
  <c r="E207" i="5"/>
  <c r="M46" i="5"/>
  <c r="L45" i="5"/>
  <c r="D208" i="5"/>
  <c r="B207" i="5"/>
  <c r="H206" i="5"/>
  <c r="G206" i="5"/>
  <c r="F206" i="5"/>
  <c r="E206" i="5"/>
  <c r="D206" i="5"/>
  <c r="C206" i="5"/>
  <c r="J206" i="5"/>
  <c r="I206" i="5"/>
  <c r="E193" i="5"/>
  <c r="E208" i="5" s="1"/>
  <c r="R33" i="5"/>
  <c r="C193" i="5"/>
  <c r="C208" i="5" s="1"/>
  <c r="D207" i="5"/>
  <c r="C12" i="3"/>
  <c r="D12" i="3"/>
  <c r="E12" i="3"/>
  <c r="F12" i="3"/>
  <c r="G12" i="3"/>
  <c r="H12" i="3"/>
  <c r="I12" i="3"/>
  <c r="J12" i="3"/>
  <c r="K12" i="3"/>
  <c r="L12" i="3"/>
  <c r="M12" i="3"/>
  <c r="B12" i="3"/>
  <c r="N43" i="2"/>
  <c r="L43" i="2" s="1"/>
  <c r="N54" i="2"/>
  <c r="K43" i="2" s="1"/>
  <c r="M44" i="2"/>
  <c r="M43" i="2"/>
  <c r="J187" i="2"/>
  <c r="J202" i="2" s="1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B181" i="2"/>
  <c r="C181" i="2"/>
  <c r="D181" i="2"/>
  <c r="E181" i="2"/>
  <c r="F181" i="2"/>
  <c r="G181" i="2"/>
  <c r="H181" i="2"/>
  <c r="I181" i="2"/>
  <c r="J181" i="2"/>
  <c r="B182" i="2"/>
  <c r="C182" i="2"/>
  <c r="D182" i="2"/>
  <c r="E182" i="2"/>
  <c r="F182" i="2"/>
  <c r="G182" i="2"/>
  <c r="H182" i="2"/>
  <c r="I182" i="2"/>
  <c r="J182" i="2"/>
  <c r="B183" i="2"/>
  <c r="C183" i="2"/>
  <c r="D183" i="2"/>
  <c r="E183" i="2"/>
  <c r="F183" i="2"/>
  <c r="G183" i="2"/>
  <c r="H183" i="2"/>
  <c r="I183" i="2"/>
  <c r="J183" i="2"/>
  <c r="B184" i="2"/>
  <c r="C184" i="2"/>
  <c r="D184" i="2"/>
  <c r="E184" i="2"/>
  <c r="F184" i="2"/>
  <c r="G184" i="2"/>
  <c r="H184" i="2"/>
  <c r="I184" i="2"/>
  <c r="J184" i="2"/>
  <c r="B185" i="2"/>
  <c r="C185" i="2"/>
  <c r="D185" i="2"/>
  <c r="E185" i="2"/>
  <c r="F185" i="2"/>
  <c r="G185" i="2"/>
  <c r="H185" i="2"/>
  <c r="I185" i="2"/>
  <c r="J185" i="2"/>
  <c r="B186" i="2"/>
  <c r="C186" i="2"/>
  <c r="D186" i="2"/>
  <c r="E186" i="2"/>
  <c r="F186" i="2"/>
  <c r="G186" i="2"/>
  <c r="H186" i="2"/>
  <c r="I186" i="2"/>
  <c r="J186" i="2"/>
  <c r="B187" i="2"/>
  <c r="B202" i="2" s="1"/>
  <c r="C187" i="2"/>
  <c r="C202" i="2" s="1"/>
  <c r="D187" i="2"/>
  <c r="D202" i="2" s="1"/>
  <c r="E187" i="2"/>
  <c r="E202" i="2" s="1"/>
  <c r="F187" i="2"/>
  <c r="F202" i="2" s="1"/>
  <c r="G187" i="2"/>
  <c r="G202" i="2" s="1"/>
  <c r="H187" i="2"/>
  <c r="H202" i="2" s="1"/>
  <c r="I187" i="2"/>
  <c r="I202" i="2" s="1"/>
  <c r="C176" i="2"/>
  <c r="C191" i="2" s="1"/>
  <c r="D176" i="2"/>
  <c r="D191" i="2" s="1"/>
  <c r="E176" i="2"/>
  <c r="E191" i="2" s="1"/>
  <c r="F176" i="2"/>
  <c r="F191" i="2" s="1"/>
  <c r="G176" i="2"/>
  <c r="G191" i="2" s="1"/>
  <c r="H176" i="2"/>
  <c r="H191" i="2" s="1"/>
  <c r="I176" i="2"/>
  <c r="I191" i="2" s="1"/>
  <c r="J176" i="2"/>
  <c r="J191" i="2" s="1"/>
  <c r="B176" i="2"/>
  <c r="B191" i="2" s="1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M145" i="2"/>
  <c r="N145" i="2"/>
  <c r="O145" i="2"/>
  <c r="P145" i="2"/>
  <c r="Q145" i="2"/>
  <c r="R145" i="2"/>
  <c r="S145" i="2"/>
  <c r="T145" i="2"/>
  <c r="L145" i="2"/>
  <c r="E94" i="2"/>
  <c r="O108" i="2" s="1"/>
  <c r="N133" i="2" s="1"/>
  <c r="E91" i="2"/>
  <c r="O105" i="2" s="1"/>
  <c r="N130" i="2" s="1"/>
  <c r="E92" i="2"/>
  <c r="O106" i="2" s="1"/>
  <c r="N131" i="2" s="1"/>
  <c r="E93" i="2"/>
  <c r="O107" i="2" s="1"/>
  <c r="N132" i="2" s="1"/>
  <c r="E95" i="2"/>
  <c r="O109" i="2" s="1"/>
  <c r="N134" i="2" s="1"/>
  <c r="E96" i="2"/>
  <c r="O110" i="2" s="1"/>
  <c r="N135" i="2" s="1"/>
  <c r="E97" i="2"/>
  <c r="O111" i="2" s="1"/>
  <c r="N136" i="2" s="1"/>
  <c r="E98" i="2"/>
  <c r="E99" i="2"/>
  <c r="O113" i="2" s="1"/>
  <c r="N138" i="2" s="1"/>
  <c r="E100" i="2"/>
  <c r="O114" i="2" s="1"/>
  <c r="N139" i="2" s="1"/>
  <c r="E101" i="2"/>
  <c r="O115" i="2" s="1"/>
  <c r="N140" i="2" s="1"/>
  <c r="E90" i="2"/>
  <c r="O104" i="2" s="1"/>
  <c r="N129" i="2" s="1"/>
  <c r="O112" i="2"/>
  <c r="N137" i="2" s="1"/>
  <c r="D129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F131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D133" i="2"/>
  <c r="H133" i="2"/>
  <c r="I133" i="2"/>
  <c r="J133" i="2"/>
  <c r="K133" i="2"/>
  <c r="L133" i="2"/>
  <c r="M133" i="2"/>
  <c r="D134" i="2"/>
  <c r="E134" i="2"/>
  <c r="I134" i="2"/>
  <c r="J134" i="2"/>
  <c r="K134" i="2"/>
  <c r="L134" i="2"/>
  <c r="M134" i="2"/>
  <c r="D135" i="2"/>
  <c r="E135" i="2"/>
  <c r="F135" i="2"/>
  <c r="J135" i="2"/>
  <c r="K135" i="2"/>
  <c r="L135" i="2"/>
  <c r="M135" i="2"/>
  <c r="D136" i="2"/>
  <c r="E136" i="2"/>
  <c r="F136" i="2"/>
  <c r="G136" i="2"/>
  <c r="K136" i="2"/>
  <c r="L136" i="2"/>
  <c r="M136" i="2"/>
  <c r="D137" i="2"/>
  <c r="E137" i="2"/>
  <c r="F137" i="2"/>
  <c r="G137" i="2"/>
  <c r="H137" i="2"/>
  <c r="L137" i="2"/>
  <c r="M137" i="2"/>
  <c r="D138" i="2"/>
  <c r="E138" i="2"/>
  <c r="F138" i="2"/>
  <c r="G138" i="2"/>
  <c r="H138" i="2"/>
  <c r="I138" i="2"/>
  <c r="M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K140" i="2"/>
  <c r="C132" i="2"/>
  <c r="C133" i="2"/>
  <c r="C134" i="2"/>
  <c r="C135" i="2"/>
  <c r="C136" i="2"/>
  <c r="C137" i="2"/>
  <c r="C138" i="2"/>
  <c r="C139" i="2"/>
  <c r="C140" i="2"/>
  <c r="B140" i="2"/>
  <c r="B139" i="2"/>
  <c r="B138" i="2"/>
  <c r="B137" i="2"/>
  <c r="B131" i="2"/>
  <c r="B132" i="2"/>
  <c r="B133" i="2"/>
  <c r="B134" i="2"/>
  <c r="B135" i="2"/>
  <c r="B136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Q54" i="2"/>
  <c r="Q43" i="2"/>
  <c r="M45" i="2"/>
  <c r="M46" i="2" s="1"/>
  <c r="M47" i="2" s="1"/>
  <c r="J43" i="2"/>
  <c r="N44" i="2"/>
  <c r="N45" i="2"/>
  <c r="N46" i="2"/>
  <c r="N47" i="2"/>
  <c r="N48" i="2"/>
  <c r="N49" i="2"/>
  <c r="N50" i="2"/>
  <c r="N51" i="2"/>
  <c r="N52" i="2"/>
  <c r="N53" i="2"/>
  <c r="D201" i="2" l="1"/>
  <c r="E200" i="2"/>
  <c r="F199" i="2"/>
  <c r="G198" i="2"/>
  <c r="H197" i="2"/>
  <c r="I196" i="2"/>
  <c r="J195" i="2"/>
  <c r="J210" i="2" s="1"/>
  <c r="B195" i="2"/>
  <c r="C194" i="2"/>
  <c r="D193" i="2"/>
  <c r="E192" i="2"/>
  <c r="F2" i="4"/>
  <c r="B4" i="4"/>
  <c r="U153" i="2"/>
  <c r="H169" i="2" s="1"/>
  <c r="C201" i="2"/>
  <c r="D200" i="2"/>
  <c r="E199" i="2"/>
  <c r="F198" i="2"/>
  <c r="G197" i="2"/>
  <c r="H196" i="2"/>
  <c r="I195" i="2"/>
  <c r="J194" i="2"/>
  <c r="B194" i="2"/>
  <c r="C193" i="2"/>
  <c r="D192" i="2"/>
  <c r="J201" i="2"/>
  <c r="B201" i="2"/>
  <c r="C200" i="2"/>
  <c r="D199" i="2"/>
  <c r="E198" i="2"/>
  <c r="F197" i="2"/>
  <c r="G196" i="2"/>
  <c r="H195" i="2"/>
  <c r="I194" i="2"/>
  <c r="J193" i="2"/>
  <c r="B193" i="2"/>
  <c r="C192" i="2"/>
  <c r="I201" i="2"/>
  <c r="J200" i="2"/>
  <c r="B200" i="2"/>
  <c r="C199" i="2"/>
  <c r="D198" i="2"/>
  <c r="E197" i="2"/>
  <c r="F196" i="2"/>
  <c r="G195" i="2"/>
  <c r="H194" i="2"/>
  <c r="I193" i="2"/>
  <c r="J192" i="2"/>
  <c r="B192" i="2"/>
  <c r="J30" i="5"/>
  <c r="H201" i="2"/>
  <c r="I200" i="2"/>
  <c r="J199" i="2"/>
  <c r="B199" i="2"/>
  <c r="C198" i="2"/>
  <c r="D197" i="2"/>
  <c r="E196" i="2"/>
  <c r="F195" i="2"/>
  <c r="G194" i="2"/>
  <c r="H193" i="2"/>
  <c r="I192" i="2"/>
  <c r="B91" i="2"/>
  <c r="B105" i="2" s="1"/>
  <c r="G201" i="2"/>
  <c r="H200" i="2"/>
  <c r="I199" i="2"/>
  <c r="J198" i="2"/>
  <c r="B198" i="2"/>
  <c r="C197" i="2"/>
  <c r="D196" i="2"/>
  <c r="E195" i="2"/>
  <c r="F194" i="2"/>
  <c r="G193" i="2"/>
  <c r="H192" i="2"/>
  <c r="M48" i="2"/>
  <c r="M49" i="2" s="1"/>
  <c r="M50" i="2" s="1"/>
  <c r="M51" i="2" s="1"/>
  <c r="M52" i="2" s="1"/>
  <c r="M53" i="2" s="1"/>
  <c r="M54" i="2" s="1"/>
  <c r="L54" i="2" s="1"/>
  <c r="F201" i="2"/>
  <c r="G200" i="2"/>
  <c r="H199" i="2"/>
  <c r="I198" i="2"/>
  <c r="J197" i="2"/>
  <c r="B197" i="2"/>
  <c r="C196" i="2"/>
  <c r="D195" i="2"/>
  <c r="E194" i="2"/>
  <c r="F193" i="2"/>
  <c r="G192" i="2"/>
  <c r="B130" i="2"/>
  <c r="E201" i="2"/>
  <c r="F200" i="2"/>
  <c r="G199" i="2"/>
  <c r="H198" i="2"/>
  <c r="I197" i="2"/>
  <c r="J196" i="2"/>
  <c r="B196" i="2"/>
  <c r="C195" i="2"/>
  <c r="D194" i="2"/>
  <c r="E193" i="2"/>
  <c r="F192" i="2"/>
  <c r="B29" i="12"/>
  <c r="C28" i="12"/>
  <c r="D28" i="12" s="1"/>
  <c r="I12" i="12"/>
  <c r="O12" i="12" s="1"/>
  <c r="J13" i="12"/>
  <c r="K208" i="5"/>
  <c r="L208" i="5" s="1"/>
  <c r="D194" i="5"/>
  <c r="D209" i="5" s="1"/>
  <c r="R34" i="5"/>
  <c r="J194" i="5"/>
  <c r="J209" i="5" s="1"/>
  <c r="B194" i="5"/>
  <c r="B209" i="5" s="1"/>
  <c r="I194" i="5"/>
  <c r="I209" i="5" s="1"/>
  <c r="C194" i="5"/>
  <c r="C209" i="5" s="1"/>
  <c r="F194" i="5"/>
  <c r="F209" i="5" s="1"/>
  <c r="E194" i="5"/>
  <c r="E209" i="5" s="1"/>
  <c r="G194" i="5"/>
  <c r="G209" i="5" s="1"/>
  <c r="H194" i="5"/>
  <c r="H209" i="5" s="1"/>
  <c r="K170" i="5"/>
  <c r="K36" i="5"/>
  <c r="L36" i="5" s="1"/>
  <c r="K34" i="5"/>
  <c r="L34" i="5" s="1"/>
  <c r="K35" i="5"/>
  <c r="L35" i="5" s="1"/>
  <c r="K33" i="5"/>
  <c r="L33" i="5" s="1"/>
  <c r="K38" i="5"/>
  <c r="L38" i="5" s="1"/>
  <c r="K32" i="5"/>
  <c r="L32" i="5" s="1"/>
  <c r="K31" i="5"/>
  <c r="L31" i="5" s="1"/>
  <c r="K30" i="5"/>
  <c r="L30" i="5" s="1"/>
  <c r="K37" i="5"/>
  <c r="L37" i="5" s="1"/>
  <c r="B206" i="5"/>
  <c r="K206" i="5" s="1"/>
  <c r="L206" i="5" s="1"/>
  <c r="L46" i="5"/>
  <c r="M47" i="5"/>
  <c r="K207" i="5"/>
  <c r="L207" i="5" s="1"/>
  <c r="K171" i="5"/>
  <c r="U152" i="2"/>
  <c r="U155" i="2"/>
  <c r="H171" i="2" s="1"/>
  <c r="U151" i="2"/>
  <c r="D167" i="2" s="1"/>
  <c r="U147" i="2"/>
  <c r="E163" i="2" s="1"/>
  <c r="U146" i="2"/>
  <c r="H162" i="2" s="1"/>
  <c r="U145" i="2"/>
  <c r="B161" i="2" s="1"/>
  <c r="B206" i="2" s="1"/>
  <c r="U154" i="2"/>
  <c r="F170" i="2" s="1"/>
  <c r="U150" i="2"/>
  <c r="G166" i="2" s="1"/>
  <c r="U149" i="2"/>
  <c r="U156" i="2"/>
  <c r="G172" i="2" s="1"/>
  <c r="G217" i="2" s="1"/>
  <c r="U148" i="2"/>
  <c r="F164" i="2" s="1"/>
  <c r="B168" i="2"/>
  <c r="J168" i="2"/>
  <c r="H168" i="2"/>
  <c r="I168" i="2"/>
  <c r="C168" i="2"/>
  <c r="D168" i="2"/>
  <c r="E168" i="2"/>
  <c r="F168" i="2"/>
  <c r="G168" i="2"/>
  <c r="G213" i="2" s="1"/>
  <c r="B169" i="2"/>
  <c r="C169" i="2"/>
  <c r="G171" i="2"/>
  <c r="E171" i="2"/>
  <c r="I171" i="2"/>
  <c r="B171" i="2"/>
  <c r="J171" i="2"/>
  <c r="C171" i="2"/>
  <c r="F171" i="2"/>
  <c r="D171" i="2"/>
  <c r="D216" i="2" s="1"/>
  <c r="F167" i="2"/>
  <c r="G167" i="2"/>
  <c r="B167" i="2"/>
  <c r="H163" i="2"/>
  <c r="F163" i="2"/>
  <c r="I163" i="2"/>
  <c r="B163" i="2"/>
  <c r="J163" i="2"/>
  <c r="C163" i="2"/>
  <c r="D163" i="2"/>
  <c r="D208" i="2" s="1"/>
  <c r="E165" i="2"/>
  <c r="F165" i="2"/>
  <c r="C165" i="2"/>
  <c r="G165" i="2"/>
  <c r="H165" i="2"/>
  <c r="I165" i="2"/>
  <c r="B165" i="2"/>
  <c r="B210" i="2" s="1"/>
  <c r="J165" i="2"/>
  <c r="D165" i="2"/>
  <c r="I161" i="2"/>
  <c r="I206" i="2" s="1"/>
  <c r="J161" i="2"/>
  <c r="J206" i="2" s="1"/>
  <c r="D170" i="2"/>
  <c r="F172" i="2"/>
  <c r="F217" i="2" s="1"/>
  <c r="E172" i="2"/>
  <c r="E217" i="2" s="1"/>
  <c r="H172" i="2"/>
  <c r="H217" i="2" s="1"/>
  <c r="I172" i="2"/>
  <c r="I217" i="2" s="1"/>
  <c r="D172" i="2"/>
  <c r="D217" i="2" s="1"/>
  <c r="B172" i="2"/>
  <c r="B217" i="2" s="1"/>
  <c r="J172" i="2"/>
  <c r="J217" i="2" s="1"/>
  <c r="C172" i="2"/>
  <c r="C217" i="2" s="1"/>
  <c r="G164" i="2"/>
  <c r="H164" i="2"/>
  <c r="D164" i="2"/>
  <c r="B164" i="2"/>
  <c r="J164" i="2"/>
  <c r="E164" i="2"/>
  <c r="P54" i="2"/>
  <c r="L44" i="2"/>
  <c r="L49" i="2"/>
  <c r="L48" i="2"/>
  <c r="L47" i="2"/>
  <c r="L46" i="2"/>
  <c r="L53" i="2"/>
  <c r="L45" i="2"/>
  <c r="L52" i="2"/>
  <c r="L51" i="2"/>
  <c r="L50" i="2"/>
  <c r="N14" i="2"/>
  <c r="O14" i="2"/>
  <c r="P14" i="2"/>
  <c r="Q14" i="2"/>
  <c r="R14" i="2"/>
  <c r="S14" i="2"/>
  <c r="T14" i="2"/>
  <c r="U14" i="2"/>
  <c r="M14" i="2"/>
  <c r="W14" i="2" s="1"/>
  <c r="H167" i="2" l="1"/>
  <c r="H212" i="2" s="1"/>
  <c r="C167" i="2"/>
  <c r="C170" i="2"/>
  <c r="H209" i="2"/>
  <c r="I216" i="2"/>
  <c r="I164" i="2"/>
  <c r="I209" i="2" s="1"/>
  <c r="J170" i="2"/>
  <c r="J167" i="2"/>
  <c r="J212" i="2" s="1"/>
  <c r="I210" i="2"/>
  <c r="I167" i="2"/>
  <c r="I212" i="2" s="1"/>
  <c r="B213" i="2"/>
  <c r="G212" i="2"/>
  <c r="E167" i="2"/>
  <c r="K167" i="2" s="1"/>
  <c r="F210" i="2"/>
  <c r="J216" i="2"/>
  <c r="C164" i="2"/>
  <c r="C209" i="2" s="1"/>
  <c r="G162" i="2"/>
  <c r="G163" i="2"/>
  <c r="D29" i="12"/>
  <c r="K217" i="2"/>
  <c r="E161" i="2"/>
  <c r="E206" i="2" s="1"/>
  <c r="J169" i="2"/>
  <c r="B212" i="2"/>
  <c r="C212" i="2"/>
  <c r="G210" i="2"/>
  <c r="H210" i="2"/>
  <c r="F166" i="2"/>
  <c r="K166" i="2" s="1"/>
  <c r="B170" i="2"/>
  <c r="H161" i="2"/>
  <c r="H206" i="2" s="1"/>
  <c r="G169" i="2"/>
  <c r="I169" i="2"/>
  <c r="I214" i="2" s="1"/>
  <c r="H213" i="2"/>
  <c r="I213" i="2"/>
  <c r="J213" i="2"/>
  <c r="C213" i="2"/>
  <c r="F212" i="2"/>
  <c r="F213" i="2"/>
  <c r="D166" i="2"/>
  <c r="D211" i="2" s="1"/>
  <c r="I170" i="2"/>
  <c r="G161" i="2"/>
  <c r="G206" i="2" s="1"/>
  <c r="F169" i="2"/>
  <c r="F214" i="2" s="1"/>
  <c r="F207" i="2"/>
  <c r="G214" i="2"/>
  <c r="G207" i="2"/>
  <c r="H214" i="2"/>
  <c r="H207" i="2"/>
  <c r="B214" i="2"/>
  <c r="D213" i="2"/>
  <c r="E213" i="2"/>
  <c r="C166" i="2"/>
  <c r="C211" i="2" s="1"/>
  <c r="D212" i="2"/>
  <c r="G170" i="2"/>
  <c r="G215" i="2" s="1"/>
  <c r="H170" i="2"/>
  <c r="H215" i="2" s="1"/>
  <c r="F161" i="2"/>
  <c r="F206" i="2" s="1"/>
  <c r="E169" i="2"/>
  <c r="E214" i="2" s="1"/>
  <c r="E208" i="2"/>
  <c r="F215" i="2"/>
  <c r="F208" i="2"/>
  <c r="G208" i="2"/>
  <c r="J214" i="2"/>
  <c r="C214" i="2"/>
  <c r="C208" i="2"/>
  <c r="D215" i="2"/>
  <c r="D4" i="4"/>
  <c r="E4" i="4" s="1"/>
  <c r="A5" i="4"/>
  <c r="C5" i="4" s="1"/>
  <c r="E170" i="2"/>
  <c r="E215" i="2" s="1"/>
  <c r="D161" i="2"/>
  <c r="D206" i="2" s="1"/>
  <c r="D169" i="2"/>
  <c r="D214" i="2" s="1"/>
  <c r="D209" i="2"/>
  <c r="E216" i="2"/>
  <c r="E209" i="2"/>
  <c r="F216" i="2"/>
  <c r="F209" i="2"/>
  <c r="G216" i="2"/>
  <c r="H208" i="2"/>
  <c r="I215" i="2"/>
  <c r="B215" i="2"/>
  <c r="B208" i="2"/>
  <c r="K208" i="2" s="1"/>
  <c r="C215" i="2"/>
  <c r="B209" i="2"/>
  <c r="C216" i="2"/>
  <c r="G211" i="2"/>
  <c r="C161" i="2"/>
  <c r="C206" i="2" s="1"/>
  <c r="K206" i="2" s="1"/>
  <c r="C210" i="2"/>
  <c r="D210" i="2"/>
  <c r="E210" i="2"/>
  <c r="G209" i="2"/>
  <c r="H216" i="2"/>
  <c r="I208" i="2"/>
  <c r="J215" i="2"/>
  <c r="J208" i="2"/>
  <c r="B216" i="2"/>
  <c r="J209" i="2"/>
  <c r="J12" i="12"/>
  <c r="M30" i="5"/>
  <c r="N30" i="5" s="1"/>
  <c r="K209" i="5"/>
  <c r="L209" i="5" s="1"/>
  <c r="L47" i="5"/>
  <c r="M48" i="5"/>
  <c r="C195" i="5"/>
  <c r="C210" i="5" s="1"/>
  <c r="I195" i="5"/>
  <c r="I210" i="5" s="1"/>
  <c r="R35" i="5"/>
  <c r="H195" i="5"/>
  <c r="H210" i="5" s="1"/>
  <c r="G195" i="5"/>
  <c r="G210" i="5" s="1"/>
  <c r="E195" i="5"/>
  <c r="E210" i="5" s="1"/>
  <c r="J195" i="5"/>
  <c r="J210" i="5" s="1"/>
  <c r="B195" i="5"/>
  <c r="B210" i="5" s="1"/>
  <c r="D195" i="5"/>
  <c r="D210" i="5" s="1"/>
  <c r="F195" i="5"/>
  <c r="F210" i="5" s="1"/>
  <c r="D162" i="2"/>
  <c r="D207" i="2" s="1"/>
  <c r="P53" i="2"/>
  <c r="P52" i="2" s="1"/>
  <c r="E166" i="2"/>
  <c r="E211" i="2" s="1"/>
  <c r="F162" i="2"/>
  <c r="B166" i="2"/>
  <c r="B211" i="2" s="1"/>
  <c r="C162" i="2"/>
  <c r="C207" i="2" s="1"/>
  <c r="I166" i="2"/>
  <c r="I211" i="2" s="1"/>
  <c r="J162" i="2"/>
  <c r="J207" i="2" s="1"/>
  <c r="J166" i="2"/>
  <c r="J211" i="2" s="1"/>
  <c r="B162" i="2"/>
  <c r="B207" i="2" s="1"/>
  <c r="H166" i="2"/>
  <c r="H211" i="2" s="1"/>
  <c r="I162" i="2"/>
  <c r="I207" i="2" s="1"/>
  <c r="E162" i="2"/>
  <c r="K172" i="2"/>
  <c r="K163" i="2"/>
  <c r="K168" i="2"/>
  <c r="K165" i="2"/>
  <c r="K171" i="2"/>
  <c r="K170" i="2"/>
  <c r="B30" i="2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G19" i="15" l="1"/>
  <c r="E212" i="2"/>
  <c r="K169" i="2"/>
  <c r="K210" i="2"/>
  <c r="K212" i="2"/>
  <c r="K213" i="2"/>
  <c r="K164" i="2"/>
  <c r="F211" i="2"/>
  <c r="K211" i="2" s="1"/>
  <c r="K216" i="2"/>
  <c r="K214" i="2"/>
  <c r="B5" i="4"/>
  <c r="F3" i="4"/>
  <c r="K162" i="2"/>
  <c r="E207" i="2"/>
  <c r="K207" i="2" s="1"/>
  <c r="K161" i="2"/>
  <c r="K209" i="2"/>
  <c r="K215" i="2"/>
  <c r="Q30" i="5"/>
  <c r="Q38" i="5"/>
  <c r="Q37" i="5"/>
  <c r="Q36" i="5"/>
  <c r="Q35" i="5"/>
  <c r="Q34" i="5"/>
  <c r="Q33" i="5"/>
  <c r="Q32" i="5"/>
  <c r="Q31" i="5"/>
  <c r="Q41" i="5"/>
  <c r="Q40" i="5"/>
  <c r="Q39" i="5"/>
  <c r="J196" i="5"/>
  <c r="J211" i="5" s="1"/>
  <c r="B196" i="5"/>
  <c r="B211" i="5" s="1"/>
  <c r="R36" i="5"/>
  <c r="H196" i="5"/>
  <c r="H211" i="5" s="1"/>
  <c r="F196" i="5"/>
  <c r="F211" i="5" s="1"/>
  <c r="I196" i="5"/>
  <c r="I211" i="5" s="1"/>
  <c r="E196" i="5"/>
  <c r="E211" i="5" s="1"/>
  <c r="G196" i="5"/>
  <c r="G211" i="5" s="1"/>
  <c r="C196" i="5"/>
  <c r="C211" i="5" s="1"/>
  <c r="D196" i="5"/>
  <c r="D211" i="5" s="1"/>
  <c r="K210" i="5"/>
  <c r="L210" i="5" s="1"/>
  <c r="M49" i="5"/>
  <c r="L48" i="5"/>
  <c r="G30" i="2"/>
  <c r="P51" i="2"/>
  <c r="G38" i="2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H19" i="15" l="1"/>
  <c r="I19" i="15" s="1"/>
  <c r="I33" i="15"/>
  <c r="G18" i="15"/>
  <c r="I18" i="15" s="1"/>
  <c r="H34" i="15"/>
  <c r="I34" i="15" s="1"/>
  <c r="A6" i="4"/>
  <c r="C6" i="4" s="1"/>
  <c r="D5" i="4"/>
  <c r="E5" i="4" s="1"/>
  <c r="C63" i="5"/>
  <c r="C78" i="5" s="1"/>
  <c r="J63" i="5"/>
  <c r="J78" i="5" s="1"/>
  <c r="B63" i="5"/>
  <c r="B78" i="5" s="1"/>
  <c r="I63" i="5"/>
  <c r="I78" i="5" s="1"/>
  <c r="H63" i="5"/>
  <c r="H78" i="5" s="1"/>
  <c r="G63" i="5"/>
  <c r="G78" i="5" s="1"/>
  <c r="F63" i="5"/>
  <c r="F78" i="5" s="1"/>
  <c r="E63" i="5"/>
  <c r="E78" i="5" s="1"/>
  <c r="D63" i="5"/>
  <c r="D78" i="5" s="1"/>
  <c r="K211" i="5"/>
  <c r="L211" i="5" s="1"/>
  <c r="F64" i="5"/>
  <c r="F79" i="5" s="1"/>
  <c r="B64" i="5"/>
  <c r="B79" i="5" s="1"/>
  <c r="J64" i="5"/>
  <c r="J79" i="5" s="1"/>
  <c r="G64" i="5"/>
  <c r="G79" i="5" s="1"/>
  <c r="I64" i="5"/>
  <c r="I79" i="5" s="1"/>
  <c r="H64" i="5"/>
  <c r="H79" i="5" s="1"/>
  <c r="E64" i="5"/>
  <c r="E79" i="5" s="1"/>
  <c r="C64" i="5"/>
  <c r="C79" i="5" s="1"/>
  <c r="D64" i="5"/>
  <c r="D79" i="5" s="1"/>
  <c r="I197" i="5"/>
  <c r="I212" i="5" s="1"/>
  <c r="R37" i="5"/>
  <c r="G197" i="5"/>
  <c r="G212" i="5" s="1"/>
  <c r="H197" i="5"/>
  <c r="H212" i="5" s="1"/>
  <c r="B197" i="5"/>
  <c r="B212" i="5" s="1"/>
  <c r="D197" i="5"/>
  <c r="D212" i="5" s="1"/>
  <c r="C197" i="5"/>
  <c r="C212" i="5" s="1"/>
  <c r="J197" i="5"/>
  <c r="J212" i="5" s="1"/>
  <c r="E197" i="5"/>
  <c r="E212" i="5" s="1"/>
  <c r="F197" i="5"/>
  <c r="F212" i="5" s="1"/>
  <c r="H65" i="5"/>
  <c r="H80" i="5" s="1"/>
  <c r="E65" i="5"/>
  <c r="E80" i="5" s="1"/>
  <c r="B65" i="5"/>
  <c r="B80" i="5" s="1"/>
  <c r="J65" i="5"/>
  <c r="J80" i="5" s="1"/>
  <c r="I65" i="5"/>
  <c r="I80" i="5" s="1"/>
  <c r="G65" i="5"/>
  <c r="G80" i="5" s="1"/>
  <c r="F65" i="5"/>
  <c r="F80" i="5" s="1"/>
  <c r="D65" i="5"/>
  <c r="D80" i="5" s="1"/>
  <c r="C65" i="5"/>
  <c r="C80" i="5" s="1"/>
  <c r="D69" i="5"/>
  <c r="I69" i="5"/>
  <c r="H69" i="5"/>
  <c r="G69" i="5"/>
  <c r="F69" i="5"/>
  <c r="E69" i="5"/>
  <c r="C69" i="5"/>
  <c r="B69" i="5"/>
  <c r="J69" i="5"/>
  <c r="G66" i="5"/>
  <c r="G81" i="5" s="1"/>
  <c r="D66" i="5"/>
  <c r="D81" i="5" s="1"/>
  <c r="C66" i="5"/>
  <c r="C81" i="5" s="1"/>
  <c r="B66" i="5"/>
  <c r="B81" i="5" s="1"/>
  <c r="I66" i="5"/>
  <c r="I81" i="5" s="1"/>
  <c r="J66" i="5"/>
  <c r="J81" i="5" s="1"/>
  <c r="H66" i="5"/>
  <c r="H81" i="5" s="1"/>
  <c r="F66" i="5"/>
  <c r="F81" i="5" s="1"/>
  <c r="E66" i="5"/>
  <c r="E81" i="5" s="1"/>
  <c r="L49" i="5"/>
  <c r="M50" i="5"/>
  <c r="C70" i="5"/>
  <c r="H70" i="5"/>
  <c r="J70" i="5"/>
  <c r="I70" i="5"/>
  <c r="G70" i="5"/>
  <c r="F70" i="5"/>
  <c r="E70" i="5"/>
  <c r="D70" i="5"/>
  <c r="B70" i="5"/>
  <c r="F67" i="5"/>
  <c r="C67" i="5"/>
  <c r="C82" i="5" s="1"/>
  <c r="E67" i="5"/>
  <c r="D67" i="5"/>
  <c r="B67" i="5"/>
  <c r="J67" i="5"/>
  <c r="I67" i="5"/>
  <c r="G67" i="5"/>
  <c r="H67" i="5"/>
  <c r="D62" i="5"/>
  <c r="D77" i="5" s="1"/>
  <c r="C62" i="5"/>
  <c r="C77" i="5" s="1"/>
  <c r="J62" i="5"/>
  <c r="J77" i="5" s="1"/>
  <c r="B62" i="5"/>
  <c r="B77" i="5" s="1"/>
  <c r="I62" i="5"/>
  <c r="I77" i="5" s="1"/>
  <c r="H62" i="5"/>
  <c r="H77" i="5" s="1"/>
  <c r="G62" i="5"/>
  <c r="G77" i="5" s="1"/>
  <c r="E62" i="5"/>
  <c r="E77" i="5" s="1"/>
  <c r="F62" i="5"/>
  <c r="F77" i="5" s="1"/>
  <c r="J71" i="5"/>
  <c r="J86" i="5" s="1"/>
  <c r="B71" i="5"/>
  <c r="B86" i="5" s="1"/>
  <c r="G71" i="5"/>
  <c r="G86" i="5" s="1"/>
  <c r="I71" i="5"/>
  <c r="I86" i="5" s="1"/>
  <c r="H71" i="5"/>
  <c r="H86" i="5" s="1"/>
  <c r="F71" i="5"/>
  <c r="F86" i="5" s="1"/>
  <c r="C71" i="5"/>
  <c r="C86" i="5" s="1"/>
  <c r="E71" i="5"/>
  <c r="E86" i="5" s="1"/>
  <c r="D71" i="5"/>
  <c r="D86" i="5" s="1"/>
  <c r="E68" i="5"/>
  <c r="J68" i="5"/>
  <c r="B68" i="5"/>
  <c r="G68" i="5"/>
  <c r="F68" i="5"/>
  <c r="D68" i="5"/>
  <c r="C68" i="5"/>
  <c r="I68" i="5"/>
  <c r="H68" i="5"/>
  <c r="E61" i="5"/>
  <c r="E76" i="5" s="1"/>
  <c r="D61" i="5"/>
  <c r="D76" i="5" s="1"/>
  <c r="C61" i="5"/>
  <c r="C76" i="5" s="1"/>
  <c r="J61" i="5"/>
  <c r="J76" i="5" s="1"/>
  <c r="B61" i="5"/>
  <c r="B76" i="5" s="1"/>
  <c r="I61" i="5"/>
  <c r="I76" i="5" s="1"/>
  <c r="H61" i="5"/>
  <c r="H76" i="5" s="1"/>
  <c r="G61" i="5"/>
  <c r="G76" i="5" s="1"/>
  <c r="F61" i="5"/>
  <c r="F76" i="5" s="1"/>
  <c r="F60" i="5"/>
  <c r="F75" i="5" s="1"/>
  <c r="E60" i="5"/>
  <c r="E75" i="5" s="1"/>
  <c r="D60" i="5"/>
  <c r="D75" i="5" s="1"/>
  <c r="C60" i="5"/>
  <c r="C75" i="5" s="1"/>
  <c r="B60" i="5"/>
  <c r="B75" i="5" s="1"/>
  <c r="J60" i="5"/>
  <c r="J75" i="5" s="1"/>
  <c r="C90" i="5" s="1"/>
  <c r="B104" i="5" s="1"/>
  <c r="B129" i="5" s="1"/>
  <c r="I60" i="5"/>
  <c r="I75" i="5" s="1"/>
  <c r="G60" i="5"/>
  <c r="G75" i="5" s="1"/>
  <c r="H60" i="5"/>
  <c r="H75" i="5" s="1"/>
  <c r="H30" i="2"/>
  <c r="I30" i="2" s="1"/>
  <c r="P50" i="2"/>
  <c r="F39" i="2"/>
  <c r="G35" i="15" l="1"/>
  <c r="G20" i="15"/>
  <c r="E82" i="5"/>
  <c r="B82" i="5"/>
  <c r="D82" i="5"/>
  <c r="H82" i="5"/>
  <c r="F82" i="5"/>
  <c r="G82" i="5"/>
  <c r="I82" i="5"/>
  <c r="J82" i="5"/>
  <c r="B6" i="4"/>
  <c r="F4" i="4"/>
  <c r="K212" i="5"/>
  <c r="L212" i="5" s="1"/>
  <c r="C101" i="5"/>
  <c r="M115" i="5" s="1"/>
  <c r="M140" i="5" s="1"/>
  <c r="D100" i="5"/>
  <c r="M114" i="5" s="1"/>
  <c r="M139" i="5" s="1"/>
  <c r="H198" i="5"/>
  <c r="H213" i="5" s="1"/>
  <c r="R38" i="5"/>
  <c r="E83" i="5" s="1"/>
  <c r="F198" i="5"/>
  <c r="F213" i="5" s="1"/>
  <c r="B198" i="5"/>
  <c r="B213" i="5" s="1"/>
  <c r="J198" i="5"/>
  <c r="J213" i="5" s="1"/>
  <c r="C198" i="5"/>
  <c r="C213" i="5" s="1"/>
  <c r="G198" i="5"/>
  <c r="G213" i="5" s="1"/>
  <c r="D198" i="5"/>
  <c r="D213" i="5" s="1"/>
  <c r="I198" i="5"/>
  <c r="I213" i="5" s="1"/>
  <c r="E198" i="5"/>
  <c r="E213" i="5" s="1"/>
  <c r="M51" i="5"/>
  <c r="L50" i="5"/>
  <c r="P49" i="2"/>
  <c r="J30" i="2"/>
  <c r="G21" i="15" l="1"/>
  <c r="H20" i="15"/>
  <c r="I20" i="15" s="1"/>
  <c r="G36" i="15"/>
  <c r="H35" i="15"/>
  <c r="I35" i="15" s="1"/>
  <c r="A7" i="4"/>
  <c r="C7" i="4" s="1"/>
  <c r="D6" i="4"/>
  <c r="E6" i="4" s="1"/>
  <c r="I83" i="5"/>
  <c r="C83" i="5"/>
  <c r="B83" i="5"/>
  <c r="L51" i="5"/>
  <c r="M52" i="5"/>
  <c r="J83" i="5"/>
  <c r="G83" i="5"/>
  <c r="G199" i="5"/>
  <c r="G214" i="5" s="1"/>
  <c r="E199" i="5"/>
  <c r="E214" i="5" s="1"/>
  <c r="R39" i="5"/>
  <c r="J199" i="5"/>
  <c r="J214" i="5" s="1"/>
  <c r="C199" i="5"/>
  <c r="C214" i="5" s="1"/>
  <c r="F199" i="5"/>
  <c r="F214" i="5" s="1"/>
  <c r="I199" i="5"/>
  <c r="I214" i="5" s="1"/>
  <c r="B199" i="5"/>
  <c r="B214" i="5" s="1"/>
  <c r="H199" i="5"/>
  <c r="H214" i="5" s="1"/>
  <c r="D199" i="5"/>
  <c r="D214" i="5" s="1"/>
  <c r="F83" i="5"/>
  <c r="D83" i="5"/>
  <c r="K213" i="5"/>
  <c r="L213" i="5" s="1"/>
  <c r="H83" i="5"/>
  <c r="P48" i="2"/>
  <c r="K30" i="2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G22" i="15" l="1"/>
  <c r="H21" i="15"/>
  <c r="I21" i="15" s="1"/>
  <c r="H36" i="15"/>
  <c r="I36" i="15" s="1"/>
  <c r="B7" i="4"/>
  <c r="F5" i="4"/>
  <c r="K214" i="5"/>
  <c r="L214" i="5" s="1"/>
  <c r="L52" i="5"/>
  <c r="M53" i="5"/>
  <c r="F200" i="5"/>
  <c r="F215" i="5" s="1"/>
  <c r="D200" i="5"/>
  <c r="D215" i="5" s="1"/>
  <c r="R40" i="5"/>
  <c r="H200" i="5"/>
  <c r="H215" i="5" s="1"/>
  <c r="E200" i="5"/>
  <c r="E215" i="5" s="1"/>
  <c r="G200" i="5"/>
  <c r="G215" i="5" s="1"/>
  <c r="I200" i="5"/>
  <c r="I215" i="5" s="1"/>
  <c r="B200" i="5"/>
  <c r="B215" i="5" s="1"/>
  <c r="J200" i="5"/>
  <c r="J215" i="5" s="1"/>
  <c r="C200" i="5"/>
  <c r="C215" i="5" s="1"/>
  <c r="H84" i="5"/>
  <c r="B84" i="5"/>
  <c r="E84" i="5"/>
  <c r="G84" i="5"/>
  <c r="I84" i="5"/>
  <c r="J84" i="5"/>
  <c r="D84" i="5"/>
  <c r="C84" i="5"/>
  <c r="F84" i="5"/>
  <c r="P47" i="2"/>
  <c r="M30" i="2"/>
  <c r="N30" i="2" s="1"/>
  <c r="Q30" i="2" s="1"/>
  <c r="B60" i="2" s="1"/>
  <c r="B75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G38" i="15" l="1"/>
  <c r="G23" i="15"/>
  <c r="H22" i="15"/>
  <c r="I22" i="15" s="1"/>
  <c r="H37" i="15"/>
  <c r="I37" i="15" s="1"/>
  <c r="D7" i="4"/>
  <c r="E7" i="4" s="1"/>
  <c r="A8" i="4"/>
  <c r="C8" i="4" s="1"/>
  <c r="E201" i="5"/>
  <c r="E216" i="5" s="1"/>
  <c r="C201" i="5"/>
  <c r="C216" i="5" s="1"/>
  <c r="J201" i="5"/>
  <c r="J216" i="5" s="1"/>
  <c r="I201" i="5"/>
  <c r="I216" i="5" s="1"/>
  <c r="D201" i="5"/>
  <c r="D216" i="5" s="1"/>
  <c r="G201" i="5"/>
  <c r="G216" i="5" s="1"/>
  <c r="F201" i="5"/>
  <c r="F216" i="5" s="1"/>
  <c r="H201" i="5"/>
  <c r="H216" i="5" s="1"/>
  <c r="B201" i="5"/>
  <c r="B216" i="5" s="1"/>
  <c r="I85" i="5"/>
  <c r="F85" i="5"/>
  <c r="H85" i="5"/>
  <c r="D85" i="5"/>
  <c r="C85" i="5"/>
  <c r="G85" i="5"/>
  <c r="E85" i="5"/>
  <c r="J85" i="5"/>
  <c r="B85" i="5"/>
  <c r="K215" i="5"/>
  <c r="L215" i="5" s="1"/>
  <c r="M54" i="5"/>
  <c r="L54" i="5" s="1"/>
  <c r="L53" i="5"/>
  <c r="P53" i="5" s="1"/>
  <c r="P46" i="2"/>
  <c r="C60" i="2"/>
  <c r="C75" i="2" s="1"/>
  <c r="E60" i="2"/>
  <c r="E75" i="2" s="1"/>
  <c r="D60" i="2"/>
  <c r="D75" i="2" s="1"/>
  <c r="F60" i="2"/>
  <c r="F75" i="2" s="1"/>
  <c r="I60" i="2"/>
  <c r="I75" i="2" s="1"/>
  <c r="G60" i="2"/>
  <c r="G75" i="2" s="1"/>
  <c r="H60" i="2"/>
  <c r="H75" i="2" s="1"/>
  <c r="J60" i="2"/>
  <c r="J75" i="2" s="1"/>
  <c r="I13" i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G13" i="1"/>
  <c r="R13" i="1" s="1"/>
  <c r="AL13" i="1" s="1"/>
  <c r="AQ307" i="1"/>
  <c r="A14" i="1"/>
  <c r="F14" i="1" s="1"/>
  <c r="Q14" i="1" s="1"/>
  <c r="AK14" i="1" s="1"/>
  <c r="C14" i="1"/>
  <c r="N14" i="1" s="1"/>
  <c r="AH14" i="1" s="1"/>
  <c r="G14" i="1"/>
  <c r="R14" i="1" s="1"/>
  <c r="AL14" i="1" s="1"/>
  <c r="K14" i="1"/>
  <c r="V14" i="1" s="1"/>
  <c r="AP14" i="1" s="1"/>
  <c r="H14" i="1"/>
  <c r="S14" i="1" s="1"/>
  <c r="AM14" i="1" s="1"/>
  <c r="E14" i="1"/>
  <c r="P14" i="1" s="1"/>
  <c r="AJ14" i="1" s="1"/>
  <c r="G39" i="15" l="1"/>
  <c r="G24" i="15"/>
  <c r="H23" i="15"/>
  <c r="I23" i="15" s="1"/>
  <c r="H38" i="15"/>
  <c r="I38" i="15" s="1"/>
  <c r="J14" i="1"/>
  <c r="U14" i="1" s="1"/>
  <c r="AO14" i="1" s="1"/>
  <c r="B8" i="4"/>
  <c r="F6" i="4"/>
  <c r="AQ13" i="1"/>
  <c r="C90" i="2"/>
  <c r="B104" i="2" s="1"/>
  <c r="B129" i="2" s="1"/>
  <c r="D99" i="5"/>
  <c r="L113" i="5" s="1"/>
  <c r="L138" i="5" s="1"/>
  <c r="P52" i="5"/>
  <c r="K216" i="5"/>
  <c r="L216" i="5" s="1"/>
  <c r="P45" i="2"/>
  <c r="P44" i="2" s="1"/>
  <c r="Q36" i="2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I14" i="1"/>
  <c r="T14" i="1" s="1"/>
  <c r="AN14" i="1" s="1"/>
  <c r="A15" i="1"/>
  <c r="G25" i="15" l="1"/>
  <c r="H24" i="15"/>
  <c r="I24" i="15" s="1"/>
  <c r="G40" i="15"/>
  <c r="H39" i="15"/>
  <c r="I39" i="15" s="1"/>
  <c r="AQ14" i="1"/>
  <c r="A9" i="4"/>
  <c r="C9" i="4" s="1"/>
  <c r="D8" i="4"/>
  <c r="E8" i="4" s="1"/>
  <c r="P51" i="5"/>
  <c r="D98" i="5"/>
  <c r="K112" i="5" s="1"/>
  <c r="K137" i="5" s="1"/>
  <c r="E63" i="2"/>
  <c r="E78" i="2" s="1"/>
  <c r="F63" i="2"/>
  <c r="F78" i="2" s="1"/>
  <c r="G63" i="2"/>
  <c r="G78" i="2" s="1"/>
  <c r="B63" i="2"/>
  <c r="B78" i="2" s="1"/>
  <c r="H63" i="2"/>
  <c r="H78" i="2" s="1"/>
  <c r="I63" i="2"/>
  <c r="I78" i="2" s="1"/>
  <c r="J63" i="2"/>
  <c r="J78" i="2" s="1"/>
  <c r="D92" i="2" s="1"/>
  <c r="E106" i="2" s="1"/>
  <c r="E131" i="2" s="1"/>
  <c r="C63" i="2"/>
  <c r="C78" i="2" s="1"/>
  <c r="D63" i="2"/>
  <c r="D78" i="2" s="1"/>
  <c r="B65" i="2"/>
  <c r="B80" i="2" s="1"/>
  <c r="C65" i="2"/>
  <c r="C80" i="2" s="1"/>
  <c r="E65" i="2"/>
  <c r="E80" i="2" s="1"/>
  <c r="G65" i="2"/>
  <c r="G80" i="2" s="1"/>
  <c r="F65" i="2"/>
  <c r="F80" i="2" s="1"/>
  <c r="H65" i="2"/>
  <c r="H80" i="2" s="1"/>
  <c r="I65" i="2"/>
  <c r="I80" i="2" s="1"/>
  <c r="J65" i="2"/>
  <c r="J80" i="2" s="1"/>
  <c r="D94" i="2" s="1"/>
  <c r="G108" i="2" s="1"/>
  <c r="G133" i="2" s="1"/>
  <c r="D65" i="2"/>
  <c r="D80" i="2" s="1"/>
  <c r="G69" i="2"/>
  <c r="G84" i="2" s="1"/>
  <c r="H69" i="2"/>
  <c r="H84" i="2" s="1"/>
  <c r="I69" i="2"/>
  <c r="I84" i="2" s="1"/>
  <c r="B69" i="2"/>
  <c r="B84" i="2" s="1"/>
  <c r="J69" i="2"/>
  <c r="J84" i="2" s="1"/>
  <c r="D98" i="2" s="1"/>
  <c r="K112" i="2" s="1"/>
  <c r="K137" i="2" s="1"/>
  <c r="C69" i="2"/>
  <c r="C84" i="2" s="1"/>
  <c r="D69" i="2"/>
  <c r="D84" i="2" s="1"/>
  <c r="E69" i="2"/>
  <c r="E84" i="2" s="1"/>
  <c r="F69" i="2"/>
  <c r="F84" i="2" s="1"/>
  <c r="E70" i="2"/>
  <c r="E85" i="2" s="1"/>
  <c r="F70" i="2"/>
  <c r="F85" i="2" s="1"/>
  <c r="G70" i="2"/>
  <c r="G85" i="2" s="1"/>
  <c r="H70" i="2"/>
  <c r="H85" i="2" s="1"/>
  <c r="C70" i="2"/>
  <c r="C85" i="2" s="1"/>
  <c r="I70" i="2"/>
  <c r="I85" i="2" s="1"/>
  <c r="J70" i="2"/>
  <c r="J85" i="2" s="1"/>
  <c r="D99" i="2" s="1"/>
  <c r="L113" i="2" s="1"/>
  <c r="L138" i="2" s="1"/>
  <c r="B70" i="2"/>
  <c r="B85" i="2" s="1"/>
  <c r="D70" i="2"/>
  <c r="D85" i="2" s="1"/>
  <c r="E71" i="2"/>
  <c r="E86" i="2" s="1"/>
  <c r="G71" i="2"/>
  <c r="G86" i="2" s="1"/>
  <c r="I71" i="2"/>
  <c r="I86" i="2" s="1"/>
  <c r="H71" i="2"/>
  <c r="H86" i="2" s="1"/>
  <c r="J71" i="2"/>
  <c r="J86" i="2" s="1"/>
  <c r="B71" i="2"/>
  <c r="B86" i="2" s="1"/>
  <c r="C71" i="2"/>
  <c r="C86" i="2" s="1"/>
  <c r="D71" i="2"/>
  <c r="D86" i="2" s="1"/>
  <c r="F71" i="2"/>
  <c r="F86" i="2" s="1"/>
  <c r="I66" i="2"/>
  <c r="I81" i="2" s="1"/>
  <c r="B66" i="2"/>
  <c r="B81" i="2" s="1"/>
  <c r="J66" i="2"/>
  <c r="J81" i="2" s="1"/>
  <c r="D95" i="2" s="1"/>
  <c r="H109" i="2" s="1"/>
  <c r="H134" i="2" s="1"/>
  <c r="C66" i="2"/>
  <c r="C81" i="2" s="1"/>
  <c r="D66" i="2"/>
  <c r="D81" i="2" s="1"/>
  <c r="G66" i="2"/>
  <c r="G81" i="2" s="1"/>
  <c r="E66" i="2"/>
  <c r="E81" i="2" s="1"/>
  <c r="F66" i="2"/>
  <c r="F81" i="2" s="1"/>
  <c r="H66" i="2"/>
  <c r="H81" i="2" s="1"/>
  <c r="G68" i="2"/>
  <c r="G83" i="2" s="1"/>
  <c r="H68" i="2"/>
  <c r="H83" i="2" s="1"/>
  <c r="B68" i="2"/>
  <c r="B83" i="2" s="1"/>
  <c r="J68" i="2"/>
  <c r="J83" i="2" s="1"/>
  <c r="D97" i="2" s="1"/>
  <c r="J111" i="2" s="1"/>
  <c r="J136" i="2" s="1"/>
  <c r="D68" i="2"/>
  <c r="D83" i="2" s="1"/>
  <c r="C68" i="2"/>
  <c r="C83" i="2" s="1"/>
  <c r="E68" i="2"/>
  <c r="E83" i="2" s="1"/>
  <c r="F68" i="2"/>
  <c r="F83" i="2" s="1"/>
  <c r="I68" i="2"/>
  <c r="I83" i="2" s="1"/>
  <c r="B67" i="2"/>
  <c r="B82" i="2" s="1"/>
  <c r="I67" i="2"/>
  <c r="I82" i="2" s="1"/>
  <c r="J67" i="2"/>
  <c r="J82" i="2" s="1"/>
  <c r="D96" i="2" s="1"/>
  <c r="I110" i="2" s="1"/>
  <c r="I135" i="2" s="1"/>
  <c r="C67" i="2"/>
  <c r="C82" i="2" s="1"/>
  <c r="D67" i="2"/>
  <c r="D82" i="2" s="1"/>
  <c r="E67" i="2"/>
  <c r="E82" i="2" s="1"/>
  <c r="F67" i="2"/>
  <c r="F82" i="2" s="1"/>
  <c r="G67" i="2"/>
  <c r="G82" i="2" s="1"/>
  <c r="H67" i="2"/>
  <c r="H82" i="2" s="1"/>
  <c r="D64" i="2"/>
  <c r="D79" i="2" s="1"/>
  <c r="E64" i="2"/>
  <c r="E79" i="2" s="1"/>
  <c r="F64" i="2"/>
  <c r="F79" i="2" s="1"/>
  <c r="G64" i="2"/>
  <c r="G79" i="2" s="1"/>
  <c r="H64" i="2"/>
  <c r="H79" i="2" s="1"/>
  <c r="I64" i="2"/>
  <c r="I79" i="2" s="1"/>
  <c r="B64" i="2"/>
  <c r="B79" i="2" s="1"/>
  <c r="J64" i="2"/>
  <c r="J79" i="2" s="1"/>
  <c r="D93" i="2" s="1"/>
  <c r="F107" i="2" s="1"/>
  <c r="F132" i="2" s="1"/>
  <c r="C64" i="2"/>
  <c r="C79" i="2" s="1"/>
  <c r="E62" i="2"/>
  <c r="E77" i="2" s="1"/>
  <c r="F62" i="2"/>
  <c r="F77" i="2" s="1"/>
  <c r="G62" i="2"/>
  <c r="G77" i="2" s="1"/>
  <c r="H62" i="2"/>
  <c r="H77" i="2" s="1"/>
  <c r="B62" i="2"/>
  <c r="B77" i="2" s="1"/>
  <c r="I62" i="2"/>
  <c r="I77" i="2" s="1"/>
  <c r="J62" i="2"/>
  <c r="J77" i="2" s="1"/>
  <c r="D91" i="2" s="1"/>
  <c r="C62" i="2"/>
  <c r="C77" i="2" s="1"/>
  <c r="D62" i="2"/>
  <c r="D77" i="2" s="1"/>
  <c r="G61" i="2"/>
  <c r="G76" i="2" s="1"/>
  <c r="H61" i="2"/>
  <c r="H76" i="2" s="1"/>
  <c r="I61" i="2"/>
  <c r="I76" i="2" s="1"/>
  <c r="B61" i="2"/>
  <c r="B76" i="2" s="1"/>
  <c r="J61" i="2"/>
  <c r="J76" i="2" s="1"/>
  <c r="C61" i="2"/>
  <c r="C76" i="2" s="1"/>
  <c r="D61" i="2"/>
  <c r="D76" i="2" s="1"/>
  <c r="E61" i="2"/>
  <c r="E76" i="2" s="1"/>
  <c r="F61" i="2"/>
  <c r="F76" i="2" s="1"/>
  <c r="G15" i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H25" i="15" l="1"/>
  <c r="I25" i="15" s="1"/>
  <c r="G41" i="15"/>
  <c r="G26" i="15"/>
  <c r="H40" i="15"/>
  <c r="I40" i="15" s="1"/>
  <c r="D105" i="2"/>
  <c r="D130" i="2" s="1"/>
  <c r="F7" i="4"/>
  <c r="B9" i="4"/>
  <c r="D97" i="5"/>
  <c r="J111" i="5" s="1"/>
  <c r="J136" i="5" s="1"/>
  <c r="P50" i="5"/>
  <c r="D100" i="2"/>
  <c r="C101" i="2"/>
  <c r="M115" i="2" s="1"/>
  <c r="M140" i="2" s="1"/>
  <c r="D90" i="2"/>
  <c r="Q44" i="2"/>
  <c r="C91" i="2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G42" i="15" l="1"/>
  <c r="G27" i="15"/>
  <c r="H26" i="15"/>
  <c r="I26" i="15" s="1"/>
  <c r="H41" i="15"/>
  <c r="I41" i="15" s="1"/>
  <c r="M114" i="2"/>
  <c r="M139" i="2" s="1"/>
  <c r="C104" i="2"/>
  <c r="C129" i="2" s="1"/>
  <c r="D9" i="4"/>
  <c r="E9" i="4" s="1"/>
  <c r="A10" i="4"/>
  <c r="C10" i="4" s="1"/>
  <c r="D96" i="5"/>
  <c r="I110" i="5" s="1"/>
  <c r="I135" i="5" s="1"/>
  <c r="P49" i="5"/>
  <c r="C105" i="2"/>
  <c r="C130" i="2" s="1"/>
  <c r="B92" i="2"/>
  <c r="C106" i="2" s="1"/>
  <c r="C131" i="2" s="1"/>
  <c r="Q45" i="2"/>
  <c r="C92" i="2" s="1"/>
  <c r="J17" i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G43" i="15" l="1"/>
  <c r="G28" i="15"/>
  <c r="H27" i="15"/>
  <c r="I27" i="15" s="1"/>
  <c r="H42" i="15"/>
  <c r="I42" i="15" s="1"/>
  <c r="F8" i="4"/>
  <c r="B10" i="4"/>
  <c r="D95" i="5"/>
  <c r="H109" i="5" s="1"/>
  <c r="H134" i="5" s="1"/>
  <c r="P48" i="5"/>
  <c r="D106" i="2"/>
  <c r="D131" i="2" s="1"/>
  <c r="B93" i="2"/>
  <c r="D107" i="2" s="1"/>
  <c r="D132" i="2" s="1"/>
  <c r="Q46" i="2"/>
  <c r="C93" i="2" s="1"/>
  <c r="AQ17" i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G29" i="15" l="1"/>
  <c r="I29" i="15" s="1"/>
  <c r="H28" i="15"/>
  <c r="I28" i="15" s="1"/>
  <c r="G44" i="15"/>
  <c r="I44" i="15" s="1"/>
  <c r="H43" i="15"/>
  <c r="I43" i="15" s="1"/>
  <c r="AQ18" i="1"/>
  <c r="A11" i="4"/>
  <c r="C11" i="4" s="1"/>
  <c r="D10" i="4"/>
  <c r="E10" i="4" s="1"/>
  <c r="P47" i="5"/>
  <c r="D94" i="5"/>
  <c r="G108" i="5" s="1"/>
  <c r="G133" i="5" s="1"/>
  <c r="E107" i="2"/>
  <c r="E132" i="2" s="1"/>
  <c r="B94" i="2"/>
  <c r="E108" i="2" s="1"/>
  <c r="E133" i="2" s="1"/>
  <c r="Q47" i="2"/>
  <c r="C94" i="2" s="1"/>
  <c r="F108" i="2" s="1"/>
  <c r="H19" i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I45" i="15" l="1"/>
  <c r="F9" i="4"/>
  <c r="B11" i="4"/>
  <c r="D93" i="5"/>
  <c r="F107" i="5" s="1"/>
  <c r="F132" i="5" s="1"/>
  <c r="P46" i="5"/>
  <c r="F133" i="2"/>
  <c r="Q48" i="2"/>
  <c r="C95" i="2" s="1"/>
  <c r="B95" i="2"/>
  <c r="F109" i="2" s="1"/>
  <c r="F134" i="2" s="1"/>
  <c r="AQ19" i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D11" i="4" l="1"/>
  <c r="E11" i="4" s="1"/>
  <c r="A12" i="4"/>
  <c r="C12" i="4" s="1"/>
  <c r="D92" i="5"/>
  <c r="E106" i="5" s="1"/>
  <c r="E131" i="5" s="1"/>
  <c r="P45" i="5"/>
  <c r="G109" i="2"/>
  <c r="G134" i="2" s="1"/>
  <c r="Q49" i="2"/>
  <c r="C96" i="2" s="1"/>
  <c r="H110" i="2" s="1"/>
  <c r="B96" i="2"/>
  <c r="G110" i="2" s="1"/>
  <c r="G135" i="2" s="1"/>
  <c r="H21" i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F10" i="4" l="1"/>
  <c r="B12" i="4"/>
  <c r="D91" i="5"/>
  <c r="D105" i="5" s="1"/>
  <c r="D130" i="5" s="1"/>
  <c r="P44" i="5"/>
  <c r="D90" i="5" s="1"/>
  <c r="C104" i="5" s="1"/>
  <c r="C129" i="5" s="1"/>
  <c r="H135" i="2"/>
  <c r="Q50" i="2"/>
  <c r="C97" i="2" s="1"/>
  <c r="B97" i="2"/>
  <c r="H111" i="2" s="1"/>
  <c r="H136" i="2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F22" i="1"/>
  <c r="Q22" i="1" s="1"/>
  <c r="AK22" i="1" s="1"/>
  <c r="D22" i="1"/>
  <c r="O22" i="1" s="1"/>
  <c r="AI22" i="1" s="1"/>
  <c r="AQ21" i="1"/>
  <c r="AQ22" i="1" l="1"/>
  <c r="Q44" i="5"/>
  <c r="C91" i="5" s="1"/>
  <c r="C105" i="5" s="1"/>
  <c r="C130" i="5" s="1"/>
  <c r="D12" i="4"/>
  <c r="E12" i="4" s="1"/>
  <c r="F11" i="4" s="1"/>
  <c r="Q45" i="5"/>
  <c r="I111" i="2"/>
  <c r="I136" i="2" s="1"/>
  <c r="Q51" i="2"/>
  <c r="C98" i="2" s="1"/>
  <c r="B98" i="2"/>
  <c r="I112" i="2" s="1"/>
  <c r="I137" i="2" s="1"/>
  <c r="D23" i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AQ23" i="1" s="1"/>
  <c r="F23" i="1"/>
  <c r="Q23" i="1" s="1"/>
  <c r="AK23" i="1" s="1"/>
  <c r="J23" i="1"/>
  <c r="U23" i="1" s="1"/>
  <c r="AO23" i="1" s="1"/>
  <c r="B92" i="5" l="1"/>
  <c r="C106" i="5" s="1"/>
  <c r="C131" i="5" s="1"/>
  <c r="B93" i="5"/>
  <c r="D107" i="5" s="1"/>
  <c r="D132" i="5" s="1"/>
  <c r="C92" i="5"/>
  <c r="D106" i="5" s="1"/>
  <c r="D131" i="5" s="1"/>
  <c r="Q46" i="5"/>
  <c r="J112" i="2"/>
  <c r="J137" i="2" s="1"/>
  <c r="Q52" i="2"/>
  <c r="C99" i="2" s="1"/>
  <c r="B99" i="2"/>
  <c r="J113" i="2" s="1"/>
  <c r="J138" i="2" s="1"/>
  <c r="I24" i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C93" i="5" l="1"/>
  <c r="E107" i="5" s="1"/>
  <c r="E132" i="5" s="1"/>
  <c r="B94" i="5"/>
  <c r="E108" i="5" s="1"/>
  <c r="E133" i="5" s="1"/>
  <c r="Q47" i="5"/>
  <c r="K113" i="2"/>
  <c r="K138" i="2" s="1"/>
  <c r="B100" i="2"/>
  <c r="K114" i="2" s="1"/>
  <c r="K139" i="2" s="1"/>
  <c r="Q53" i="2"/>
  <c r="C100" i="2" s="1"/>
  <c r="AQ24" i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K25" i="1"/>
  <c r="V25" i="1" s="1"/>
  <c r="AP25" i="1" s="1"/>
  <c r="A26" i="1"/>
  <c r="E25" i="1"/>
  <c r="P25" i="1" s="1"/>
  <c r="AJ25" i="1" s="1"/>
  <c r="D25" i="1"/>
  <c r="O25" i="1" s="1"/>
  <c r="AI25" i="1" s="1"/>
  <c r="AQ25" i="1" l="1"/>
  <c r="B95" i="5"/>
  <c r="F109" i="5" s="1"/>
  <c r="F134" i="5" s="1"/>
  <c r="C94" i="5"/>
  <c r="F108" i="5" s="1"/>
  <c r="F133" i="5" s="1"/>
  <c r="Q48" i="5"/>
  <c r="L114" i="2"/>
  <c r="L139" i="2" s="1"/>
  <c r="B101" i="2"/>
  <c r="K26" i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L115" i="2" l="1"/>
  <c r="L140" i="2" s="1"/>
  <c r="C95" i="5"/>
  <c r="G109" i="5" s="1"/>
  <c r="G134" i="5" s="1"/>
  <c r="B96" i="5"/>
  <c r="G110" i="5" s="1"/>
  <c r="G135" i="5" s="1"/>
  <c r="Q49" i="5"/>
  <c r="AQ26" i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28" i="1"/>
  <c r="J27" i="1"/>
  <c r="U27" i="1" s="1"/>
  <c r="AO27" i="1" s="1"/>
  <c r="F27" i="1"/>
  <c r="Q27" i="1" s="1"/>
  <c r="AK27" i="1" s="1"/>
  <c r="AQ27" i="1" l="1"/>
  <c r="B97" i="5"/>
  <c r="H111" i="5" s="1"/>
  <c r="H136" i="5" s="1"/>
  <c r="C96" i="5"/>
  <c r="H110" i="5" s="1"/>
  <c r="H135" i="5" s="1"/>
  <c r="Q50" i="5"/>
  <c r="J28" i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C97" i="5" l="1"/>
  <c r="I111" i="5" s="1"/>
  <c r="I136" i="5" s="1"/>
  <c r="B98" i="5"/>
  <c r="I112" i="5" s="1"/>
  <c r="I137" i="5" s="1"/>
  <c r="Q51" i="5"/>
  <c r="D29" i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B99" i="5" l="1"/>
  <c r="J113" i="5" s="1"/>
  <c r="J138" i="5" s="1"/>
  <c r="C98" i="5"/>
  <c r="J112" i="5" s="1"/>
  <c r="J137" i="5" s="1"/>
  <c r="Q52" i="5"/>
  <c r="K30" i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C99" i="5" l="1"/>
  <c r="K113" i="5" s="1"/>
  <c r="K138" i="5" s="1"/>
  <c r="B100" i="5"/>
  <c r="K114" i="5" s="1"/>
  <c r="K139" i="5" s="1"/>
  <c r="Q53" i="5"/>
  <c r="D31" i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B101" i="5" l="1"/>
  <c r="L115" i="5" s="1"/>
  <c r="L140" i="5" s="1"/>
  <c r="C100" i="5"/>
  <c r="L114" i="5" s="1"/>
  <c r="L139" i="5" s="1"/>
  <c r="I32" i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F41" i="1"/>
  <c r="Q41" i="1" s="1"/>
  <c r="AK41" i="1" s="1"/>
  <c r="G41" i="1"/>
  <c r="R41" i="1" s="1"/>
  <c r="AL41" i="1" s="1"/>
  <c r="AQ40" i="1"/>
  <c r="AQ41" i="1" l="1"/>
  <c r="G42" i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I45" i="1"/>
  <c r="T45" i="1" s="1"/>
  <c r="AN45" i="1" s="1"/>
  <c r="G45" i="1"/>
  <c r="R45" i="1" s="1"/>
  <c r="AL45" i="1" s="1"/>
  <c r="AQ44" i="1"/>
  <c r="AQ45" i="1" l="1"/>
  <c r="G46" i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J46" i="1"/>
  <c r="U46" i="1" s="1"/>
  <c r="AO46" i="1" s="1"/>
  <c r="AQ46" i="1" l="1"/>
  <c r="J47" i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K48" i="1"/>
  <c r="V48" i="1" s="1"/>
  <c r="AP48" i="1" s="1"/>
  <c r="H48" i="1"/>
  <c r="S48" i="1" s="1"/>
  <c r="AM48" i="1" s="1"/>
  <c r="I48" i="1"/>
  <c r="T48" i="1" s="1"/>
  <c r="AN48" i="1" s="1"/>
  <c r="AQ48" i="1" l="1"/>
  <c r="H49" i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AQ53" i="1" l="1"/>
  <c r="G54" i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AQ59" i="1" l="1"/>
  <c r="I60" i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AQ62" i="1" l="1"/>
  <c r="D63" i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K70" i="1"/>
  <c r="V70" i="1" s="1"/>
  <c r="AP70" i="1" s="1"/>
  <c r="AQ70" i="1" l="1"/>
  <c r="H71" i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AQ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G78" i="1" l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AQ81" i="1" l="1"/>
  <c r="G82" i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AQ93" i="1" l="1"/>
  <c r="K94" i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AQ101" i="1" l="1"/>
  <c r="G102" i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s="1"/>
  <c r="D103" i="1" l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G105" i="1"/>
  <c r="R105" i="1" s="1"/>
  <c r="AL105" i="1" s="1"/>
  <c r="D105" i="1"/>
  <c r="O105" i="1" s="1"/>
  <c r="AI105" i="1" s="1"/>
  <c r="AQ104" i="1"/>
  <c r="AQ105" i="1" l="1"/>
  <c r="G106" i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AQ107" i="1" l="1"/>
  <c r="C108" i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AQ109" i="1" l="1"/>
  <c r="E110" i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D114" i="1"/>
  <c r="O114" i="1" s="1"/>
  <c r="AI114" i="1" s="1"/>
  <c r="J114" i="1"/>
  <c r="U114" i="1" s="1"/>
  <c r="AO114" i="1" s="1"/>
  <c r="AQ113" i="1"/>
  <c r="AQ114" i="1" l="1"/>
  <c r="J115" i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AQ117" i="1" l="1"/>
  <c r="K118" i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s="1"/>
  <c r="J119" i="1" l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I119" i="1"/>
  <c r="T119" i="1" s="1"/>
  <c r="AN119" i="1" s="1"/>
  <c r="F119" i="1"/>
  <c r="Q119" i="1" s="1"/>
  <c r="AK119" i="1" s="1"/>
  <c r="AQ119" i="1" l="1"/>
  <c r="C120" i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Q132" i="1" s="1"/>
  <c r="A133" i="1"/>
  <c r="E132" i="1"/>
  <c r="P132" i="1" s="1"/>
  <c r="AJ132" i="1" s="1"/>
  <c r="AQ131" i="1"/>
  <c r="J133" i="1" l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39" i="1"/>
  <c r="AQ140" i="1" l="1"/>
  <c r="J141" i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AQ142" i="1" l="1"/>
  <c r="C143" i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AQ146" i="1" l="1"/>
  <c r="C147" i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AQ150" i="1" s="1"/>
  <c r="J150" i="1"/>
  <c r="U150" i="1" s="1"/>
  <c r="AO150" i="1" s="1"/>
  <c r="K150" i="1"/>
  <c r="V150" i="1" s="1"/>
  <c r="AP150" i="1" s="1"/>
  <c r="G150" i="1"/>
  <c r="R150" i="1" s="1"/>
  <c r="AL150" i="1" s="1"/>
  <c r="H151" i="1" l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AQ166" i="1" l="1"/>
  <c r="H167" i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K170" i="1"/>
  <c r="V170" i="1" s="1"/>
  <c r="AP170" i="1" s="1"/>
  <c r="G170" i="1"/>
  <c r="R170" i="1" s="1"/>
  <c r="AL170" i="1" s="1"/>
  <c r="AQ169" i="1"/>
  <c r="AQ170" i="1" l="1"/>
  <c r="I171" i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J171" i="1"/>
  <c r="U171" i="1" s="1"/>
  <c r="AO171" i="1" s="1"/>
  <c r="K171" i="1"/>
  <c r="V171" i="1" s="1"/>
  <c r="AP171" i="1" s="1"/>
  <c r="AQ171" i="1" l="1"/>
  <c r="K172" i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AQ174" i="1" l="1"/>
  <c r="K175" i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AQ183" i="1" s="1"/>
  <c r="F183" i="1"/>
  <c r="Q183" i="1" s="1"/>
  <c r="AK183" i="1" s="1"/>
  <c r="K183" i="1"/>
  <c r="V183" i="1" s="1"/>
  <c r="AP183" i="1" s="1"/>
  <c r="AQ182" i="1"/>
  <c r="H184" i="1" l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AQ190" i="1" l="1"/>
  <c r="I191" i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I197" i="1"/>
  <c r="T197" i="1" s="1"/>
  <c r="AN197" i="1" s="1"/>
  <c r="K197" i="1"/>
  <c r="V197" i="1" s="1"/>
  <c r="AP197" i="1" s="1"/>
  <c r="AQ197" i="1" l="1"/>
  <c r="E198" i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D202" i="1"/>
  <c r="O202" i="1" s="1"/>
  <c r="AI202" i="1" s="1"/>
  <c r="K202" i="1"/>
  <c r="V202" i="1" s="1"/>
  <c r="AP202" i="1" s="1"/>
  <c r="AQ201" i="1"/>
  <c r="AQ202" i="1" l="1"/>
  <c r="I203" i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G214" i="1"/>
  <c r="R214" i="1" s="1"/>
  <c r="AL214" i="1" s="1"/>
  <c r="D214" i="1"/>
  <c r="O214" i="1" s="1"/>
  <c r="AI214" i="1" s="1"/>
  <c r="AQ213" i="1"/>
  <c r="AQ214" i="1" l="1"/>
  <c r="D215" i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AQ222" i="1" l="1"/>
  <c r="I223" i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K223" i="1"/>
  <c r="V223" i="1" s="1"/>
  <c r="AP223" i="1" s="1"/>
  <c r="AQ223" i="1" l="1"/>
  <c r="C224" i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AQ226" i="1" l="1"/>
  <c r="D227" i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AQ228" i="1" l="1"/>
  <c r="J229" i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AQ230" i="1" l="1"/>
  <c r="I231" i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AQ232" i="1" s="1"/>
  <c r="G232" i="1"/>
  <c r="R232" i="1" s="1"/>
  <c r="AL232" i="1" s="1"/>
  <c r="J232" i="1"/>
  <c r="U232" i="1" s="1"/>
  <c r="AO232" i="1" s="1"/>
  <c r="D232" i="1"/>
  <c r="O232" i="1" s="1"/>
  <c r="AI232" i="1" s="1"/>
  <c r="K233" i="1" l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AQ233" i="1" s="1"/>
  <c r="G233" i="1"/>
  <c r="R233" i="1" s="1"/>
  <c r="AL233" i="1" s="1"/>
  <c r="J233" i="1"/>
  <c r="U233" i="1" s="1"/>
  <c r="AO233" i="1" s="1"/>
  <c r="E234" i="1" l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AQ236" i="1" l="1"/>
  <c r="K237" i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AQ239" i="1" l="1"/>
  <c r="C240" i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AQ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I243" i="1" l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G243" i="1"/>
  <c r="R243" i="1" s="1"/>
  <c r="AL243" i="1" s="1"/>
  <c r="K243" i="1"/>
  <c r="V243" i="1" s="1"/>
  <c r="AP243" i="1" s="1"/>
  <c r="AQ243" i="1" l="1"/>
  <c r="G244" i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F251" i="1"/>
  <c r="Q251" i="1" s="1"/>
  <c r="AK251" i="1" s="1"/>
  <c r="C251" i="1"/>
  <c r="N251" i="1" s="1"/>
  <c r="AH251" i="1" s="1"/>
  <c r="J251" i="1"/>
  <c r="U251" i="1" s="1"/>
  <c r="AO251" i="1" s="1"/>
  <c r="AQ251" i="1" l="1"/>
  <c r="G252" i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AQ255" i="1" s="1"/>
  <c r="G255" i="1"/>
  <c r="R255" i="1" s="1"/>
  <c r="AL255" i="1" s="1"/>
  <c r="K255" i="1"/>
  <c r="V255" i="1" s="1"/>
  <c r="AP255" i="1" s="1"/>
  <c r="I255" i="1"/>
  <c r="T255" i="1" s="1"/>
  <c r="AN255" i="1" s="1"/>
  <c r="C256" i="1" l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AQ257" i="1" l="1"/>
  <c r="J258" i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AQ270" i="1" l="1"/>
  <c r="D271" i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AQ273" i="1" l="1"/>
  <c r="E274" i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F280" i="1"/>
  <c r="Q280" i="1" s="1"/>
  <c r="AK280" i="1" s="1"/>
  <c r="AQ280" i="1" l="1"/>
  <c r="F281" i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AQ285" i="1" l="1"/>
  <c r="I286" i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G291" i="1"/>
  <c r="R291" i="1" s="1"/>
  <c r="AL291" i="1" s="1"/>
  <c r="E291" i="1"/>
  <c r="P291" i="1" s="1"/>
  <c r="AJ291" i="1" s="1"/>
  <c r="AQ291" i="1" l="1"/>
  <c r="G292" i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AQ296" i="1" l="1"/>
  <c r="J297" i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AQ298" i="1" s="1"/>
  <c r="H298" i="1"/>
  <c r="S298" i="1" s="1"/>
  <c r="AM298" i="1" s="1"/>
  <c r="F298" i="1"/>
  <c r="Q298" i="1" s="1"/>
  <c r="AK298" i="1" s="1"/>
  <c r="AQ297" i="1"/>
  <c r="H299" i="1" l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AQ305" i="1" l="1"/>
  <c r="C306" i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  <c r="O11" i="12" l="1"/>
  <c r="O10" i="12" l="1"/>
  <c r="O9" i="12" l="1"/>
  <c r="O8" i="12" l="1"/>
  <c r="O7" i="12" l="1"/>
  <c r="O6" i="12" l="1"/>
  <c r="O5" i="12" l="1"/>
  <c r="O4" i="12" l="1"/>
  <c r="G34" i="12" l="1"/>
  <c r="G19" i="12"/>
  <c r="O3" i="12"/>
  <c r="G35" i="12" l="1"/>
  <c r="G33" i="12"/>
  <c r="I33" i="12" s="1"/>
  <c r="G18" i="12"/>
  <c r="I18" i="12" s="1"/>
  <c r="H34" i="12" l="1"/>
  <c r="I34" i="12" s="1"/>
  <c r="G20" i="12"/>
  <c r="H35" i="12"/>
  <c r="H19" i="12"/>
  <c r="I19" i="12" s="1"/>
  <c r="H36" i="12" l="1"/>
  <c r="G36" i="12"/>
  <c r="I35" i="12"/>
  <c r="H20" i="12"/>
  <c r="I20" i="12" s="1"/>
  <c r="G21" i="12"/>
  <c r="H37" i="12" l="1"/>
  <c r="G37" i="12"/>
  <c r="I36" i="12"/>
  <c r="H21" i="12"/>
  <c r="I21" i="12" s="1"/>
  <c r="G22" i="12"/>
  <c r="G38" i="12" l="1"/>
  <c r="I37" i="12"/>
  <c r="G23" i="12"/>
  <c r="H22" i="12"/>
  <c r="I22" i="12" s="1"/>
  <c r="H38" i="12"/>
  <c r="G39" i="12" l="1"/>
  <c r="I38" i="12"/>
  <c r="G24" i="12"/>
  <c r="H23" i="12"/>
  <c r="I23" i="12" s="1"/>
  <c r="H39" i="12"/>
  <c r="G40" i="12" l="1"/>
  <c r="I39" i="12"/>
  <c r="G25" i="12"/>
  <c r="H24" i="12"/>
  <c r="I24" i="12" s="1"/>
  <c r="H40" i="12"/>
  <c r="H41" i="12" l="1"/>
  <c r="G41" i="12"/>
  <c r="I40" i="12"/>
  <c r="H25" i="12"/>
  <c r="I25" i="12" s="1"/>
  <c r="G26" i="12"/>
  <c r="G42" i="12" l="1"/>
  <c r="I41" i="12"/>
  <c r="H26" i="12"/>
  <c r="I26" i="12" s="1"/>
  <c r="G27" i="12"/>
  <c r="H42" i="12"/>
  <c r="H43" i="12" l="1"/>
  <c r="G43" i="12"/>
  <c r="I42" i="12"/>
  <c r="H27" i="12"/>
  <c r="I27" i="12" s="1"/>
  <c r="G28" i="12"/>
  <c r="G29" i="12" l="1"/>
  <c r="I29" i="12" s="1"/>
  <c r="G44" i="12"/>
  <c r="I44" i="12" s="1"/>
  <c r="I43" i="12"/>
  <c r="H28" i="12"/>
  <c r="I28" i="12" s="1"/>
  <c r="I45" i="12" l="1"/>
</calcChain>
</file>

<file path=xl/sharedStrings.xml><?xml version="1.0" encoding="utf-8"?>
<sst xmlns="http://schemas.openxmlformats.org/spreadsheetml/2006/main" count="1307" uniqueCount="203">
  <si>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</si>
  <si>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</si>
  <si>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</si>
  <si>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</si>
  <si>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</si>
  <si>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</si>
  <si>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</si>
  <si>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</si>
  <si>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</si>
  <si>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</si>
  <si>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</si>
  <si>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</si>
  <si>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</si>
  <si>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</si>
  <si>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</si>
  <si>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</si>
  <si>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</si>
  <si>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</si>
  <si>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</si>
  <si>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</si>
  <si>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</si>
  <si>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</si>
  <si>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</si>
  <si>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</si>
  <si>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</si>
  <si>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</si>
  <si>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</si>
  <si>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</si>
  <si>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</si>
  <si>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</si>
  <si>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</si>
  <si>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</si>
  <si>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</si>
  <si>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</si>
  <si>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</si>
  <si>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</si>
  <si>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</si>
  <si>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</si>
  <si>
    <t>Tray #</t>
  </si>
  <si>
    <t>F</t>
  </si>
  <si>
    <t>U</t>
  </si>
  <si>
    <t>W</t>
  </si>
  <si>
    <t>L0</t>
  </si>
  <si>
    <t>L</t>
  </si>
  <si>
    <t>V</t>
  </si>
  <si>
    <t>WD</t>
  </si>
  <si>
    <t>LD</t>
  </si>
  <si>
    <t>WB</t>
  </si>
  <si>
    <t>LB</t>
  </si>
  <si>
    <t>RD</t>
  </si>
  <si>
    <t>RB</t>
  </si>
  <si>
    <t>dj</t>
  </si>
  <si>
    <t>L(0)</t>
  </si>
  <si>
    <t>V(0)</t>
  </si>
  <si>
    <t>qj</t>
  </si>
  <si>
    <t>j</t>
  </si>
  <si>
    <t>lj</t>
  </si>
  <si>
    <t>Ps</t>
  </si>
  <si>
    <t>Kij</t>
  </si>
  <si>
    <t>aj</t>
  </si>
  <si>
    <t>uj</t>
  </si>
  <si>
    <t>C1</t>
  </si>
  <si>
    <t>bj</t>
  </si>
  <si>
    <t>Matrix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</si>
  <si>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</si>
  <si>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</si>
  <si>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</si>
  <si>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</si>
  <si>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</si>
  <si>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</si>
  <si>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</si>
  <si>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</si>
  <si>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</si>
  <si>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</si>
  <si>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</si>
  <si>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</si>
  <si>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,</t>
  </si>
  <si>
    <t>(</t>
  </si>
  <si>
    <t>)</t>
  </si>
  <si>
    <t>xij</t>
  </si>
  <si>
    <t>Norm</t>
  </si>
  <si>
    <t>abs</t>
  </si>
  <si>
    <t>xij * Kij</t>
  </si>
  <si>
    <t>rTj</t>
  </si>
  <si>
    <t>Calculation</t>
  </si>
  <si>
    <t>x0</t>
  </si>
  <si>
    <t>f(x0)</t>
  </si>
  <si>
    <t>f(x1)</t>
  </si>
  <si>
    <t>x</t>
  </si>
  <si>
    <t>delta</t>
  </si>
  <si>
    <t>Tsat</t>
  </si>
  <si>
    <t>yij</t>
  </si>
  <si>
    <t>Y = a + bx + cx^2 + dx^3 + ex^4 + fx^5</t>
  </si>
  <si>
    <t>a</t>
  </si>
  <si>
    <t>b</t>
  </si>
  <si>
    <t>c</t>
  </si>
  <si>
    <t>d</t>
  </si>
  <si>
    <t>e</t>
  </si>
  <si>
    <t>f</t>
  </si>
  <si>
    <t>kJ / kg</t>
  </si>
  <si>
    <t>dH, kJ/kg</t>
  </si>
  <si>
    <t>T, K</t>
  </si>
  <si>
    <t>Ср, кал / (моль К)</t>
  </si>
  <si>
    <t>=</t>
  </si>
  <si>
    <t>A + B * T + C * T^2 + D * T^3</t>
  </si>
  <si>
    <t>A</t>
  </si>
  <si>
    <t>B</t>
  </si>
  <si>
    <t>C</t>
  </si>
  <si>
    <t>D</t>
  </si>
  <si>
    <t>Cp</t>
  </si>
  <si>
    <t>Constants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</si>
  <si>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</si>
  <si>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</si>
  <si>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</si>
  <si>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</si>
  <si>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</si>
  <si>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</si>
  <si>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</si>
  <si>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</si>
  <si>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</si>
  <si>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</si>
  <si>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</si>
  <si>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</si>
  <si>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</si>
  <si>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Коэффициент ассоциации (k)</t>
  </si>
  <si>
    <t>Радиус вращения, А</t>
  </si>
  <si>
    <t>Т, К</t>
  </si>
  <si>
    <t>Tr</t>
  </si>
  <si>
    <t>Csl, cal/(mole K)</t>
  </si>
  <si>
    <t>Энтальпия парообразования, кал / моль</t>
  </si>
  <si>
    <t>R</t>
  </si>
  <si>
    <t>кал / (моль К)</t>
  </si>
  <si>
    <t>CritT, °C</t>
  </si>
  <si>
    <t>Crit P, kPa</t>
  </si>
  <si>
    <t>Tbp, °C</t>
  </si>
  <si>
    <t>Метод Чена</t>
  </si>
  <si>
    <r>
      <t>ΔH</t>
    </r>
    <r>
      <rPr>
        <sz val="11"/>
        <color theme="1"/>
        <rFont val="Calibri"/>
        <family val="2"/>
      </rPr>
      <t>vap, cal / mole</t>
    </r>
  </si>
  <si>
    <t>Метод Риделя</t>
  </si>
  <si>
    <t>);</t>
  </si>
  <si>
    <t>dHf_298, kJ / kmole</t>
  </si>
  <si>
    <t>Mr, g / mole</t>
  </si>
  <si>
    <t>Интеграл</t>
  </si>
  <si>
    <t>Ideal Gas Cp</t>
  </si>
  <si>
    <t>Tdp</t>
  </si>
  <si>
    <t>Liquid Cp</t>
  </si>
  <si>
    <t>T1, K</t>
  </si>
  <si>
    <t>T2, K</t>
  </si>
  <si>
    <t>a4</t>
  </si>
  <si>
    <t>CompIntIdGasCp</t>
  </si>
  <si>
    <t>CompItnLiqCp</t>
  </si>
  <si>
    <t>dHvap</t>
  </si>
  <si>
    <t>CompH_v</t>
  </si>
  <si>
    <t>Mr</t>
  </si>
  <si>
    <t>H_v[j]</t>
  </si>
  <si>
    <t>H_l[j]</t>
  </si>
  <si>
    <t>Uj</t>
  </si>
  <si>
    <t>Wj</t>
  </si>
  <si>
    <t>Tray No</t>
  </si>
  <si>
    <t>Lj0</t>
  </si>
  <si>
    <t>Vj0</t>
  </si>
  <si>
    <t>Rj</t>
  </si>
  <si>
    <t>Баланс</t>
  </si>
  <si>
    <t>Приход</t>
  </si>
  <si>
    <t>Расход</t>
  </si>
  <si>
    <t>Невязка</t>
  </si>
  <si>
    <t>rB</t>
  </si>
  <si>
    <t>rD</t>
  </si>
  <si>
    <t>Stage</t>
  </si>
  <si>
    <t>Liquid</t>
  </si>
  <si>
    <t>Vapor</t>
  </si>
  <si>
    <t>UniSim</t>
  </si>
  <si>
    <t>sB</t>
  </si>
  <si>
    <t>sD</t>
  </si>
  <si>
    <t>Tboil vs. Pressure</t>
  </si>
  <si>
    <t>Tbp, K</t>
  </si>
  <si>
    <t>P, Pa</t>
  </si>
  <si>
    <t>Метод Риделя (vs Pressure)</t>
  </si>
  <si>
    <t>H_l</t>
  </si>
  <si>
    <t>H_v</t>
  </si>
  <si>
    <t>Hf_l</t>
  </si>
  <si>
    <t>Hf_v</t>
  </si>
  <si>
    <t>ej</t>
  </si>
  <si>
    <t>Heat Balance</t>
  </si>
  <si>
    <t>Qc</t>
  </si>
  <si>
    <t>Name</t>
  </si>
  <si>
    <t>Value</t>
  </si>
  <si>
    <t>Qr</t>
  </si>
  <si>
    <t>Qj</t>
  </si>
  <si>
    <t>koef_H_l</t>
  </si>
  <si>
    <t>Integral</t>
  </si>
  <si>
    <t>Cp, cal / mole</t>
  </si>
  <si>
    <t>K</t>
  </si>
  <si>
    <t>kJ / kmole</t>
  </si>
  <si>
    <t>Mr, g/mole</t>
  </si>
  <si>
    <t>dH, kJ/kmole</t>
  </si>
  <si>
    <t>dH298</t>
  </si>
  <si>
    <t>Integral Cp, kJ/kmole</t>
  </si>
  <si>
    <t>Tbr</t>
  </si>
  <si>
    <t>Condenced phase</t>
  </si>
  <si>
    <t>Gas phase</t>
  </si>
  <si>
    <t>Cp, J/mole K</t>
  </si>
  <si>
    <t>Lj</t>
  </si>
  <si>
    <t>Vj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</si>
</sst>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  <xf numFmtId="0" fontId="0" fillId="4" borderId="0" xfId="0" applyFill="1"/>
    <xf numFmtId="2" fontId="0" fillId="0" borderId="0" xfId="0" applyNumberFormat="1" applyFill="1" applyBorder="1"/>
    <xf numFmtId="2" fontId="0" fillId="0" borderId="0" xfId="0" applyNumberFormat="1"/>
    <xf numFmtId="0" fontId="0" fillId="0" borderId="4" xfId="0" applyFill="1" applyBorder="1"/>
    <xf numFmtId="164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0" xfId="0" quotePrefix="1"/>
    <xf numFmtId="11" fontId="0" fillId="0" borderId="1" xfId="0" applyNumberFormat="1" applyBorder="1"/>
    <xf numFmtId="2" fontId="5" fillId="0" borderId="1" xfId="0" applyNumberFormat="1" applyFont="1" applyBorder="1"/>
    <xf numFmtId="0" fontId="5" fillId="0" borderId="0" xfId="0" applyFont="1"/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2" fontId="5" fillId="0" borderId="0" xfId="0" applyNumberFormat="1" applyFont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0" fillId="0" borderId="0" xfId="0" applyBorder="1"/>
    <xf numFmtId="0" fontId="0" fillId="7" borderId="1" xfId="0" applyFill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2240"/>
        <c:axId val="60002816"/>
      </c:scatterChart>
      <c:valAx>
        <c:axId val="6000224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02816"/>
        <c:crosses val="autoZero"/>
        <c:crossBetween val="midCat"/>
        <c:majorUnit val="1"/>
      </c:valAx>
      <c:valAx>
        <c:axId val="600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Лист3!$B$3:$M$3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 formatCode="0.00E+00">
                  <c:v>6.3599011751648498E-7</c:v>
                </c:pt>
                <c:pt idx="6" formatCode="0.00E+00">
                  <c:v>3.8054415672454296E-9</c:v>
                </c:pt>
                <c:pt idx="7" formatCode="0.00E+00">
                  <c:v>2.3114258769459E-11</c:v>
                </c:pt>
                <c:pt idx="8" formatCode="0.00E+00">
                  <c:v>1.4908223480494001E-13</c:v>
                </c:pt>
                <c:pt idx="9" formatCode="0.00E+00">
                  <c:v>1.04362644462048E-15</c:v>
                </c:pt>
                <c:pt idx="10" formatCode="0.00E+00">
                  <c:v>8.1024627000077296E-18</c:v>
                </c:pt>
                <c:pt idx="11" formatCode="0.00E+00">
                  <c:v>7.81773652225201E-20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7EA-4199-997F-625499281357}"/>
            </c:ext>
          </c:extLst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 formatCode="0.00E+00">
                  <c:v>7.5054918197599703E-5</c:v>
                </c:pt>
                <c:pt idx="6" formatCode="0.00E+00">
                  <c:v>3.1149857860239398E-6</c:v>
                </c:pt>
                <c:pt idx="7" formatCode="0.00E+00">
                  <c:v>1.24346135890643E-7</c:v>
                </c:pt>
                <c:pt idx="8" formatCode="0.00E+00">
                  <c:v>5.0061083484433504E-9</c:v>
                </c:pt>
                <c:pt idx="9" formatCode="0.00E+00">
                  <c:v>2.0822145695039999E-10</c:v>
                </c:pt>
                <c:pt idx="10" formatCode="0.00E+00">
                  <c:v>9.1555989012040903E-12</c:v>
                </c:pt>
                <c:pt idx="11" formatCode="0.00E+00">
                  <c:v>4.6820020125103402E-13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7EA-4199-997F-625499281357}"/>
            </c:ext>
          </c:extLst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 formatCode="0.00E+00">
                  <c:v>3.65783590271044E-5</c:v>
                </c:pt>
                <c:pt idx="8" formatCode="0.00E+00">
                  <c:v>4.9052186089562704E-6</c:v>
                </c:pt>
                <c:pt idx="9" formatCode="0.00E+00">
                  <c:v>6.5819233447887997E-7</c:v>
                </c:pt>
                <c:pt idx="10" formatCode="0.00E+00">
                  <c:v>9.0093762439220395E-8</c:v>
                </c:pt>
                <c:pt idx="11" formatCode="0.00E+00">
                  <c:v>1.3303228644360001E-8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7EA-4199-997F-625499281357}"/>
            </c:ext>
          </c:extLst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 formatCode="0.00E+00">
                  <c:v>3.1412738639530701E-5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7EA-4199-997F-625499281357}"/>
            </c:ext>
          </c:extLst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7EA-4199-997F-625499281357}"/>
            </c:ext>
          </c:extLst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7EA-4199-997F-625499281357}"/>
            </c:ext>
          </c:extLst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7EA-4199-997F-625499281357}"/>
            </c:ext>
          </c:extLst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A7EA-4199-997F-625499281357}"/>
            </c:ext>
          </c:extLst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Лист3!$B$11:$M$11</c:f>
              <c:numCache>
                <c:formatCode>0.00E+00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 formatCode="General">
                  <c:v>9.0597161516168395E-4</c:v>
                </c:pt>
                <c:pt idx="3" formatCode="General">
                  <c:v>1.2720487956693101E-2</c:v>
                </c:pt>
                <c:pt idx="4" formatCode="General">
                  <c:v>0.11981625926844899</c:v>
                </c:pt>
                <c:pt idx="5" formatCode="General">
                  <c:v>0.104996833443915</c:v>
                </c:pt>
                <c:pt idx="6" formatCode="General">
                  <c:v>9.4025564896659503E-2</c:v>
                </c:pt>
                <c:pt idx="7" formatCode="General">
                  <c:v>9.2254382863761003E-2</c:v>
                </c:pt>
                <c:pt idx="8" formatCode="General">
                  <c:v>0.103473131565833</c:v>
                </c:pt>
                <c:pt idx="9" formatCode="General">
                  <c:v>0.13418437054504201</c:v>
                </c:pt>
                <c:pt idx="10" formatCode="General">
                  <c:v>0.19637962807682299</c:v>
                </c:pt>
                <c:pt idx="11" formatCode="General">
                  <c:v>0.303400516158917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A7EA-4199-997F-62549928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3664"/>
        <c:axId val="150114240"/>
      </c:scatterChart>
      <c:valAx>
        <c:axId val="1501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14240"/>
        <c:crosses val="autoZero"/>
        <c:crossBetween val="midCat"/>
      </c:valAx>
      <c:valAx>
        <c:axId val="1501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1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6E-40F1-B6EF-BC66DFBFC52A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6E-40F1-B6EF-BC66DFBF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4544"/>
        <c:axId val="60005120"/>
      </c:scatterChart>
      <c:valAx>
        <c:axId val="600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05120"/>
        <c:crosses val="autoZero"/>
        <c:crossBetween val="midCat"/>
        <c:majorUnit val="1"/>
      </c:valAx>
      <c:valAx>
        <c:axId val="600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0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Лист2!$D$161:$D$172</c:f>
              <c:numCache>
                <c:formatCode>General</c:formatCode>
                <c:ptCount val="12"/>
                <c:pt idx="0">
                  <c:v>0.99999606178854739</c:v>
                </c:pt>
                <c:pt idx="1">
                  <c:v>0.99998638775708104</c:v>
                </c:pt>
                <c:pt idx="2">
                  <c:v>0.99995401605107459</c:v>
                </c:pt>
                <c:pt idx="3">
                  <c:v>0.99984805638574636</c:v>
                </c:pt>
                <c:pt idx="4">
                  <c:v>0.99950850286467385</c:v>
                </c:pt>
                <c:pt idx="5">
                  <c:v>0.99844229273088703</c:v>
                </c:pt>
                <c:pt idx="6">
                  <c:v>0.99515960650629176</c:v>
                </c:pt>
                <c:pt idx="7">
                  <c:v>0.98525834802622991</c:v>
                </c:pt>
                <c:pt idx="8">
                  <c:v>0.95622140377238729</c:v>
                </c:pt>
                <c:pt idx="9">
                  <c:v>0.87607606288212669</c:v>
                </c:pt>
                <c:pt idx="10">
                  <c:v>0.68925144477750255</c:v>
                </c:pt>
                <c:pt idx="11">
                  <c:v>0.4000008675593299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2B-49A6-BE51-597FFE0198A0}"/>
            </c:ext>
          </c:extLst>
        </c:ser>
        <c:ser>
          <c:idx val="1"/>
          <c:order val="1"/>
          <c:tx>
            <c:strRef>
              <c:f>Лист2!$F$160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Лист2!$F$161:$F$172</c:f>
              <c:numCache>
                <c:formatCode>General</c:formatCode>
                <c:ptCount val="12"/>
                <c:pt idx="0">
                  <c:v>3.9380855625060907E-6</c:v>
                </c:pt>
                <c:pt idx="1">
                  <c:v>1.3611110965000054E-5</c:v>
                </c:pt>
                <c:pt idx="2">
                  <c:v>4.5974151260370891E-5</c:v>
                </c:pt>
                <c:pt idx="3">
                  <c:v>1.5186185285244813E-4</c:v>
                </c:pt>
                <c:pt idx="4">
                  <c:v>4.9083840758601751E-4</c:v>
                </c:pt>
                <c:pt idx="5">
                  <c:v>1.5525985866193634E-3</c:v>
                </c:pt>
                <c:pt idx="6">
                  <c:v>4.8021538989595621E-3</c:v>
                </c:pt>
                <c:pt idx="7">
                  <c:v>1.4466590708527091E-2</c:v>
                </c:pt>
                <c:pt idx="8">
                  <c:v>4.1904554407495326E-2</c:v>
                </c:pt>
                <c:pt idx="9">
                  <c:v>0.11233153008508916</c:v>
                </c:pt>
                <c:pt idx="10">
                  <c:v>0.25231438871729178</c:v>
                </c:pt>
                <c:pt idx="11">
                  <c:v>0.3999994217477153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D2B-49A6-BE51-597FFE0198A0}"/>
            </c:ext>
          </c:extLst>
        </c:ser>
        <c:ser>
          <c:idx val="2"/>
          <c:order val="2"/>
          <c:tx>
            <c:strRef>
              <c:f>Лист2!$G$160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Лист2!$G$161:$G$172</c:f>
              <c:numCache>
                <c:formatCode>General</c:formatCode>
                <c:ptCount val="12"/>
                <c:pt idx="0">
                  <c:v>1.0123141803303958E-10</c:v>
                </c:pt>
                <c:pt idx="1">
                  <c:v>8.8623730521617147E-10</c:v>
                </c:pt>
                <c:pt idx="2">
                  <c:v>7.4458261548825181E-9</c:v>
                </c:pt>
                <c:pt idx="3">
                  <c:v>6.0112385569065357E-8</c:v>
                </c:pt>
                <c:pt idx="4">
                  <c:v>4.6686128634188049E-7</c:v>
                </c:pt>
                <c:pt idx="5">
                  <c:v>3.4811544393290272E-6</c:v>
                </c:pt>
                <c:pt idx="6">
                  <c:v>2.4958042997839576E-5</c:v>
                </c:pt>
                <c:pt idx="7">
                  <c:v>1.7129946033890336E-4</c:v>
                </c:pt>
                <c:pt idx="8">
                  <c:v>1.109545323036708E-3</c:v>
                </c:pt>
                <c:pt idx="9">
                  <c:v>6.5037120218699434E-3</c:v>
                </c:pt>
                <c:pt idx="10">
                  <c:v>3.0985325320528719E-2</c:v>
                </c:pt>
                <c:pt idx="11">
                  <c:v>9.9999855346486144E-2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D2B-49A6-BE51-597FFE0198A0}"/>
            </c:ext>
          </c:extLst>
        </c:ser>
        <c:ser>
          <c:idx val="3"/>
          <c:order val="3"/>
          <c:tx>
            <c:strRef>
              <c:f>Лист2!$H$160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Лист2!$H$161:$H$172</c:f>
              <c:numCache>
                <c:formatCode>General</c:formatCode>
                <c:ptCount val="12"/>
                <c:pt idx="0">
                  <c:v>2.4658773176560385E-11</c:v>
                </c:pt>
                <c:pt idx="1">
                  <c:v>2.4571663020643485E-10</c:v>
                </c:pt>
                <c:pt idx="2">
                  <c:v>2.3518389428432835E-9</c:v>
                </c:pt>
                <c:pt idx="3">
                  <c:v>2.1649015483596503E-8</c:v>
                </c:pt>
                <c:pt idx="4">
                  <c:v>1.9186645378259328E-7</c:v>
                </c:pt>
                <c:pt idx="5">
                  <c:v>1.6275280542299701E-6</c:v>
                </c:pt>
                <c:pt idx="6">
                  <c:v>1.3281551750805713E-5</c:v>
                </c:pt>
                <c:pt idx="7">
                  <c:v>1.0376180490415579E-4</c:v>
                </c:pt>
                <c:pt idx="8">
                  <c:v>7.6449649708069478E-4</c:v>
                </c:pt>
                <c:pt idx="9">
                  <c:v>5.0886950109142069E-3</c:v>
                </c:pt>
                <c:pt idx="10">
                  <c:v>2.7448841184677011E-2</c:v>
                </c:pt>
                <c:pt idx="11">
                  <c:v>9.9999855346468616E-2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D2B-49A6-BE51-597FFE0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2688"/>
        <c:axId val="147523264"/>
      </c:scatterChart>
      <c:valAx>
        <c:axId val="14752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23264"/>
        <c:crosses val="autoZero"/>
        <c:crossBetween val="midCat"/>
      </c:valAx>
      <c:valAx>
        <c:axId val="147523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2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Лист2!$K$175</c:f>
              <c:strCache>
                <c:ptCount val="1"/>
                <c:pt idx="0">
                  <c:v>rTj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Лист2!$K$176:$K$187</c:f>
              <c:numCache>
                <c:formatCode>General</c:formatCode>
                <c:ptCount val="12"/>
                <c:pt idx="0">
                  <c:v>246.24738605227924</c:v>
                </c:pt>
                <c:pt idx="1">
                  <c:v>246.37132603230239</c:v>
                </c:pt>
                <c:pt idx="2">
                  <c:v>246.47346254613916</c:v>
                </c:pt>
                <c:pt idx="3">
                  <c:v>246.59125959929818</c:v>
                </c:pt>
                <c:pt idx="4">
                  <c:v>246.7141589583812</c:v>
                </c:pt>
                <c:pt idx="5">
                  <c:v>246.85321381370844</c:v>
                </c:pt>
                <c:pt idx="6">
                  <c:v>247.04146610982431</c:v>
                </c:pt>
                <c:pt idx="7">
                  <c:v>247.37717711498669</c:v>
                </c:pt>
                <c:pt idx="8">
                  <c:v>248.15050391881752</c:v>
                </c:pt>
                <c:pt idx="9">
                  <c:v>250.19647974087741</c:v>
                </c:pt>
                <c:pt idx="10">
                  <c:v>255.63234865572028</c:v>
                </c:pt>
                <c:pt idx="11">
                  <c:v>267.8052276474823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C4-4B53-8FBB-0EF90FD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5568"/>
        <c:axId val="147526144"/>
      </c:scatterChart>
      <c:valAx>
        <c:axId val="1475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26144"/>
        <c:crosses val="autoZero"/>
        <c:crossBetween val="midCat"/>
      </c:valAx>
      <c:valAx>
        <c:axId val="1475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15A-4A6F-873B-035203F4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7872"/>
        <c:axId val="147528448"/>
      </c:scatterChart>
      <c:valAx>
        <c:axId val="14752787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28448"/>
        <c:crosses val="autoZero"/>
        <c:crossBetween val="midCat"/>
        <c:majorUnit val="1"/>
      </c:valAx>
      <c:valAx>
        <c:axId val="147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2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0F-4AAC-A196-D98AEB11FE60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0F-4AAC-A196-D98AEB11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9456"/>
        <c:axId val="147580032"/>
      </c:scatterChart>
      <c:valAx>
        <c:axId val="1475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80032"/>
        <c:crosses val="autoZero"/>
        <c:crossBetween val="midCat"/>
        <c:majorUnit val="1"/>
      </c:valAx>
      <c:valAx>
        <c:axId val="147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7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проверка!$K$176:$K$187</c:f>
              <c:numCache>
                <c:formatCode>General</c:formatCode>
                <c:ptCount val="12"/>
                <c:pt idx="0">
                  <c:v>276.40884744035799</c:v>
                </c:pt>
                <c:pt idx="1">
                  <c:v>284.52951856861102</c:v>
                </c:pt>
                <c:pt idx="2">
                  <c:v>291.99052032730702</c:v>
                </c:pt>
                <c:pt idx="3">
                  <c:v>300.554897590964</c:v>
                </c:pt>
                <c:pt idx="4">
                  <c:v>313.42188296291602</c:v>
                </c:pt>
                <c:pt idx="5">
                  <c:v>322.75530726017899</c:v>
                </c:pt>
                <c:pt idx="6">
                  <c:v>327.02989253721699</c:v>
                </c:pt>
                <c:pt idx="7">
                  <c:v>329.613963045486</c:v>
                </c:pt>
                <c:pt idx="8">
                  <c:v>331.88309069264898</c:v>
                </c:pt>
                <c:pt idx="9">
                  <c:v>334.94920893260701</c:v>
                </c:pt>
                <c:pt idx="10">
                  <c:v>339.88198514567603</c:v>
                </c:pt>
                <c:pt idx="11">
                  <c:v>347.78682962085298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9E-4361-8923-8243C29C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82336"/>
        <c:axId val="147582912"/>
      </c:scatterChart>
      <c:valAx>
        <c:axId val="14758233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82912"/>
        <c:crosses val="autoZero"/>
        <c:crossBetween val="midCat"/>
        <c:majorUnit val="1"/>
      </c:valAx>
      <c:valAx>
        <c:axId val="147582912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проверка!$B$161:$B$172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>
                  <c:v>6.3599011751648498E-7</c:v>
                </c:pt>
                <c:pt idx="6">
                  <c:v>3.8054415672454296E-9</c:v>
                </c:pt>
                <c:pt idx="7">
                  <c:v>2.3114258769459E-11</c:v>
                </c:pt>
                <c:pt idx="8">
                  <c:v>1.4908223480494001E-13</c:v>
                </c:pt>
                <c:pt idx="9">
                  <c:v>1.04362644462048E-15</c:v>
                </c:pt>
                <c:pt idx="10">
                  <c:v>8.1024627000077296E-18</c:v>
                </c:pt>
                <c:pt idx="11">
                  <c:v>7.81773652225201E-20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проверка!$C$161:$C$172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>
                  <c:v>7.5054918197599703E-5</c:v>
                </c:pt>
                <c:pt idx="6">
                  <c:v>3.1149857860239398E-6</c:v>
                </c:pt>
                <c:pt idx="7">
                  <c:v>1.24346135890643E-7</c:v>
                </c:pt>
                <c:pt idx="8">
                  <c:v>5.0061083484433504E-9</c:v>
                </c:pt>
                <c:pt idx="9">
                  <c:v>2.0822145695039999E-10</c:v>
                </c:pt>
                <c:pt idx="10">
                  <c:v>9.1555989012040903E-12</c:v>
                </c:pt>
                <c:pt idx="11">
                  <c:v>4.6820020125103402E-13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проверка!$D$161:$D$172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>
                  <c:v>3.65783590271044E-5</c:v>
                </c:pt>
                <c:pt idx="8">
                  <c:v>4.9052186089562704E-6</c:v>
                </c:pt>
                <c:pt idx="9">
                  <c:v>6.5819233447887997E-7</c:v>
                </c:pt>
                <c:pt idx="10">
                  <c:v>9.0093762439220395E-8</c:v>
                </c:pt>
                <c:pt idx="11">
                  <c:v>1.3303228644360001E-8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проверка!$E$161:$E$172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>
                  <c:v>3.1412738639530701E-5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проверка!$F$161:$F$172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проверка!$G$161:$G$172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проверка!$H$161:$H$172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проверка!$I$161:$I$172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проверка!$J$161:$J$172</c:f>
              <c:numCache>
                <c:formatCode>General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>
                  <c:v>9.0597161516168395E-4</c:v>
                </c:pt>
                <c:pt idx="3">
                  <c:v>1.2720487956693101E-2</c:v>
                </c:pt>
                <c:pt idx="4">
                  <c:v>0.11981625926844899</c:v>
                </c:pt>
                <c:pt idx="5">
                  <c:v>0.104996833443915</c:v>
                </c:pt>
                <c:pt idx="6">
                  <c:v>9.4025564896659503E-2</c:v>
                </c:pt>
                <c:pt idx="7">
                  <c:v>9.2254382863761003E-2</c:v>
                </c:pt>
                <c:pt idx="8">
                  <c:v>0.103473131565833</c:v>
                </c:pt>
                <c:pt idx="9">
                  <c:v>0.13418437054504201</c:v>
                </c:pt>
                <c:pt idx="10">
                  <c:v>0.19637962807682299</c:v>
                </c:pt>
                <c:pt idx="11">
                  <c:v>0.303400516158917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84640"/>
        <c:axId val="147585216"/>
      </c:scatterChart>
      <c:valAx>
        <c:axId val="14758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85216"/>
        <c:crosses val="autoZero"/>
        <c:crossBetween val="midCat"/>
      </c:valAx>
      <c:valAx>
        <c:axId val="1475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проверка!$B$229:$B$240</c:f>
              <c:numCache>
                <c:formatCode>General</c:formatCode>
                <c:ptCount val="12"/>
                <c:pt idx="0">
                  <c:v>6.7265221971692102E-2</c:v>
                </c:pt>
                <c:pt idx="1">
                  <c:v>3.9177374622506103E-2</c:v>
                </c:pt>
                <c:pt idx="2">
                  <c:v>2.99760025404858E-2</c:v>
                </c:pt>
                <c:pt idx="3">
                  <c:v>2.51431195000823E-2</c:v>
                </c:pt>
                <c:pt idx="4">
                  <c:v>2.02486785511647E-2</c:v>
                </c:pt>
                <c:pt idx="5">
                  <c:v>1.4045880800716499E-4</c:v>
                </c:pt>
                <c:pt idx="6" formatCode="0.00E+00">
                  <c:v>8.7271251123069905E-7</c:v>
                </c:pt>
                <c:pt idx="7" formatCode="0.00E+00">
                  <c:v>5.4110767092049999E-9</c:v>
                </c:pt>
                <c:pt idx="8" formatCode="0.00E+00">
                  <c:v>3.5507613685978899E-11</c:v>
                </c:pt>
                <c:pt idx="9" formatCode="0.00E+00">
                  <c:v>2.5469387709701702E-13</c:v>
                </c:pt>
                <c:pt idx="10" formatCode="0.00E+00">
                  <c:v>2.05950943924101E-15</c:v>
                </c:pt>
                <c:pt idx="11" formatCode="0.00E+00">
                  <c:v>2.1119907982157702E-17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проверка!$C$229:$C$240</c:f>
              <c:numCache>
                <c:formatCode>General</c:formatCode>
                <c:ptCount val="12"/>
                <c:pt idx="0">
                  <c:v>0.13217871410945001</c:v>
                </c:pt>
                <c:pt idx="1">
                  <c:v>8.1428288014154596E-2</c:v>
                </c:pt>
                <c:pt idx="2">
                  <c:v>6.1978441862228902E-2</c:v>
                </c:pt>
                <c:pt idx="3">
                  <c:v>5.2116719097064799E-2</c:v>
                </c:pt>
                <c:pt idx="4">
                  <c:v>4.3546057517654502E-2</c:v>
                </c:pt>
                <c:pt idx="5">
                  <c:v>2.3794237247885498E-3</c:v>
                </c:pt>
                <c:pt idx="6">
                  <c:v>1.05778206178406E-4</c:v>
                </c:pt>
                <c:pt idx="7" formatCode="0.00E+00">
                  <c:v>4.39025085714117E-6</c:v>
                </c:pt>
                <c:pt idx="8" formatCode="0.00E+00">
                  <c:v>1.8270630101297901E-7</c:v>
                </c:pt>
                <c:pt idx="9" formatCode="0.00E+00">
                  <c:v>7.95311744953197E-9</c:v>
                </c:pt>
                <c:pt idx="10" formatCode="0.00E+00">
                  <c:v>3.76525564933327E-10</c:v>
                </c:pt>
                <c:pt idx="11" formatCode="0.00E+00">
                  <c:v>2.15408409534488E-11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проверка!$D$229:$D$240</c:f>
              <c:numCache>
                <c:formatCode>General</c:formatCode>
                <c:ptCount val="12"/>
                <c:pt idx="0">
                  <c:v>0.19605663380638799</c:v>
                </c:pt>
                <c:pt idx="1">
                  <c:v>0.1443729038847</c:v>
                </c:pt>
                <c:pt idx="2">
                  <c:v>0.110893895013756</c:v>
                </c:pt>
                <c:pt idx="3">
                  <c:v>9.0968181773985898E-2</c:v>
                </c:pt>
                <c:pt idx="4">
                  <c:v>7.5711448270567805E-2</c:v>
                </c:pt>
                <c:pt idx="5">
                  <c:v>1.5979345202331099E-2</c:v>
                </c:pt>
                <c:pt idx="6">
                  <c:v>2.58102472389921E-3</c:v>
                </c:pt>
                <c:pt idx="7">
                  <c:v>3.7307390277389299E-4</c:v>
                </c:pt>
                <c:pt idx="8" formatCode="0.00E+00">
                  <c:v>5.2241598404763401E-5</c:v>
                </c:pt>
                <c:pt idx="9" formatCode="0.00E+00">
                  <c:v>7.4354723212360699E-6</c:v>
                </c:pt>
                <c:pt idx="10" formatCode="0.00E+00">
                  <c:v>1.1192291281506101E-6</c:v>
                </c:pt>
                <c:pt idx="11" formatCode="0.00E+00">
                  <c:v>1.9101239287179501E-7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проверка!$E$229:$E$240</c:f>
              <c:numCache>
                <c:formatCode>General</c:formatCode>
                <c:ptCount val="12"/>
                <c:pt idx="0">
                  <c:v>0.25950688049471299</c:v>
                </c:pt>
                <c:pt idx="1">
                  <c:v>0.26852423379553497</c:v>
                </c:pt>
                <c:pt idx="2">
                  <c:v>0.23972654396763499</c:v>
                </c:pt>
                <c:pt idx="3">
                  <c:v>0.19741571644390599</c:v>
                </c:pt>
                <c:pt idx="4">
                  <c:v>0.154080696311161</c:v>
                </c:pt>
                <c:pt idx="5">
                  <c:v>8.6757898347844697E-2</c:v>
                </c:pt>
                <c:pt idx="6">
                  <c:v>3.5964810206823197E-2</c:v>
                </c:pt>
                <c:pt idx="7">
                  <c:v>1.2983540260248901E-2</c:v>
                </c:pt>
                <c:pt idx="8">
                  <c:v>4.4363688359800703E-3</c:v>
                </c:pt>
                <c:pt idx="9">
                  <c:v>1.5055904907573701E-3</c:v>
                </c:pt>
                <c:pt idx="10">
                  <c:v>5.2253181429017697E-4</c:v>
                </c:pt>
                <c:pt idx="11">
                  <c:v>1.90152929604687E-4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проверка!$F$229:$F$240</c:f>
              <c:numCache>
                <c:formatCode>General</c:formatCode>
                <c:ptCount val="12"/>
                <c:pt idx="0">
                  <c:v>0.32214929305724399</c:v>
                </c:pt>
                <c:pt idx="1">
                  <c:v>0.404200599209591</c:v>
                </c:pt>
                <c:pt idx="2">
                  <c:v>0.41687875450082801</c:v>
                </c:pt>
                <c:pt idx="3">
                  <c:v>0.37063625704116998</c:v>
                </c:pt>
                <c:pt idx="4">
                  <c:v>0.28992703033411099</c:v>
                </c:pt>
                <c:pt idx="5">
                  <c:v>0.230924060094404</c:v>
                </c:pt>
                <c:pt idx="6">
                  <c:v>0.132899802871529</c:v>
                </c:pt>
                <c:pt idx="7">
                  <c:v>6.5703337265155495E-2</c:v>
                </c:pt>
                <c:pt idx="8">
                  <c:v>3.0361670673610199E-2</c:v>
                </c:pt>
                <c:pt idx="9">
                  <c:v>1.37466697292112E-2</c:v>
                </c:pt>
                <c:pt idx="10">
                  <c:v>6.2455287735408201E-3</c:v>
                </c:pt>
                <c:pt idx="11">
                  <c:v>2.88030456237707E-3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проверка!$G$229:$G$240</c:f>
              <c:numCache>
                <c:formatCode>General</c:formatCode>
                <c:ptCount val="12"/>
                <c:pt idx="0">
                  <c:v>1.55273177963276E-2</c:v>
                </c:pt>
                <c:pt idx="1">
                  <c:v>4.1005867389486701E-2</c:v>
                </c:pt>
                <c:pt idx="2">
                  <c:v>8.8781217170379401E-2</c:v>
                </c:pt>
                <c:pt idx="3">
                  <c:v>0.157340661586545</c:v>
                </c:pt>
                <c:pt idx="4">
                  <c:v>0.22238243356239201</c:v>
                </c:pt>
                <c:pt idx="5">
                  <c:v>0.36571941575999101</c:v>
                </c:pt>
                <c:pt idx="6">
                  <c:v>0.45650195429567603</c:v>
                </c:pt>
                <c:pt idx="7">
                  <c:v>0.49536390437530198</c:v>
                </c:pt>
                <c:pt idx="8">
                  <c:v>0.496511914809521</c:v>
                </c:pt>
                <c:pt idx="9">
                  <c:v>0.47358136016936397</c:v>
                </c:pt>
                <c:pt idx="10">
                  <c:v>0.43178624747713001</c:v>
                </c:pt>
                <c:pt idx="11">
                  <c:v>0.37012069128528202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проверка!$H$229:$H$240</c:f>
              <c:numCache>
                <c:formatCode>General</c:formatCode>
                <c:ptCount val="12"/>
                <c:pt idx="0">
                  <c:v>7.3075361176306404E-3</c:v>
                </c:pt>
                <c:pt idx="1">
                  <c:v>2.1210154609944701E-2</c:v>
                </c:pt>
                <c:pt idx="2">
                  <c:v>5.1076351592002203E-2</c:v>
                </c:pt>
                <c:pt idx="3">
                  <c:v>0.10130057047541299</c:v>
                </c:pt>
                <c:pt idx="4">
                  <c:v>0.160658356499296</c:v>
                </c:pt>
                <c:pt idx="5">
                  <c:v>0.25598018584468002</c:v>
                </c:pt>
                <c:pt idx="6">
                  <c:v>0.32656594089269703</c:v>
                </c:pt>
                <c:pt idx="7">
                  <c:v>0.37466566130030698</c:v>
                </c:pt>
                <c:pt idx="8">
                  <c:v>0.40455004361003599</c:v>
                </c:pt>
                <c:pt idx="9">
                  <c:v>0.41940543278409498</c:v>
                </c:pt>
                <c:pt idx="10">
                  <c:v>0.41654506609748598</c:v>
                </c:pt>
                <c:pt idx="11">
                  <c:v>0.38763645690702497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проверка!$I$229:$I$240</c:f>
              <c:numCache>
                <c:formatCode>0.00E+00</c:formatCode>
                <c:ptCount val="12"/>
                <c:pt idx="0">
                  <c:v>8.36612168786536E-6</c:v>
                </c:pt>
                <c:pt idx="1">
                  <c:v>7.9512863895516098E-5</c:v>
                </c:pt>
                <c:pt idx="2" formatCode="General">
                  <c:v>6.6156067039688205E-4</c:v>
                </c:pt>
                <c:pt idx="3" formatCode="General">
                  <c:v>4.5207965847977403E-3</c:v>
                </c:pt>
                <c:pt idx="4" formatCode="General">
                  <c:v>2.45096756432567E-2</c:v>
                </c:pt>
                <c:pt idx="5" formatCode="General">
                  <c:v>3.0927903029804402E-2</c:v>
                </c:pt>
                <c:pt idx="6" formatCode="General">
                  <c:v>3.3685181837216797E-2</c:v>
                </c:pt>
                <c:pt idx="7" formatCode="General">
                  <c:v>3.83556747110722E-2</c:v>
                </c:pt>
                <c:pt idx="8" formatCode="General">
                  <c:v>4.88841127828979E-2</c:v>
                </c:pt>
                <c:pt idx="9" formatCode="General">
                  <c:v>6.9880746747047598E-2</c:v>
                </c:pt>
                <c:pt idx="10" formatCode="General">
                  <c:v>0.10712641506102499</c:v>
                </c:pt>
                <c:pt idx="11" formatCode="General">
                  <c:v>0.16396938237012601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проверка!$J$229:$J$240</c:f>
              <c:numCache>
                <c:formatCode>0.00E+00</c:formatCode>
                <c:ptCount val="12"/>
                <c:pt idx="0">
                  <c:v>3.6523100489637898E-8</c:v>
                </c:pt>
                <c:pt idx="1">
                  <c:v>1.06561018337243E-6</c:v>
                </c:pt>
                <c:pt idx="2">
                  <c:v>2.7232680634122102E-5</c:v>
                </c:pt>
                <c:pt idx="3" formatCode="General">
                  <c:v>5.5797749686569797E-4</c:v>
                </c:pt>
                <c:pt idx="4" formatCode="General">
                  <c:v>8.9356233103960892E-3</c:v>
                </c:pt>
                <c:pt idx="5" formatCode="General">
                  <c:v>1.1191309188150299E-2</c:v>
                </c:pt>
                <c:pt idx="6" formatCode="General">
                  <c:v>1.16946342534394E-2</c:v>
                </c:pt>
                <c:pt idx="7" formatCode="General">
                  <c:v>1.2550412523175699E-2</c:v>
                </c:pt>
                <c:pt idx="8" formatCode="General">
                  <c:v>1.52034649403317E-2</c:v>
                </c:pt>
                <c:pt idx="9" formatCode="General">
                  <c:v>2.18727566536468E-2</c:v>
                </c:pt>
                <c:pt idx="10" formatCode="General">
                  <c:v>3.7773091170864699E-2</c:v>
                </c:pt>
                <c:pt idx="11" formatCode="General">
                  <c:v>7.5202820906392104E-2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0784"/>
        <c:axId val="150111360"/>
      </c:scatterChart>
      <c:valAx>
        <c:axId val="15011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11360"/>
        <c:crosses val="autoZero"/>
        <c:crossBetween val="midCat"/>
      </c:valAx>
      <c:valAx>
        <c:axId val="1501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1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47B497BA-5A36-4451-8ED0-A11120A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137583</xdr:colOff>
      <xdr:row>158</xdr:row>
      <xdr:rowOff>4234</xdr:rowOff>
    </xdr:from>
    <xdr:to>
      <xdr:col>15</xdr:col>
      <xdr:colOff>306916</xdr:colOff>
      <xdr:row>172</xdr:row>
      <xdr:rowOff>80434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3960BC85-8BF4-479F-ABC4-17BA12D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174</xdr:row>
      <xdr:rowOff>25400</xdr:rowOff>
    </xdr:from>
    <xdr:to>
      <xdr:col>15</xdr:col>
      <xdr:colOff>476250</xdr:colOff>
      <xdr:row>188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322F50C0-F094-4C74-81DD-029F255D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96B5A90-0526-4FB8-933D-4213F1AA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CC8ADED4-D531-4F59-8B13-BDCE2E48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173</xdr:row>
      <xdr:rowOff>185737</xdr:rowOff>
    </xdr:from>
    <xdr:to>
      <xdr:col>15</xdr:col>
      <xdr:colOff>371475</xdr:colOff>
      <xdr:row>188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F14E6E67-66FC-456E-A5A4-C8ADFCEA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241</xdr:row>
      <xdr:rowOff>42861</xdr:rowOff>
    </xdr:from>
    <xdr:to>
      <xdr:col>6</xdr:col>
      <xdr:colOff>295275</xdr:colOff>
      <xdr:row>258</xdr:row>
      <xdr:rowOff>161924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E3B1F823-F12F-4D98-A409-855942E7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1219200</xdr:colOff>
      <xdr:row>240</xdr:row>
      <xdr:rowOff>128586</xdr:rowOff>
    </xdr:from>
    <xdr:to>
      <xdr:col>11</xdr:col>
      <xdr:colOff>800100</xdr:colOff>
      <xdr:row>258</xdr:row>
      <xdr:rowOff>57149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88F265A3-A489-4E54-B4DC-06F4401C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28575</xdr:rowOff>
    </xdr:from>
    <xdr:to>
      <xdr:col>7</xdr:col>
      <xdr:colOff>1247774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8F7CE71-387D-4AFD-90A0-BF36E45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B2" sqref="B2:J2"/>
    </sheetView>
  </sheetViews>
  <sheetFormatPr defaultRowHeight="15" x14ac:dyDescent="0.25"/>
  <cols>
    <col min="1" max="1" width="18.42578125" bestFit="1" customWidth="1"/>
  </cols>
  <sheetData>
    <row r="2" spans="1:10" x14ac:dyDescent="0.25">
      <c r="A2" t="s">
        <v>139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B3" s="4">
        <v>-74900</v>
      </c>
      <c r="C3" s="4">
        <v>-84738</v>
      </c>
      <c r="D3" s="4">
        <v>-103890</v>
      </c>
      <c r="E3" s="4">
        <v>-134590</v>
      </c>
      <c r="F3" s="4">
        <v>-126190</v>
      </c>
      <c r="G3" s="4">
        <v>-154590</v>
      </c>
      <c r="H3" s="4">
        <v>-146490</v>
      </c>
      <c r="I3" s="4">
        <v>-167290</v>
      </c>
      <c r="J3" s="4">
        <v>-187890</v>
      </c>
    </row>
    <row r="5" spans="1:10" x14ac:dyDescent="0.25">
      <c r="A5" t="s">
        <v>140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10" x14ac:dyDescent="0.25">
      <c r="B6" s="4">
        <v>16.042900085449201</v>
      </c>
      <c r="C6" s="4">
        <v>30.069900512695298</v>
      </c>
      <c r="D6" s="4">
        <v>44.097000122070298</v>
      </c>
      <c r="E6" s="4">
        <v>58.124000549316399</v>
      </c>
      <c r="F6" s="4">
        <v>58.124000549316399</v>
      </c>
      <c r="G6" s="4">
        <v>72.1510009765625</v>
      </c>
      <c r="H6" s="4">
        <v>72.1510009765625</v>
      </c>
      <c r="I6" s="4">
        <v>86.177902221679702</v>
      </c>
      <c r="J6" s="4">
        <v>100.205001831055</v>
      </c>
    </row>
    <row r="8" spans="1:10" x14ac:dyDescent="0.25">
      <c r="A8" t="s">
        <v>134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10" x14ac:dyDescent="0.25">
      <c r="B9" s="4">
        <v>-161.52500000000001</v>
      </c>
      <c r="C9" s="4">
        <v>-88.599996948242193</v>
      </c>
      <c r="D9" s="4">
        <v>-42.101995849609402</v>
      </c>
      <c r="E9" s="4">
        <v>-11.7299865722656</v>
      </c>
      <c r="F9" s="4">
        <v>-0.50198974609372704</v>
      </c>
      <c r="G9" s="4">
        <v>27.878015136718801</v>
      </c>
      <c r="H9" s="4">
        <v>36.059014892578098</v>
      </c>
      <c r="I9" s="4">
        <v>68.730004882812494</v>
      </c>
      <c r="J9" s="4">
        <v>98.429010009765605</v>
      </c>
    </row>
    <row r="11" spans="1:10" x14ac:dyDescent="0.25">
      <c r="A11" t="s">
        <v>77</v>
      </c>
      <c r="B11" t="s">
        <v>76</v>
      </c>
      <c r="C11" t="s">
        <v>138</v>
      </c>
    </row>
    <row r="12" spans="1:10" x14ac:dyDescent="0.25">
      <c r="B12" t="str">
        <f>CONCATENATE($A$11,B3,$B$11)</f>
        <v>(-74900,</v>
      </c>
      <c r="C12" t="str">
        <f>CONCATENATE(C3,$B$11)</f>
        <v>-84738,</v>
      </c>
      <c r="D12" t="str">
        <f t="shared" ref="D12:I12" si="0">CONCATENATE(D3,$B$11)</f>
        <v>-103890,</v>
      </c>
      <c r="E12" t="str">
        <f t="shared" si="0"/>
        <v>-134590,</v>
      </c>
      <c r="F12" t="str">
        <f t="shared" si="0"/>
        <v>-126190,</v>
      </c>
      <c r="G12" t="str">
        <f t="shared" si="0"/>
        <v>-154590,</v>
      </c>
      <c r="H12" t="str">
        <f t="shared" si="0"/>
        <v>-146490,</v>
      </c>
      <c r="I12" t="str">
        <f t="shared" si="0"/>
        <v>-167290,</v>
      </c>
      <c r="J12" t="str">
        <f>CONCATENATE(J3,$C$11)</f>
        <v>-187890);</v>
      </c>
    </row>
    <row r="13" spans="1:10" x14ac:dyDescent="0.25">
      <c r="B13" t="str">
        <f>CONCATENATE($A$11,B6,$B$11)</f>
        <v>(16.0429000854492,</v>
      </c>
      <c r="C13" t="str">
        <f>CONCATENATE(C6,$B$11)</f>
        <v>30.0699005126953,</v>
      </c>
      <c r="D13" t="str">
        <f t="shared" ref="D13:I13" si="1">CONCATENATE(D6,$B$11)</f>
        <v>44.0970001220703,</v>
      </c>
      <c r="E13" t="str">
        <f t="shared" si="1"/>
        <v>58.1240005493164,</v>
      </c>
      <c r="F13" t="str">
        <f t="shared" si="1"/>
        <v>58.1240005493164,</v>
      </c>
      <c r="G13" t="str">
        <f t="shared" si="1"/>
        <v>72.1510009765625,</v>
      </c>
      <c r="H13" t="str">
        <f t="shared" si="1"/>
        <v>72.1510009765625,</v>
      </c>
      <c r="I13" t="str">
        <f t="shared" si="1"/>
        <v>86.1779022216797,</v>
      </c>
      <c r="J13" t="str">
        <f>CONCATENATE(J6,$C$11)</f>
        <v>100.205001831055);</v>
      </c>
    </row>
    <row r="14" spans="1:10" x14ac:dyDescent="0.25">
      <c r="B14" t="str">
        <f>CONCATENATE($A$11,B9,$B$11)</f>
        <v>(-161.525,</v>
      </c>
      <c r="C14" t="str">
        <f>CONCATENATE(C9,$B$11)</f>
        <v>-88.5999969482422,</v>
      </c>
      <c r="D14" t="str">
        <f t="shared" ref="D14:I14" si="2">CONCATENATE(D9,$B$11)</f>
        <v>-42.1019958496094,</v>
      </c>
      <c r="E14" t="str">
        <f t="shared" si="2"/>
        <v>-11.7299865722656,</v>
      </c>
      <c r="F14" t="str">
        <f t="shared" si="2"/>
        <v>-0.501989746093727,</v>
      </c>
      <c r="G14" t="str">
        <f t="shared" si="2"/>
        <v>27.8780151367188,</v>
      </c>
      <c r="H14" t="str">
        <f t="shared" si="2"/>
        <v>36.0590148925781,</v>
      </c>
      <c r="I14" t="str">
        <f t="shared" si="2"/>
        <v>68.7300048828125,</v>
      </c>
      <c r="J14" t="str">
        <f>CONCATENATE(J9,$C$11)</f>
        <v>98.4290100097656);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A7" zoomScaleNormal="100" workbookViewId="0">
      <selection activeCell="P42" sqref="P42:P52"/>
    </sheetView>
  </sheetViews>
  <sheetFormatPr defaultRowHeight="15" x14ac:dyDescent="0.25"/>
  <cols>
    <col min="1" max="1" width="9.28515625" bestFit="1" customWidth="1"/>
    <col min="2" max="5" width="10.28515625" bestFit="1" customWidth="1"/>
    <col min="6" max="7" width="9.28515625" bestFit="1" customWidth="1"/>
    <col min="8" max="12" width="10.28515625" bestFit="1" customWidth="1"/>
  </cols>
  <sheetData>
    <row r="1" spans="1:26" x14ac:dyDescent="0.25">
      <c r="A1" t="s">
        <v>79</v>
      </c>
      <c r="O1" t="s">
        <v>91</v>
      </c>
    </row>
    <row r="2" spans="1:26" x14ac:dyDescent="0.25">
      <c r="A2">
        <v>5.1061363948979297E-4</v>
      </c>
      <c r="B2">
        <v>2.6838870926042398E-4</v>
      </c>
      <c r="C2">
        <v>1.8792093720979499E-4</v>
      </c>
      <c r="D2">
        <v>1.4308078156148699E-4</v>
      </c>
      <c r="E2">
        <v>1.0045168653596101E-4</v>
      </c>
      <c r="F2" s="17">
        <v>6.3599011751648498E-7</v>
      </c>
      <c r="G2" s="17">
        <v>3.8054415672454296E-9</v>
      </c>
      <c r="H2" s="17">
        <v>2.3114258769459E-11</v>
      </c>
      <c r="I2" s="17">
        <v>1.4908223480494001E-13</v>
      </c>
      <c r="J2" s="17">
        <v>1.04362644462048E-15</v>
      </c>
      <c r="K2" s="17">
        <v>8.1024627000077296E-18</v>
      </c>
      <c r="L2" s="17">
        <v>7.81773652225201E-20</v>
      </c>
      <c r="O2">
        <v>6.7265221971692102E-2</v>
      </c>
      <c r="P2">
        <v>3.9177374622506103E-2</v>
      </c>
      <c r="Q2">
        <v>2.99760025404858E-2</v>
      </c>
      <c r="R2">
        <v>2.51431195000823E-2</v>
      </c>
      <c r="S2">
        <v>2.02486785511647E-2</v>
      </c>
      <c r="T2">
        <v>1.4045880800716499E-4</v>
      </c>
      <c r="U2" s="17">
        <v>8.7271251123069905E-7</v>
      </c>
      <c r="V2" s="17">
        <v>5.4110767092049999E-9</v>
      </c>
      <c r="W2" s="17">
        <v>3.5507613685978899E-11</v>
      </c>
      <c r="X2" s="17">
        <v>2.5469387709701702E-13</v>
      </c>
      <c r="Y2" s="17">
        <v>2.05950943924101E-15</v>
      </c>
      <c r="Z2" s="17">
        <v>2.1119907982157702E-17</v>
      </c>
    </row>
    <row r="3" spans="1:26" x14ac:dyDescent="0.25">
      <c r="A3">
        <v>1.04085436416424E-2</v>
      </c>
      <c r="B3">
        <v>5.3464033877469296E-3</v>
      </c>
      <c r="C3">
        <v>3.47622195828801E-3</v>
      </c>
      <c r="D3">
        <v>2.4621890943719799E-3</v>
      </c>
      <c r="E3">
        <v>1.6152002126668999E-3</v>
      </c>
      <c r="F3" s="17">
        <v>7.5054918197599703E-5</v>
      </c>
      <c r="G3" s="17">
        <v>3.1149857860239398E-6</v>
      </c>
      <c r="H3" s="17">
        <v>1.24346135890643E-7</v>
      </c>
      <c r="I3" s="17">
        <v>5.0061083484433504E-9</v>
      </c>
      <c r="J3" s="17">
        <v>2.0822145695039999E-10</v>
      </c>
      <c r="K3" s="17">
        <v>9.1555989012040903E-12</v>
      </c>
      <c r="L3" s="17">
        <v>4.6820020125103402E-13</v>
      </c>
      <c r="O3">
        <v>0.13217871410945001</v>
      </c>
      <c r="P3">
        <v>8.1428288014154596E-2</v>
      </c>
      <c r="Q3">
        <v>6.1978441862228902E-2</v>
      </c>
      <c r="R3">
        <v>5.2116719097064799E-2</v>
      </c>
      <c r="S3">
        <v>4.3546057517654502E-2</v>
      </c>
      <c r="T3">
        <v>2.3794237247885498E-3</v>
      </c>
      <c r="U3">
        <v>1.05778206178406E-4</v>
      </c>
      <c r="V3" s="17">
        <v>4.39025085714117E-6</v>
      </c>
      <c r="W3" s="17">
        <v>1.8270630101297901E-7</v>
      </c>
      <c r="X3" s="17">
        <v>7.95311744953197E-9</v>
      </c>
      <c r="Y3" s="17">
        <v>3.76525564933327E-10</v>
      </c>
      <c r="Z3" s="17">
        <v>2.15408409534488E-11</v>
      </c>
    </row>
    <row r="4" spans="1:26" x14ac:dyDescent="0.25">
      <c r="A4">
        <v>7.1043222861402994E-2</v>
      </c>
      <c r="B4">
        <v>4.1478774335046098E-2</v>
      </c>
      <c r="C4">
        <v>2.6050544357679999E-2</v>
      </c>
      <c r="D4">
        <v>1.7163930529238699E-2</v>
      </c>
      <c r="E4">
        <v>1.0493151563262901E-2</v>
      </c>
      <c r="F4">
        <v>1.8005323325930101E-3</v>
      </c>
      <c r="G4">
        <v>2.66203224685723E-4</v>
      </c>
      <c r="H4" s="17">
        <v>3.65783590271044E-5</v>
      </c>
      <c r="I4" s="17">
        <v>4.9052186089562704E-6</v>
      </c>
      <c r="J4" s="17">
        <v>6.5819233447887997E-7</v>
      </c>
      <c r="K4" s="17">
        <v>9.0093762439220395E-8</v>
      </c>
      <c r="L4" s="17">
        <v>1.3303228644360001E-8</v>
      </c>
      <c r="O4">
        <v>0.19605663380638799</v>
      </c>
      <c r="P4">
        <v>0.1443729038847</v>
      </c>
      <c r="Q4">
        <v>0.110893895013756</v>
      </c>
      <c r="R4">
        <v>9.0968181773985898E-2</v>
      </c>
      <c r="S4">
        <v>7.5711448270567805E-2</v>
      </c>
      <c r="T4">
        <v>1.5979345202331099E-2</v>
      </c>
      <c r="U4">
        <v>2.58102472389921E-3</v>
      </c>
      <c r="V4">
        <v>3.7307390277389299E-4</v>
      </c>
      <c r="W4" s="17">
        <v>5.2241598404763401E-5</v>
      </c>
      <c r="X4" s="17">
        <v>7.4354723212360699E-6</v>
      </c>
      <c r="Y4" s="17">
        <v>1.1192291281506101E-6</v>
      </c>
      <c r="Z4" s="17">
        <v>1.9101239287179501E-7</v>
      </c>
    </row>
    <row r="5" spans="1:26" x14ac:dyDescent="0.25">
      <c r="A5">
        <v>0.28020163200411302</v>
      </c>
      <c r="B5">
        <v>0.22270341454977999</v>
      </c>
      <c r="C5">
        <v>0.15814142175874199</v>
      </c>
      <c r="D5">
        <v>0.101509760926175</v>
      </c>
      <c r="E5">
        <v>5.5804071059881E-2</v>
      </c>
      <c r="F5">
        <v>2.4832082732603501E-2</v>
      </c>
      <c r="G5">
        <v>9.3058789880881808E-3</v>
      </c>
      <c r="H5">
        <v>3.1701680845230501E-3</v>
      </c>
      <c r="I5">
        <v>1.0307696536559199E-3</v>
      </c>
      <c r="J5">
        <v>3.2701140071411802E-4</v>
      </c>
      <c r="K5">
        <v>1.0184007426588701E-4</v>
      </c>
      <c r="L5" s="17">
        <v>3.1412738639530701E-5</v>
      </c>
      <c r="O5">
        <v>0.25950688049471299</v>
      </c>
      <c r="P5">
        <v>0.26852423379553497</v>
      </c>
      <c r="Q5">
        <v>0.23972654396763499</v>
      </c>
      <c r="R5">
        <v>0.19741571644390599</v>
      </c>
      <c r="S5">
        <v>0.154080696311161</v>
      </c>
      <c r="T5">
        <v>8.6757898347844697E-2</v>
      </c>
      <c r="U5">
        <v>3.5964810206823197E-2</v>
      </c>
      <c r="V5">
        <v>1.2983540260248901E-2</v>
      </c>
      <c r="W5">
        <v>4.4363688359800703E-3</v>
      </c>
      <c r="X5">
        <v>1.5055904907573701E-3</v>
      </c>
      <c r="Y5">
        <v>5.2253181429017697E-4</v>
      </c>
      <c r="Z5">
        <v>1.90152929604687E-4</v>
      </c>
    </row>
    <row r="6" spans="1:26" x14ac:dyDescent="0.25">
      <c r="A6">
        <v>0.51923218376132096</v>
      </c>
      <c r="B6">
        <v>0.49292671309735703</v>
      </c>
      <c r="C6">
        <v>0.399110044955577</v>
      </c>
      <c r="D6">
        <v>0.27267519681065</v>
      </c>
      <c r="E6">
        <v>0.14727388230323901</v>
      </c>
      <c r="F6">
        <v>9.1463584610422102E-2</v>
      </c>
      <c r="G6">
        <v>4.7305709985197002E-2</v>
      </c>
      <c r="H6">
        <v>2.1992149483579599E-2</v>
      </c>
      <c r="I6">
        <v>9.6413265992894293E-3</v>
      </c>
      <c r="J6">
        <v>4.0642791139048704E-3</v>
      </c>
      <c r="K6">
        <v>1.64649533293614E-3</v>
      </c>
      <c r="L6">
        <v>6.3736833890555501E-4</v>
      </c>
      <c r="O6">
        <v>0.32214929305724399</v>
      </c>
      <c r="P6">
        <v>0.404200599209591</v>
      </c>
      <c r="Q6">
        <v>0.41687875450082801</v>
      </c>
      <c r="R6">
        <v>0.37063625704116998</v>
      </c>
      <c r="S6">
        <v>0.28992703033411099</v>
      </c>
      <c r="T6">
        <v>0.230924060094404</v>
      </c>
      <c r="U6">
        <v>0.132899802871529</v>
      </c>
      <c r="V6">
        <v>6.5703337265155495E-2</v>
      </c>
      <c r="W6">
        <v>3.0361670673610199E-2</v>
      </c>
      <c r="X6">
        <v>1.37466697292112E-2</v>
      </c>
      <c r="Y6">
        <v>6.2455287735408201E-3</v>
      </c>
      <c r="Z6">
        <v>2.88030456237707E-3</v>
      </c>
    </row>
    <row r="7" spans="1:26" x14ac:dyDescent="0.25">
      <c r="A7">
        <v>7.7371112184274005E-2</v>
      </c>
      <c r="B7">
        <v>0.148989898340359</v>
      </c>
      <c r="C7">
        <v>0.24522677802972401</v>
      </c>
      <c r="D7">
        <v>0.32250086790057703</v>
      </c>
      <c r="E7">
        <v>0.29970538213854497</v>
      </c>
      <c r="F7">
        <v>0.37182629502790698</v>
      </c>
      <c r="G7">
        <v>0.411101363972603</v>
      </c>
      <c r="H7">
        <v>0.415905628128034</v>
      </c>
      <c r="I7">
        <v>0.39256015518877402</v>
      </c>
      <c r="J7">
        <v>0.34518985517296003</v>
      </c>
      <c r="K7">
        <v>0.27631297477862599</v>
      </c>
      <c r="L7">
        <v>0.19410655648022199</v>
      </c>
      <c r="O7">
        <v>1.55273177963276E-2</v>
      </c>
      <c r="P7">
        <v>4.1005867389486701E-2</v>
      </c>
      <c r="Q7">
        <v>8.8781217170379401E-2</v>
      </c>
      <c r="R7">
        <v>0.157340661586545</v>
      </c>
      <c r="S7">
        <v>0.22238243356239201</v>
      </c>
      <c r="T7">
        <v>0.36571941575999101</v>
      </c>
      <c r="U7">
        <v>0.45650195429567603</v>
      </c>
      <c r="V7">
        <v>0.49536390437530198</v>
      </c>
      <c r="W7">
        <v>0.496511914809521</v>
      </c>
      <c r="X7">
        <v>0.47358136016936397</v>
      </c>
      <c r="Y7">
        <v>0.43178624747713001</v>
      </c>
      <c r="Z7">
        <v>0.37012069128528202</v>
      </c>
    </row>
    <row r="8" spans="1:26" x14ac:dyDescent="0.25">
      <c r="A8">
        <v>4.1047833175598999E-2</v>
      </c>
      <c r="B8">
        <v>8.7029986006012194E-2</v>
      </c>
      <c r="C8">
        <v>0.15957213269602299</v>
      </c>
      <c r="D8">
        <v>0.23524853335493301</v>
      </c>
      <c r="E8">
        <v>0.24589566535513499</v>
      </c>
      <c r="F8">
        <v>0.29603739194121298</v>
      </c>
      <c r="G8">
        <v>0.33475741365436001</v>
      </c>
      <c r="H8">
        <v>0.35821837010257901</v>
      </c>
      <c r="I8">
        <v>0.36436653774307498</v>
      </c>
      <c r="J8">
        <v>0.34841338096310098</v>
      </c>
      <c r="K8">
        <v>0.30403111936919802</v>
      </c>
      <c r="L8">
        <v>0.23213921028701401</v>
      </c>
      <c r="O8">
        <v>7.3075361176306404E-3</v>
      </c>
      <c r="P8">
        <v>2.1210154609944701E-2</v>
      </c>
      <c r="Q8">
        <v>5.1076351592002203E-2</v>
      </c>
      <c r="R8">
        <v>0.10130057047541299</v>
      </c>
      <c r="S8">
        <v>0.160658356499296</v>
      </c>
      <c r="T8">
        <v>0.25598018584468002</v>
      </c>
      <c r="U8">
        <v>0.32656594089269703</v>
      </c>
      <c r="V8">
        <v>0.37466566130030698</v>
      </c>
      <c r="W8">
        <v>0.40455004361003599</v>
      </c>
      <c r="X8">
        <v>0.41940543278409498</v>
      </c>
      <c r="Y8">
        <v>0.41654506609748598</v>
      </c>
      <c r="Z8">
        <v>0.38763645690702497</v>
      </c>
    </row>
    <row r="9" spans="1:26" x14ac:dyDescent="0.25">
      <c r="A9">
        <v>1.8229284713287101E-4</v>
      </c>
      <c r="B9">
        <v>1.20624413971925E-3</v>
      </c>
      <c r="C9">
        <v>7.3289636915942003E-3</v>
      </c>
      <c r="D9">
        <v>3.5575952645799498E-2</v>
      </c>
      <c r="E9">
        <v>0.119295936412285</v>
      </c>
      <c r="F9">
        <v>0.10896758900303199</v>
      </c>
      <c r="G9">
        <v>0.10323474648717899</v>
      </c>
      <c r="H9">
        <v>0.108422598609246</v>
      </c>
      <c r="I9">
        <v>0.12892316902450601</v>
      </c>
      <c r="J9">
        <v>0.16782044440372099</v>
      </c>
      <c r="K9">
        <v>0.221527852265233</v>
      </c>
      <c r="L9">
        <v>0.26968492269260502</v>
      </c>
      <c r="O9" s="17">
        <v>8.36612168786536E-6</v>
      </c>
      <c r="P9" s="17">
        <v>7.9512863895516098E-5</v>
      </c>
      <c r="Q9">
        <v>6.6156067039688205E-4</v>
      </c>
      <c r="R9">
        <v>4.5207965847977403E-3</v>
      </c>
      <c r="S9">
        <v>2.45096756432567E-2</v>
      </c>
      <c r="T9">
        <v>3.0927903029804402E-2</v>
      </c>
      <c r="U9">
        <v>3.3685181837216797E-2</v>
      </c>
      <c r="V9">
        <v>3.83556747110722E-2</v>
      </c>
      <c r="W9">
        <v>4.88841127828979E-2</v>
      </c>
      <c r="X9">
        <v>6.9880746747047598E-2</v>
      </c>
      <c r="Y9">
        <v>0.10712641506102499</v>
      </c>
      <c r="Z9">
        <v>0.16396938237012601</v>
      </c>
    </row>
    <row r="10" spans="1:26" x14ac:dyDescent="0.25">
      <c r="A10" s="17">
        <v>2.5658850253229199E-6</v>
      </c>
      <c r="B10" s="17">
        <v>5.0177434719480199E-5</v>
      </c>
      <c r="C10">
        <v>9.0597161516168395E-4</v>
      </c>
      <c r="D10">
        <v>1.2720487956693101E-2</v>
      </c>
      <c r="E10">
        <v>0.11981625926844899</v>
      </c>
      <c r="F10">
        <v>0.104996833443915</v>
      </c>
      <c r="G10">
        <v>9.4025564896659503E-2</v>
      </c>
      <c r="H10">
        <v>9.2254382863761003E-2</v>
      </c>
      <c r="I10">
        <v>0.103473131565833</v>
      </c>
      <c r="J10">
        <v>0.13418437054504201</v>
      </c>
      <c r="K10">
        <v>0.19637962807682299</v>
      </c>
      <c r="L10">
        <v>0.303400516158917</v>
      </c>
      <c r="O10" s="17">
        <v>3.6523100489637898E-8</v>
      </c>
      <c r="P10" s="17">
        <v>1.06561018337243E-6</v>
      </c>
      <c r="Q10" s="17">
        <v>2.7232680634122102E-5</v>
      </c>
      <c r="R10">
        <v>5.5797749686569797E-4</v>
      </c>
      <c r="S10">
        <v>8.9356233103960892E-3</v>
      </c>
      <c r="T10">
        <v>1.1191309188150299E-2</v>
      </c>
      <c r="U10">
        <v>1.16946342534394E-2</v>
      </c>
      <c r="V10">
        <v>1.2550412523175699E-2</v>
      </c>
      <c r="W10">
        <v>1.52034649403317E-2</v>
      </c>
      <c r="X10">
        <v>2.18727566536468E-2</v>
      </c>
      <c r="Y10">
        <v>3.7773091170864699E-2</v>
      </c>
      <c r="Z10">
        <v>7.5202820906392104E-2</v>
      </c>
    </row>
    <row r="12" spans="1:26" x14ac:dyDescent="0.25">
      <c r="A12" t="s">
        <v>148</v>
      </c>
      <c r="O12" t="s">
        <v>151</v>
      </c>
    </row>
    <row r="13" spans="1:26" x14ac:dyDescent="0.25">
      <c r="A13">
        <v>-1299.47664581903</v>
      </c>
      <c r="B13">
        <v>-1299.1031492065399</v>
      </c>
      <c r="C13">
        <v>-1298.7308623159299</v>
      </c>
      <c r="D13">
        <v>-1298.35978563305</v>
      </c>
      <c r="E13">
        <v>-1297.98991964213</v>
      </c>
      <c r="F13">
        <v>-1297.6211907939701</v>
      </c>
      <c r="G13">
        <v>-1297.25359954127</v>
      </c>
      <c r="H13">
        <v>-1296.88722038593</v>
      </c>
      <c r="I13">
        <v>-1296.5219797458899</v>
      </c>
      <c r="J13">
        <v>-1296.1578780694499</v>
      </c>
      <c r="K13">
        <v>-1295.7948417248899</v>
      </c>
      <c r="L13">
        <v>-1295.07226308899</v>
      </c>
      <c r="O13">
        <v>576.90236680614203</v>
      </c>
      <c r="P13">
        <v>594.788048906433</v>
      </c>
      <c r="Q13">
        <v>611.34728583313097</v>
      </c>
      <c r="R13">
        <v>630.51160054625598</v>
      </c>
      <c r="S13">
        <v>659.63346511856503</v>
      </c>
      <c r="T13">
        <v>681.01765262296794</v>
      </c>
      <c r="U13">
        <v>690.88706577084599</v>
      </c>
      <c r="V13">
        <v>696.87689645545902</v>
      </c>
      <c r="W13">
        <v>702.15151612380396</v>
      </c>
      <c r="X13">
        <v>709.30098466185302</v>
      </c>
      <c r="Y13">
        <v>720.857353973302</v>
      </c>
      <c r="Z13">
        <v>739.51882457051499</v>
      </c>
    </row>
    <row r="14" spans="1:26" x14ac:dyDescent="0.25">
      <c r="A14">
        <v>-1075.9986520130501</v>
      </c>
      <c r="B14">
        <v>-1075.1227207284701</v>
      </c>
      <c r="C14">
        <v>-1074.24953781622</v>
      </c>
      <c r="D14">
        <v>-1073.3788865520301</v>
      </c>
      <c r="E14">
        <v>-1072.51088038788</v>
      </c>
      <c r="F14">
        <v>-1071.6454124996401</v>
      </c>
      <c r="G14">
        <v>-1070.78248614259</v>
      </c>
      <c r="H14">
        <v>-1069.9221045608101</v>
      </c>
      <c r="I14">
        <v>-1069.06438132576</v>
      </c>
      <c r="J14">
        <v>-1068.20898864334</v>
      </c>
      <c r="K14">
        <v>-1067.3562607398001</v>
      </c>
      <c r="L14">
        <v>-1065.65803903509</v>
      </c>
      <c r="O14">
        <v>360.63947733851899</v>
      </c>
      <c r="P14">
        <v>374.36802407891798</v>
      </c>
      <c r="Q14">
        <v>387.196704875156</v>
      </c>
      <c r="R14">
        <v>402.18032272411898</v>
      </c>
      <c r="S14">
        <v>425.21721032783699</v>
      </c>
      <c r="T14">
        <v>442.32847532273399</v>
      </c>
      <c r="U14">
        <v>450.27901770265998</v>
      </c>
      <c r="V14">
        <v>455.12017556599301</v>
      </c>
      <c r="W14">
        <v>459.39305955006301</v>
      </c>
      <c r="X14">
        <v>465.199133472982</v>
      </c>
      <c r="Y14">
        <v>474.61842267480199</v>
      </c>
      <c r="Z14">
        <v>489.91584340273999</v>
      </c>
    </row>
    <row r="15" spans="1:26" x14ac:dyDescent="0.25">
      <c r="A15">
        <v>-840.49330482627704</v>
      </c>
      <c r="B15">
        <v>-838.77491704304998</v>
      </c>
      <c r="C15">
        <v>-837.06150771384102</v>
      </c>
      <c r="D15">
        <v>-835.35344265570404</v>
      </c>
      <c r="E15">
        <v>-833.65037149286695</v>
      </c>
      <c r="F15">
        <v>-831.95212247586505</v>
      </c>
      <c r="G15">
        <v>-830.25906157125098</v>
      </c>
      <c r="H15">
        <v>-828.57083762609204</v>
      </c>
      <c r="I15">
        <v>-826.887637357426</v>
      </c>
      <c r="J15">
        <v>-825.20928860315303</v>
      </c>
      <c r="K15">
        <v>-823.53579852596704</v>
      </c>
      <c r="L15">
        <v>-820.20288351081604</v>
      </c>
      <c r="O15">
        <v>314.94032428569699</v>
      </c>
      <c r="P15">
        <v>328.101936922937</v>
      </c>
      <c r="Q15">
        <v>340.44634185531902</v>
      </c>
      <c r="R15">
        <v>354.91298470798802</v>
      </c>
      <c r="S15">
        <v>377.241539373595</v>
      </c>
      <c r="T15">
        <v>393.88289718219301</v>
      </c>
      <c r="U15">
        <v>401.628836192184</v>
      </c>
      <c r="V15">
        <v>406.34923278625098</v>
      </c>
      <c r="W15">
        <v>410.51778698968099</v>
      </c>
      <c r="X15">
        <v>416.18529990793502</v>
      </c>
      <c r="Y15">
        <v>425.38708598323001</v>
      </c>
      <c r="Z15">
        <v>440.34830862911798</v>
      </c>
    </row>
    <row r="16" spans="1:26" x14ac:dyDescent="0.25">
      <c r="A16">
        <v>-437.74623473656499</v>
      </c>
      <c r="B16">
        <v>-434.86512096258002</v>
      </c>
      <c r="C16">
        <v>-431.99292543213801</v>
      </c>
      <c r="D16">
        <v>-429.129394801079</v>
      </c>
      <c r="E16">
        <v>-426.27427524722202</v>
      </c>
      <c r="F16">
        <v>-423.42757857433003</v>
      </c>
      <c r="G16">
        <v>-420.58931654379302</v>
      </c>
      <c r="H16">
        <v>-417.75950087465401</v>
      </c>
      <c r="I16">
        <v>-414.93814324364399</v>
      </c>
      <c r="J16">
        <v>-412.12498875936501</v>
      </c>
      <c r="K16">
        <v>-409.31978206612899</v>
      </c>
      <c r="L16">
        <v>-403.734056219754</v>
      </c>
      <c r="O16">
        <v>272.248135435503</v>
      </c>
      <c r="P16">
        <v>285.17214169780601</v>
      </c>
      <c r="Q16">
        <v>297.325087110531</v>
      </c>
      <c r="R16">
        <v>311.60253372834001</v>
      </c>
      <c r="S16">
        <v>333.70560922764099</v>
      </c>
      <c r="T16">
        <v>350.22544136894902</v>
      </c>
      <c r="U16">
        <v>357.927011786565</v>
      </c>
      <c r="V16">
        <v>362.62393136850801</v>
      </c>
      <c r="W16">
        <v>366.77391503502798</v>
      </c>
      <c r="X16">
        <v>372.41933017762102</v>
      </c>
      <c r="Y16">
        <v>381.59265713110199</v>
      </c>
      <c r="Z16">
        <v>396.525985244666</v>
      </c>
    </row>
    <row r="17" spans="1:26" x14ac:dyDescent="0.25">
      <c r="A17">
        <v>-177.201282906134</v>
      </c>
      <c r="B17">
        <v>-174.105962395603</v>
      </c>
      <c r="C17">
        <v>-171.02032293752501</v>
      </c>
      <c r="D17">
        <v>-167.94409883974899</v>
      </c>
      <c r="E17">
        <v>-164.87730192290499</v>
      </c>
      <c r="F17">
        <v>-161.819665896483</v>
      </c>
      <c r="G17">
        <v>-158.77120219117299</v>
      </c>
      <c r="H17">
        <v>-155.73192219709301</v>
      </c>
      <c r="I17">
        <v>-152.701837263812</v>
      </c>
      <c r="J17">
        <v>-149.68068022816701</v>
      </c>
      <c r="K17">
        <v>-146.66846205844999</v>
      </c>
      <c r="L17">
        <v>-140.67032845512401</v>
      </c>
      <c r="O17">
        <v>298.03620802176403</v>
      </c>
      <c r="P17">
        <v>311.031180305634</v>
      </c>
      <c r="Q17">
        <v>323.25125076433397</v>
      </c>
      <c r="R17">
        <v>337.60688958182402</v>
      </c>
      <c r="S17">
        <v>359.82717364758901</v>
      </c>
      <c r="T17">
        <v>376.429910940073</v>
      </c>
      <c r="U17">
        <v>384.16842267490301</v>
      </c>
      <c r="V17">
        <v>388.887284121552</v>
      </c>
      <c r="W17">
        <v>393.05626725762301</v>
      </c>
      <c r="X17">
        <v>398.72692419669801</v>
      </c>
      <c r="Y17">
        <v>407.93972160400301</v>
      </c>
      <c r="Z17">
        <v>422.932992424053</v>
      </c>
    </row>
    <row r="18" spans="1:26" x14ac:dyDescent="0.25">
      <c r="A18">
        <v>722.72747420455096</v>
      </c>
      <c r="B18">
        <v>727.19904311027904</v>
      </c>
      <c r="C18">
        <v>731.65733511516703</v>
      </c>
      <c r="D18">
        <v>736.10196404931605</v>
      </c>
      <c r="E18">
        <v>740.53291113532498</v>
      </c>
      <c r="F18">
        <v>744.95089377450097</v>
      </c>
      <c r="G18">
        <v>749.35552600156495</v>
      </c>
      <c r="H18">
        <v>753.74678968138505</v>
      </c>
      <c r="I18">
        <v>758.12503523340604</v>
      </c>
      <c r="J18">
        <v>762.490613717918</v>
      </c>
      <c r="K18">
        <v>766.84313928435404</v>
      </c>
      <c r="L18">
        <v>775.51006912723403</v>
      </c>
      <c r="O18">
        <v>271.65095130489902</v>
      </c>
      <c r="P18">
        <v>284.33248465080999</v>
      </c>
      <c r="Q18">
        <v>296.277149382125</v>
      </c>
      <c r="R18">
        <v>310.33102260652402</v>
      </c>
      <c r="S18">
        <v>332.12569069606798</v>
      </c>
      <c r="T18">
        <v>348.439670186618</v>
      </c>
      <c r="U18">
        <v>356.05133334726099</v>
      </c>
      <c r="V18">
        <v>360.69511890163</v>
      </c>
      <c r="W18">
        <v>364.79916122134603</v>
      </c>
      <c r="X18">
        <v>370.38351404134602</v>
      </c>
      <c r="Y18">
        <v>379.46089996790698</v>
      </c>
      <c r="Z18">
        <v>394.24579642677099</v>
      </c>
    </row>
    <row r="19" spans="1:26" x14ac:dyDescent="0.25">
      <c r="A19">
        <v>865.96985037314505</v>
      </c>
      <c r="B19">
        <v>870.68372600627595</v>
      </c>
      <c r="C19">
        <v>875.38369607984396</v>
      </c>
      <c r="D19">
        <v>880.06899142233203</v>
      </c>
      <c r="E19">
        <v>884.74071847814901</v>
      </c>
      <c r="F19">
        <v>889.39810807032597</v>
      </c>
      <c r="G19">
        <v>894.04151682608301</v>
      </c>
      <c r="H19">
        <v>898.67092624447605</v>
      </c>
      <c r="I19">
        <v>903.287069728647</v>
      </c>
      <c r="J19">
        <v>907.88917764954499</v>
      </c>
      <c r="K19">
        <v>912.47798411373299</v>
      </c>
      <c r="L19">
        <v>921.61524672633197</v>
      </c>
      <c r="O19">
        <v>289.77519670954399</v>
      </c>
      <c r="P19">
        <v>302.68465528183998</v>
      </c>
      <c r="Q19">
        <v>314.82594530945198</v>
      </c>
      <c r="R19">
        <v>329.09078147832997</v>
      </c>
      <c r="S19">
        <v>351.17361571946799</v>
      </c>
      <c r="T19">
        <v>367.67565524294702</v>
      </c>
      <c r="U19">
        <v>375.36771707413402</v>
      </c>
      <c r="V19">
        <v>380.05838799022001</v>
      </c>
      <c r="W19">
        <v>384.20254433355302</v>
      </c>
      <c r="X19">
        <v>389.83954317621902</v>
      </c>
      <c r="Y19">
        <v>398.99790962034098</v>
      </c>
      <c r="Z19">
        <v>413.90317728486099</v>
      </c>
    </row>
    <row r="20" spans="1:26" x14ac:dyDescent="0.25">
      <c r="A20">
        <v>2451.6719380187201</v>
      </c>
      <c r="B20">
        <v>2458.2641237808298</v>
      </c>
      <c r="C20">
        <v>2464.8362881804601</v>
      </c>
      <c r="D20">
        <v>2471.38840608909</v>
      </c>
      <c r="E20">
        <v>2477.9199642255699</v>
      </c>
      <c r="F20">
        <v>2484.4319139670802</v>
      </c>
      <c r="G20">
        <v>2490.9237423979498</v>
      </c>
      <c r="H20">
        <v>2497.39591354088</v>
      </c>
      <c r="I20">
        <v>2503.8484032617498</v>
      </c>
      <c r="J20">
        <v>2510.2816766398</v>
      </c>
      <c r="K20">
        <v>2516.6957102410902</v>
      </c>
      <c r="L20">
        <v>2529.46694409156</v>
      </c>
      <c r="O20">
        <v>286.945455797477</v>
      </c>
      <c r="P20">
        <v>299.64170619241099</v>
      </c>
      <c r="Q20">
        <v>311.59362095857603</v>
      </c>
      <c r="R20">
        <v>325.648454309393</v>
      </c>
      <c r="S20">
        <v>347.42987373055303</v>
      </c>
      <c r="T20">
        <v>363.72328452868197</v>
      </c>
      <c r="U20">
        <v>371.32247064861201</v>
      </c>
      <c r="V20">
        <v>375.95778583509599</v>
      </c>
      <c r="W20">
        <v>380.05381494713799</v>
      </c>
      <c r="X20">
        <v>385.62648728118899</v>
      </c>
      <c r="Y20">
        <v>394.68302983743001</v>
      </c>
      <c r="Z20">
        <v>409.42926791629498</v>
      </c>
    </row>
    <row r="21" spans="1:26" x14ac:dyDescent="0.25">
      <c r="A21">
        <v>4356.6068159060096</v>
      </c>
      <c r="B21">
        <v>4365.3364385070099</v>
      </c>
      <c r="C21">
        <v>4374.0382887032301</v>
      </c>
      <c r="D21">
        <v>4382.712938396</v>
      </c>
      <c r="E21">
        <v>4391.3609604581598</v>
      </c>
      <c r="F21">
        <v>4399.9823232735798</v>
      </c>
      <c r="G21">
        <v>4408.5776010076997</v>
      </c>
      <c r="H21">
        <v>4417.1455511692002</v>
      </c>
      <c r="I21">
        <v>4425.6879601086202</v>
      </c>
      <c r="J21">
        <v>4434.2047979291101</v>
      </c>
      <c r="K21">
        <v>4442.69542835436</v>
      </c>
      <c r="L21">
        <v>4459.6003735656304</v>
      </c>
      <c r="O21">
        <v>283.350407441117</v>
      </c>
      <c r="P21">
        <v>296.01426534777698</v>
      </c>
      <c r="Q21">
        <v>307.93530443528903</v>
      </c>
      <c r="R21">
        <v>321.95336257040901</v>
      </c>
      <c r="S21">
        <v>343.676810685475</v>
      </c>
      <c r="T21">
        <v>359.92609338633503</v>
      </c>
      <c r="U21">
        <v>367.50447863350502</v>
      </c>
      <c r="V21">
        <v>372.12703786717799</v>
      </c>
      <c r="W21">
        <v>376.21175248856099</v>
      </c>
      <c r="X21">
        <v>381.76896751771</v>
      </c>
      <c r="Y21">
        <v>390.80023324286799</v>
      </c>
      <c r="Z21">
        <v>405.50490502982501</v>
      </c>
    </row>
    <row r="23" spans="1:26" x14ac:dyDescent="0.25">
      <c r="A23" t="s">
        <v>149</v>
      </c>
      <c r="O23" t="s">
        <v>152</v>
      </c>
    </row>
    <row r="24" spans="1:26" x14ac:dyDescent="0.25">
      <c r="A24">
        <v>6263.8702676046596</v>
      </c>
      <c r="B24">
        <v>7319.8370034490999</v>
      </c>
      <c r="C24">
        <v>8428.1954797520393</v>
      </c>
      <c r="D24">
        <v>9883.4337104588594</v>
      </c>
      <c r="E24">
        <v>12489.5556970694</v>
      </c>
      <c r="F24">
        <v>14740.7741516357</v>
      </c>
      <c r="G24">
        <v>15884.8193466585</v>
      </c>
      <c r="H24">
        <v>16613.1044673094</v>
      </c>
      <c r="I24">
        <v>17276.3804452119</v>
      </c>
      <c r="J24">
        <v>18209.4051769488</v>
      </c>
      <c r="K24">
        <v>19802.7651855554</v>
      </c>
      <c r="L24">
        <v>22607.821551983499</v>
      </c>
      <c r="O24">
        <v>16.042900085449201</v>
      </c>
      <c r="P24">
        <v>30.069900512695298</v>
      </c>
      <c r="Q24">
        <v>44.097000122070298</v>
      </c>
      <c r="R24">
        <v>58.124000549316399</v>
      </c>
      <c r="S24">
        <v>58.124000549316399</v>
      </c>
      <c r="T24">
        <v>72.1510009765625</v>
      </c>
      <c r="U24">
        <v>72.1510009765625</v>
      </c>
      <c r="V24">
        <v>86.177902221679702</v>
      </c>
      <c r="W24">
        <v>100.205001831055</v>
      </c>
    </row>
    <row r="25" spans="1:26" x14ac:dyDescent="0.25">
      <c r="A25">
        <v>1369.0369749052099</v>
      </c>
      <c r="B25">
        <v>1582.9193902207701</v>
      </c>
      <c r="C25">
        <v>1790.7097477813099</v>
      </c>
      <c r="D25">
        <v>2045.1729875353999</v>
      </c>
      <c r="E25">
        <v>2465.2938390563399</v>
      </c>
      <c r="F25">
        <v>2802.0821654884899</v>
      </c>
      <c r="G25">
        <v>2965.81706403718</v>
      </c>
      <c r="H25">
        <v>3067.5883961706099</v>
      </c>
      <c r="I25">
        <v>3158.9565132961998</v>
      </c>
      <c r="J25">
        <v>3286.26535582818</v>
      </c>
      <c r="K25">
        <v>3500.3608630108502</v>
      </c>
      <c r="L25">
        <v>3865.9452344134402</v>
      </c>
    </row>
    <row r="26" spans="1:26" x14ac:dyDescent="0.25">
      <c r="A26">
        <v>269.95264768648298</v>
      </c>
      <c r="B26">
        <v>575.94119889317199</v>
      </c>
      <c r="C26">
        <v>831.84246653238699</v>
      </c>
      <c r="D26">
        <v>1113.73327309309</v>
      </c>
      <c r="E26">
        <v>1533.50365636786</v>
      </c>
      <c r="F26">
        <v>1842.0804172047499</v>
      </c>
      <c r="G26">
        <v>1984.7179788265701</v>
      </c>
      <c r="H26">
        <v>2070.9493826283001</v>
      </c>
      <c r="I26">
        <v>2147.0771833966801</v>
      </c>
      <c r="J26">
        <v>2252.02324786279</v>
      </c>
      <c r="K26">
        <v>2425.4262334806099</v>
      </c>
      <c r="L26">
        <v>2710.7344559575899</v>
      </c>
      <c r="O26" t="s">
        <v>153</v>
      </c>
    </row>
    <row r="27" spans="1:26" x14ac:dyDescent="0.25">
      <c r="A27">
        <v>7618.7027232011296</v>
      </c>
      <c r="B27">
        <v>-2798.2808229074099</v>
      </c>
      <c r="C27">
        <v>-869.05946901602204</v>
      </c>
      <c r="D27">
        <v>-82.149353105680802</v>
      </c>
      <c r="E27">
        <v>634.04357463124904</v>
      </c>
      <c r="F27">
        <v>1054.9257746118101</v>
      </c>
      <c r="G27">
        <v>1235.21838247286</v>
      </c>
      <c r="H27">
        <v>1340.8764372120399</v>
      </c>
      <c r="I27">
        <v>1432.5052144893</v>
      </c>
      <c r="J27">
        <v>1557.21591587991</v>
      </c>
      <c r="K27">
        <v>1759.6146229620799</v>
      </c>
      <c r="L27">
        <v>2082.6578643159401</v>
      </c>
      <c r="O27" s="14">
        <f>O2*O13*O$24</f>
        <v>622.55220994432102</v>
      </c>
      <c r="P27" s="14">
        <f>P2*P13*P$24</f>
        <v>700.69586450833867</v>
      </c>
      <c r="Q27" s="14">
        <f>Q2*Q13*Q$24</f>
        <v>808.11050267610847</v>
      </c>
      <c r="R27" s="14">
        <f>R2*R13*R$24</f>
        <v>921.44143833056501</v>
      </c>
      <c r="S27" s="14">
        <f t="shared" ref="S27:W27" si="0">S2*S13*S$24</f>
        <v>776.34518669370857</v>
      </c>
      <c r="T27" s="14">
        <f t="shared" si="0"/>
        <v>6.9015987832853174</v>
      </c>
      <c r="U27" s="14">
        <f t="shared" si="0"/>
        <v>4.35031420050115E-2</v>
      </c>
      <c r="V27" s="14">
        <f t="shared" si="0"/>
        <v>3.2496431691437085E-4</v>
      </c>
      <c r="W27" s="14">
        <f t="shared" si="0"/>
        <v>2.4982835275868282E-6</v>
      </c>
      <c r="X27" s="14">
        <f>X2*X13*X$24</f>
        <v>0</v>
      </c>
      <c r="Y27" s="14">
        <f t="shared" ref="Y27:Z27" si="1">Y2*Y13*Y$24</f>
        <v>0</v>
      </c>
      <c r="Z27" s="14">
        <f t="shared" si="1"/>
        <v>0</v>
      </c>
    </row>
    <row r="28" spans="1:26" x14ac:dyDescent="0.25">
      <c r="A28">
        <v>984.71654806750098</v>
      </c>
      <c r="B28">
        <v>3026.16076332385</v>
      </c>
      <c r="C28">
        <v>-13841.694732059799</v>
      </c>
      <c r="D28">
        <v>-1542.9924975753399</v>
      </c>
      <c r="E28">
        <v>-35.080797537678897</v>
      </c>
      <c r="F28">
        <v>522.442577052057</v>
      </c>
      <c r="G28">
        <v>736.58258935287802</v>
      </c>
      <c r="H28">
        <v>857.73730176100503</v>
      </c>
      <c r="I28">
        <v>960.77318578164295</v>
      </c>
      <c r="J28">
        <v>1098.69191359102</v>
      </c>
      <c r="K28">
        <v>1317.9201794062801</v>
      </c>
      <c r="L28">
        <v>1658.5308180249001</v>
      </c>
      <c r="O28" s="14">
        <f>O3*O14*$P24</f>
        <v>1433.3979490706713</v>
      </c>
      <c r="P28" s="14">
        <f>P3*P14*$P24</f>
        <v>916.65527616415227</v>
      </c>
      <c r="Q28" s="14">
        <f t="shared" ref="Q28:W28" si="2">Q3*Q14*$P24</f>
        <v>721.61291578164628</v>
      </c>
      <c r="R28" s="14">
        <f t="shared" si="2"/>
        <v>630.27470421116425</v>
      </c>
      <c r="S28" s="14">
        <f t="shared" si="2"/>
        <v>556.79030810989741</v>
      </c>
      <c r="T28" s="14">
        <f t="shared" si="2"/>
        <v>31.648175421675301</v>
      </c>
      <c r="U28" s="14">
        <f t="shared" si="2"/>
        <v>1.4322205440937776</v>
      </c>
      <c r="V28" s="14">
        <f t="shared" si="2"/>
        <v>6.0082419863525034E-2</v>
      </c>
      <c r="W28" s="14">
        <f t="shared" si="2"/>
        <v>2.5238872287382244E-3</v>
      </c>
      <c r="X28" s="14">
        <f>X3*X14*$P24</f>
        <v>1.1125211713067587E-4</v>
      </c>
      <c r="Y28" s="14">
        <f t="shared" ref="Y28:Z28" si="3">Y3*Y14*$P24</f>
        <v>5.373670730667347E-6</v>
      </c>
      <c r="Z28" s="14">
        <f t="shared" si="3"/>
        <v>3.1733365193847577E-7</v>
      </c>
    </row>
    <row r="29" spans="1:26" x14ac:dyDescent="0.25">
      <c r="A29">
        <v>-1175.74384510965</v>
      </c>
      <c r="B29">
        <v>-812.43747225009304</v>
      </c>
      <c r="C29">
        <v>-432.97430594222999</v>
      </c>
      <c r="D29">
        <v>109.47106641033</v>
      </c>
      <c r="E29">
        <v>1728.6820117928301</v>
      </c>
      <c r="F29">
        <v>35433.566615344003</v>
      </c>
      <c r="G29">
        <v>-5291.4331794249101</v>
      </c>
      <c r="H29">
        <v>-2954.5590381810398</v>
      </c>
      <c r="I29">
        <v>-2012.55360439476</v>
      </c>
      <c r="J29">
        <v>-1254.8606045530901</v>
      </c>
      <c r="K29">
        <v>-521.97622287602496</v>
      </c>
      <c r="L29">
        <v>198.71462825206299</v>
      </c>
      <c r="O29" s="14">
        <f>O4*O15*$Q24</f>
        <v>2722.8195355920393</v>
      </c>
      <c r="P29" s="14">
        <f>P4*P15*$Q24</f>
        <v>2088.8320953999159</v>
      </c>
      <c r="Q29" s="14">
        <f t="shared" ref="Q29:W29" si="4">Q4*Q15*$Q24</f>
        <v>1664.8126056619742</v>
      </c>
      <c r="R29" s="14">
        <f t="shared" si="4"/>
        <v>1423.7064373671235</v>
      </c>
      <c r="S29" s="14">
        <f t="shared" si="4"/>
        <v>1259.4766142329145</v>
      </c>
      <c r="T29" s="14">
        <f t="shared" si="4"/>
        <v>277.54611234251229</v>
      </c>
      <c r="U29" s="14">
        <f t="shared" si="4"/>
        <v>45.71156574616321</v>
      </c>
      <c r="V29" s="14">
        <f t="shared" si="4"/>
        <v>6.6850299962883559</v>
      </c>
      <c r="W29" s="14">
        <f t="shared" si="4"/>
        <v>0.9457089109392206</v>
      </c>
      <c r="X29" s="14">
        <f>X4*X15*$Q24</f>
        <v>0.13645967843342835</v>
      </c>
      <c r="Y29" s="14">
        <f t="shared" ref="Y29:Z29" si="5">Y4*Y15*$Q24</f>
        <v>2.0994829467351116E-2</v>
      </c>
      <c r="Z29" s="14">
        <f t="shared" si="5"/>
        <v>3.7090861743730224E-3</v>
      </c>
    </row>
    <row r="30" spans="1:26" x14ac:dyDescent="0.25">
      <c r="A30">
        <v>-1426.6501101710501</v>
      </c>
      <c r="B30">
        <v>-1066.56985929345</v>
      </c>
      <c r="C30">
        <v>-700.52039080006398</v>
      </c>
      <c r="D30">
        <v>-204.93560939492701</v>
      </c>
      <c r="E30">
        <v>969.57036884329398</v>
      </c>
      <c r="F30">
        <v>4002.2664233426999</v>
      </c>
      <c r="G30">
        <v>23873.666641700602</v>
      </c>
      <c r="H30">
        <v>-12876.3439024571</v>
      </c>
      <c r="I30">
        <v>-5306.6646383215002</v>
      </c>
      <c r="J30">
        <v>-2736.82784761947</v>
      </c>
      <c r="K30">
        <v>-1236.1555617849799</v>
      </c>
      <c r="L30">
        <v>-191.44853427055699</v>
      </c>
      <c r="O30" s="14">
        <f>O5*O16*$R24</f>
        <v>4106.4760037358546</v>
      </c>
      <c r="P30" s="14">
        <f>P5*P16*$R24</f>
        <v>4450.8820095451902</v>
      </c>
      <c r="Q30" s="14">
        <f t="shared" ref="Q30:W30" si="6">Q5*Q16*$R24</f>
        <v>4142.887854821136</v>
      </c>
      <c r="R30" s="14">
        <f t="shared" si="6"/>
        <v>3575.5116948536656</v>
      </c>
      <c r="S30" s="14">
        <f t="shared" si="6"/>
        <v>2988.5961824296228</v>
      </c>
      <c r="T30" s="14">
        <f t="shared" si="6"/>
        <v>1766.0874827575269</v>
      </c>
      <c r="U30" s="14">
        <f t="shared" si="6"/>
        <v>748.21730013938316</v>
      </c>
      <c r="V30" s="14">
        <f t="shared" si="6"/>
        <v>273.6560721560391</v>
      </c>
      <c r="W30" s="14">
        <f t="shared" si="6"/>
        <v>94.576140052948972</v>
      </c>
      <c r="X30" s="14">
        <f>X5*X16*$R24</f>
        <v>32.590766593466888</v>
      </c>
      <c r="Y30" s="14">
        <f t="shared" ref="Y30:Z30" si="7">Y5*Y16*$R24</f>
        <v>11.589594603288827</v>
      </c>
      <c r="Z30" s="14">
        <f t="shared" si="7"/>
        <v>4.3825832230630191</v>
      </c>
    </row>
    <row r="31" spans="1:26" x14ac:dyDescent="0.25">
      <c r="A31">
        <v>-3696.4450039411599</v>
      </c>
      <c r="B31">
        <v>-3346.4189165693901</v>
      </c>
      <c r="C31">
        <v>-3014.9219580313002</v>
      </c>
      <c r="D31">
        <v>-2618.4952248033401</v>
      </c>
      <c r="E31">
        <v>-1980.7905085217301</v>
      </c>
      <c r="F31">
        <v>-1480.9942723208001</v>
      </c>
      <c r="G31">
        <v>-1241.5298245547399</v>
      </c>
      <c r="H31">
        <v>-1094.7393421169299</v>
      </c>
      <c r="I31">
        <v>-962.51757643214899</v>
      </c>
      <c r="J31">
        <v>-771.01783000445005</v>
      </c>
      <c r="K31">
        <v>-426.089099929052</v>
      </c>
      <c r="L31">
        <v>255.85986679544101</v>
      </c>
      <c r="O31" s="14">
        <f>O6*O17*$S24</f>
        <v>5580.6104755433234</v>
      </c>
      <c r="P31" s="14">
        <f>P6*P17*$S24</f>
        <v>7307.2906119910094</v>
      </c>
      <c r="Q31" s="14">
        <f t="shared" ref="Q31:W31" si="8">Q6*Q17*$S24</f>
        <v>7832.5914607456543</v>
      </c>
      <c r="R31" s="14">
        <f t="shared" si="8"/>
        <v>7273.0186351632319</v>
      </c>
      <c r="S31" s="14">
        <f t="shared" si="8"/>
        <v>6063.7063722403273</v>
      </c>
      <c r="T31" s="14">
        <f t="shared" si="8"/>
        <v>5052.5289172136872</v>
      </c>
      <c r="U31" s="14">
        <f t="shared" si="8"/>
        <v>2967.5736038853033</v>
      </c>
      <c r="V31" s="14">
        <f t="shared" si="8"/>
        <v>1485.1375203242317</v>
      </c>
      <c r="W31" s="14">
        <f t="shared" si="8"/>
        <v>693.64281000346739</v>
      </c>
      <c r="X31" s="14">
        <f>X6*X17*$S24</f>
        <v>318.58737342736231</v>
      </c>
      <c r="Y31" s="14">
        <f t="shared" ref="Y31:Z31" si="9">Y6*Y17*$S24</f>
        <v>148.08828611950818</v>
      </c>
      <c r="Z31" s="14">
        <f t="shared" si="9"/>
        <v>70.805252476003275</v>
      </c>
    </row>
    <row r="32" spans="1:26" x14ac:dyDescent="0.25">
      <c r="A32">
        <v>-6200.6347064703996</v>
      </c>
      <c r="B32">
        <v>-5819.4122755183298</v>
      </c>
      <c r="C32">
        <v>-5461.6578298621698</v>
      </c>
      <c r="D32">
        <v>-5038.9966371534802</v>
      </c>
      <c r="E32">
        <v>-4376.2429038735199</v>
      </c>
      <c r="F32">
        <v>-3880.7050042841502</v>
      </c>
      <c r="G32">
        <v>-3654.5914422739002</v>
      </c>
      <c r="H32">
        <v>-3520.7817566960898</v>
      </c>
      <c r="I32">
        <v>-3403.56994799207</v>
      </c>
      <c r="J32">
        <v>-3239.2279649768998</v>
      </c>
      <c r="K32">
        <v>-2962.8579413668699</v>
      </c>
      <c r="L32">
        <v>-2510.7919154278902</v>
      </c>
      <c r="O32" s="14">
        <f>O7*O18*$T24</f>
        <v>304.33369056957292</v>
      </c>
      <c r="P32" s="14">
        <f>P7*P18*$T24</f>
        <v>841.23017723844771</v>
      </c>
      <c r="Q32" s="14">
        <f t="shared" ref="Q32:W32" si="10">Q7*Q18*$T24</f>
        <v>1897.8488142424862</v>
      </c>
      <c r="R32" s="14">
        <f t="shared" si="10"/>
        <v>3522.9665939901051</v>
      </c>
      <c r="S32" s="14">
        <f t="shared" si="10"/>
        <v>5328.9949618309302</v>
      </c>
      <c r="T32" s="14">
        <f t="shared" si="10"/>
        <v>9194.2852162826111</v>
      </c>
      <c r="U32" s="14">
        <f t="shared" si="10"/>
        <v>11727.288740471156</v>
      </c>
      <c r="V32" s="14">
        <f t="shared" si="10"/>
        <v>12891.604803140477</v>
      </c>
      <c r="W32" s="14">
        <f t="shared" si="10"/>
        <v>13068.503737762932</v>
      </c>
      <c r="X32" s="14">
        <f>X7*X18*$T24</f>
        <v>12655.771029487272</v>
      </c>
      <c r="Y32" s="14">
        <f t="shared" ref="Y32:Z32" si="11">Y7*Y18*$T24</f>
        <v>11821.652766136611</v>
      </c>
      <c r="Z32" s="14">
        <f t="shared" si="11"/>
        <v>10528.167763136838</v>
      </c>
    </row>
    <row r="33" spans="1:26" x14ac:dyDescent="0.25">
      <c r="O33" s="14">
        <f>O8*O19*$U24</f>
        <v>152.78282656631421</v>
      </c>
      <c r="P33" s="14">
        <f>P8*P19*$U24</f>
        <v>463.20858474251048</v>
      </c>
      <c r="Q33" s="14">
        <f t="shared" ref="Q33:W33" si="12">Q8*Q19*$U24</f>
        <v>1160.1996884144132</v>
      </c>
      <c r="R33" s="14">
        <f t="shared" si="12"/>
        <v>2405.3039731656509</v>
      </c>
      <c r="S33" s="14">
        <f t="shared" si="12"/>
        <v>4070.685588677879</v>
      </c>
      <c r="T33" s="14">
        <f t="shared" si="12"/>
        <v>6790.6850062734002</v>
      </c>
      <c r="U33" s="14">
        <f t="shared" si="12"/>
        <v>8844.4364916852501</v>
      </c>
      <c r="V33" s="14">
        <f t="shared" si="12"/>
        <v>10273.92932134916</v>
      </c>
      <c r="W33" s="14">
        <f t="shared" si="12"/>
        <v>11214.369191048383</v>
      </c>
      <c r="X33" s="14">
        <f>X8*X19*$U24</f>
        <v>11796.747991036094</v>
      </c>
      <c r="Y33" s="14">
        <f t="shared" ref="Y33:Z33" si="13">Y8*Y19*$U24</f>
        <v>11991.540420271838</v>
      </c>
      <c r="Z33" s="14">
        <f t="shared" si="13"/>
        <v>11576.192397275479</v>
      </c>
    </row>
    <row r="34" spans="1:26" x14ac:dyDescent="0.25">
      <c r="A34" t="s">
        <v>150</v>
      </c>
      <c r="O34" s="14">
        <f>O9*O20*$V24</f>
        <v>0.20688044742274947</v>
      </c>
      <c r="P34" s="14">
        <f>P9*P20*$V24</f>
        <v>2.0532204236544351</v>
      </c>
      <c r="Q34" s="14">
        <f t="shared" ref="Q34:W34" si="14">Q9*Q20*$V24</f>
        <v>17.764547713710154</v>
      </c>
      <c r="R34" s="14">
        <f t="shared" si="14"/>
        <v>126.87028207391371</v>
      </c>
      <c r="S34" s="14">
        <f t="shared" si="14"/>
        <v>733.83874962116192</v>
      </c>
      <c r="T34" s="14">
        <f t="shared" si="14"/>
        <v>969.43232612887948</v>
      </c>
      <c r="U34" s="14">
        <f t="shared" si="14"/>
        <v>1077.9187977301654</v>
      </c>
      <c r="V34" s="14">
        <f t="shared" si="14"/>
        <v>1242.6952207316767</v>
      </c>
      <c r="W34" s="14">
        <f t="shared" si="14"/>
        <v>1601.0642186652415</v>
      </c>
      <c r="X34" s="14">
        <f>X9*X20*$V24</f>
        <v>2322.3106385023721</v>
      </c>
      <c r="Y34" s="14">
        <f t="shared" ref="Y34:Z34" si="15">Y9*Y20*$V24</f>
        <v>3643.6859941178232</v>
      </c>
      <c r="Z34" s="14">
        <f t="shared" si="15"/>
        <v>5785.4555834543089</v>
      </c>
    </row>
    <row r="35" spans="1:26" x14ac:dyDescent="0.25">
      <c r="A35">
        <v>-782.925909841151</v>
      </c>
      <c r="B35">
        <v>-2567.94839626155</v>
      </c>
      <c r="C35">
        <v>-4251.2733576319497</v>
      </c>
      <c r="D35">
        <v>-5230.4913195854397</v>
      </c>
      <c r="E35">
        <v>-6017.6578388620501</v>
      </c>
      <c r="F35">
        <v>-7155.0313880022404</v>
      </c>
      <c r="G35">
        <v>-7494.6618566940297</v>
      </c>
      <c r="H35">
        <v>-8860.4245629270499</v>
      </c>
      <c r="I35">
        <v>-9838.2905069587505</v>
      </c>
      <c r="O35" s="14">
        <f>O10*O21*$W24</f>
        <v>1.0370050706824368E-3</v>
      </c>
      <c r="P35" s="14">
        <f>P10*P21*$W24</f>
        <v>3.1608246477583812E-2</v>
      </c>
      <c r="Q35" s="14">
        <f t="shared" ref="Q35:W35" si="16">Q10*Q21*$W24</f>
        <v>0.84030950580012986</v>
      </c>
      <c r="R35" s="14">
        <f t="shared" si="16"/>
        <v>18.001100224316531</v>
      </c>
      <c r="S35" s="14">
        <f t="shared" si="16"/>
        <v>307.7262058402448</v>
      </c>
      <c r="T35" s="14">
        <f t="shared" si="16"/>
        <v>403.63017603269759</v>
      </c>
      <c r="U35" s="14">
        <f t="shared" si="16"/>
        <v>430.6641095266861</v>
      </c>
      <c r="V35" s="14">
        <f t="shared" si="16"/>
        <v>467.99221348414801</v>
      </c>
      <c r="W35" s="14">
        <f t="shared" si="16"/>
        <v>573.14477243194995</v>
      </c>
      <c r="X35" s="14">
        <f>X10*X21*$W24</f>
        <v>836.74580737632527</v>
      </c>
      <c r="Y35" s="14">
        <f t="shared" ref="Y35" si="17">Y10*Y21*$W24</f>
        <v>1479.1994662495238</v>
      </c>
      <c r="Z35" s="14">
        <f>Z10*Z21*$W24</f>
        <v>3055.762828914048</v>
      </c>
    </row>
    <row r="36" spans="1:26" x14ac:dyDescent="0.25">
      <c r="O36" s="26">
        <f>SUM(O27:O35)</f>
        <v>14923.180608474588</v>
      </c>
      <c r="P36" s="26">
        <f t="shared" ref="P36:W36" si="18">SUM(P27:P35)</f>
        <v>16770.879448259697</v>
      </c>
      <c r="Q36" s="26">
        <f t="shared" si="18"/>
        <v>18246.668699562924</v>
      </c>
      <c r="R36" s="26">
        <f t="shared" si="18"/>
        <v>19897.094859379733</v>
      </c>
      <c r="S36" s="26">
        <f t="shared" si="18"/>
        <v>22086.160169676685</v>
      </c>
      <c r="T36" s="26">
        <f t="shared" si="18"/>
        <v>24492.745011236275</v>
      </c>
      <c r="U36" s="26">
        <f t="shared" si="18"/>
        <v>25843.286332870208</v>
      </c>
      <c r="V36" s="26">
        <f t="shared" si="18"/>
        <v>26641.760588566201</v>
      </c>
      <c r="W36" s="26">
        <f t="shared" si="18"/>
        <v>27246.249105261377</v>
      </c>
      <c r="X36" s="26">
        <f>SUM(X27:X35)</f>
        <v>27962.890177353445</v>
      </c>
      <c r="Y36" s="26">
        <f t="shared" ref="Y36" si="19">SUM(Y27:Y35)</f>
        <v>29095.777527701728</v>
      </c>
      <c r="Z36" s="26">
        <f t="shared" ref="Z36" si="20">SUM(Z27:Z35)</f>
        <v>31020.77011788325</v>
      </c>
    </row>
    <row r="37" spans="1:26" x14ac:dyDescent="0.25">
      <c r="A37" t="s">
        <v>139</v>
      </c>
      <c r="O37">
        <v>14923.1806084746</v>
      </c>
      <c r="P37">
        <v>16444.018998998199</v>
      </c>
      <c r="Q37">
        <v>17732.556337725098</v>
      </c>
      <c r="R37">
        <v>19229.9819736268</v>
      </c>
      <c r="S37">
        <v>21524.095282760001</v>
      </c>
      <c r="T37">
        <v>24487.377994900999</v>
      </c>
      <c r="U37">
        <v>25843.252502727199</v>
      </c>
      <c r="V37">
        <v>26641.7603240973</v>
      </c>
      <c r="W37">
        <v>27246.2491031631</v>
      </c>
      <c r="X37">
        <v>27962.890177356301</v>
      </c>
      <c r="Y37">
        <v>29095.777527701801</v>
      </c>
      <c r="Z37">
        <v>31020.770117883301</v>
      </c>
    </row>
    <row r="38" spans="1:26" x14ac:dyDescent="0.25">
      <c r="A38" s="4">
        <v>-74900</v>
      </c>
      <c r="B38" s="4">
        <v>-84738</v>
      </c>
      <c r="C38" s="4">
        <v>-103890</v>
      </c>
      <c r="D38" s="4">
        <v>-134590</v>
      </c>
      <c r="E38" s="4">
        <v>-126190</v>
      </c>
      <c r="F38" s="4">
        <v>-154590</v>
      </c>
      <c r="G38" s="4">
        <v>-146490</v>
      </c>
      <c r="H38" s="4">
        <v>-167290</v>
      </c>
      <c r="I38" s="4">
        <v>-187890</v>
      </c>
      <c r="O38" s="14">
        <f>O36-O37</f>
        <v>0</v>
      </c>
      <c r="P38" s="14">
        <f t="shared" ref="P38:Z38" si="21">P36-P37</f>
        <v>326.86044926149771</v>
      </c>
      <c r="Q38" s="14">
        <f t="shared" si="21"/>
        <v>514.11236183782603</v>
      </c>
      <c r="R38" s="14">
        <f t="shared" si="21"/>
        <v>667.11288575293293</v>
      </c>
      <c r="S38" s="14">
        <f t="shared" si="21"/>
        <v>562.06488691668346</v>
      </c>
      <c r="T38" s="14">
        <f t="shared" si="21"/>
        <v>5.3670163352762756</v>
      </c>
      <c r="U38" s="14">
        <f t="shared" si="21"/>
        <v>3.3830143009254243E-2</v>
      </c>
      <c r="V38" s="14">
        <f t="shared" si="21"/>
        <v>2.6446890115039423E-4</v>
      </c>
      <c r="W38" s="14">
        <f t="shared" si="21"/>
        <v>2.0982770365662873E-6</v>
      </c>
      <c r="X38" s="14">
        <f t="shared" si="21"/>
        <v>-2.8558133635669947E-9</v>
      </c>
      <c r="Y38" s="14">
        <f t="shared" si="21"/>
        <v>-7.2759576141834259E-11</v>
      </c>
      <c r="Z38" s="14">
        <f t="shared" si="21"/>
        <v>-5.0931703299283981E-11</v>
      </c>
    </row>
    <row r="40" spans="1:26" x14ac:dyDescent="0.25">
      <c r="A40" t="s">
        <v>154</v>
      </c>
    </row>
    <row r="41" spans="1:26" x14ac:dyDescent="0.25">
      <c r="A41" s="14">
        <f>($A38+(A13+A24-$A35)*4.1868)*A2</f>
        <v>-25.958128184307942</v>
      </c>
      <c r="B41" s="14">
        <f t="shared" ref="B41:L41" si="22">($A38+(B13+B24-$A35)*4.1868)*B2</f>
        <v>-12.457110917924572</v>
      </c>
      <c r="C41" s="14">
        <f t="shared" si="22"/>
        <v>-7.849909185232705</v>
      </c>
      <c r="D41" s="14">
        <f t="shared" si="22"/>
        <v>-5.1048444650466109</v>
      </c>
      <c r="E41" s="14">
        <f t="shared" si="22"/>
        <v>-2.4877059269634949</v>
      </c>
      <c r="F41" s="14">
        <f t="shared" si="22"/>
        <v>-9.7549773179347841E-3</v>
      </c>
      <c r="G41" s="14">
        <f t="shared" si="22"/>
        <v>-4.0135328276808082E-5</v>
      </c>
      <c r="H41" s="14">
        <f t="shared" si="22"/>
        <v>-1.7326696692975937E-7</v>
      </c>
      <c r="I41" s="14">
        <f t="shared" si="22"/>
        <v>-7.0330653105085446E-10</v>
      </c>
      <c r="J41" s="14">
        <f t="shared" si="22"/>
        <v>-8.4498468455776368E-13</v>
      </c>
      <c r="K41" s="14">
        <f t="shared" si="22"/>
        <v>4.7504233499025893E-14</v>
      </c>
      <c r="L41" s="14">
        <f t="shared" si="22"/>
        <v>1.3767169201601234E-15</v>
      </c>
      <c r="O41">
        <v>1</v>
      </c>
      <c r="P41">
        <v>0</v>
      </c>
    </row>
    <row r="42" spans="1:26" x14ac:dyDescent="0.25">
      <c r="A42" s="14">
        <f>($B38+(A14+A25-$B35)*4.1868)*A3</f>
        <v>-757.32168849035975</v>
      </c>
      <c r="B42" s="14">
        <f t="shared" ref="B42:L42" si="23">($B38+(B14+B25-$B35)*4.1868)*B3</f>
        <v>-384.19506324013167</v>
      </c>
      <c r="C42" s="14">
        <f t="shared" si="23"/>
        <v>-246.76600516998153</v>
      </c>
      <c r="D42" s="14">
        <f t="shared" si="23"/>
        <v>-172.15085971269818</v>
      </c>
      <c r="E42" s="14">
        <f t="shared" si="23"/>
        <v>-110.08430962688399</v>
      </c>
      <c r="F42" s="14">
        <f t="shared" si="23"/>
        <v>-5.0092794033254018</v>
      </c>
      <c r="G42" s="14">
        <f t="shared" si="23"/>
        <v>-0.20575223381605756</v>
      </c>
      <c r="H42" s="14">
        <f t="shared" si="23"/>
        <v>-8.1599272349974789E-3</v>
      </c>
      <c r="I42" s="14">
        <f t="shared" si="23"/>
        <v>-3.2658125398064695E-4</v>
      </c>
      <c r="J42" s="14">
        <f t="shared" si="23"/>
        <v>-1.3471918948113851E-5</v>
      </c>
      <c r="K42" s="14">
        <f t="shared" si="23"/>
        <v>-5.8412730132228511E-7</v>
      </c>
      <c r="L42" s="14">
        <f t="shared" si="23"/>
        <v>-2.9151207917854974E-8</v>
      </c>
      <c r="O42">
        <v>2</v>
      </c>
      <c r="P42">
        <f>P41+1/$O$52</f>
        <v>8.3333333333333329E-2</v>
      </c>
    </row>
    <row r="43" spans="1:26" x14ac:dyDescent="0.25">
      <c r="A43" s="14">
        <f>($C38+(A15+A26-$C35)*4.1868)*A4</f>
        <v>-6285.8694289256755</v>
      </c>
      <c r="B43" s="14">
        <f t="shared" ref="B43:L43" si="24">($C38+(B15+B26-$C35)*4.1868)*B4</f>
        <v>-3616.5841468551816</v>
      </c>
      <c r="C43" s="14">
        <f t="shared" si="24"/>
        <v>-2243.2806215403325</v>
      </c>
      <c r="D43" s="14">
        <f t="shared" si="24"/>
        <v>-1457.6510574028971</v>
      </c>
      <c r="E43" s="14">
        <f t="shared" si="24"/>
        <v>-872.61702095264604</v>
      </c>
      <c r="F43" s="14">
        <f t="shared" si="24"/>
        <v>-147.39439198981094</v>
      </c>
      <c r="G43" s="14">
        <f t="shared" si="24"/>
        <v>-21.630949994872893</v>
      </c>
      <c r="H43" s="14">
        <f t="shared" si="24"/>
        <v>-2.9587934021210005</v>
      </c>
      <c r="I43" s="14">
        <f t="shared" si="24"/>
        <v>-0.39518108453922474</v>
      </c>
      <c r="J43" s="14">
        <f t="shared" si="24"/>
        <v>-5.2732384744609236E-2</v>
      </c>
      <c r="K43" s="14">
        <f t="shared" si="24"/>
        <v>-7.1520008800094693E-3</v>
      </c>
      <c r="L43" s="14">
        <f t="shared" si="24"/>
        <v>-1.0399864327378179E-3</v>
      </c>
      <c r="O43">
        <v>3</v>
      </c>
      <c r="P43">
        <f t="shared" ref="P43:P51" si="25">P42+1/$O$52</f>
        <v>0.16666666666666666</v>
      </c>
    </row>
    <row r="44" spans="1:26" x14ac:dyDescent="0.25">
      <c r="A44" s="14">
        <f>($D38+(A16+A27-$D35)*4.1868)*A5</f>
        <v>-23151.870084459559</v>
      </c>
      <c r="B44" s="14">
        <f t="shared" ref="B44:L44" si="26">($D38+(B16+B27-$D35)*4.1868)*B5</f>
        <v>-28111.298462770039</v>
      </c>
      <c r="C44" s="14">
        <f t="shared" si="26"/>
        <v>-18682.546882670631</v>
      </c>
      <c r="D44" s="14">
        <f t="shared" si="26"/>
        <v>-11656.528344474928</v>
      </c>
      <c r="E44" s="14">
        <f t="shared" si="26"/>
        <v>-6240.0720769349655</v>
      </c>
      <c r="F44" s="14">
        <f t="shared" si="26"/>
        <v>-2732.6967621306849</v>
      </c>
      <c r="G44" s="14">
        <f t="shared" si="26"/>
        <v>-1016.9491542433353</v>
      </c>
      <c r="H44" s="14">
        <f t="shared" si="26"/>
        <v>-344.99694324307228</v>
      </c>
      <c r="I44" s="14">
        <f t="shared" si="26"/>
        <v>-111.76700203326946</v>
      </c>
      <c r="J44" s="14">
        <f t="shared" si="26"/>
        <v>-35.283455005154316</v>
      </c>
      <c r="K44" s="14">
        <f t="shared" si="26"/>
        <v>-10.900713518255387</v>
      </c>
      <c r="L44" s="14">
        <f t="shared" si="26"/>
        <v>-3.3191221331518945</v>
      </c>
      <c r="O44">
        <v>4</v>
      </c>
      <c r="P44">
        <f t="shared" si="25"/>
        <v>0.25</v>
      </c>
    </row>
    <row r="45" spans="1:26" x14ac:dyDescent="0.25">
      <c r="A45" s="14">
        <f>($E38+(A17+A28-$E35)*4.1868)*A6</f>
        <v>-50684.520034233057</v>
      </c>
      <c r="B45" s="14">
        <f t="shared" ref="B45:L45" si="27">($E38+(B17+B28-$E35)*4.1868)*B6</f>
        <v>-43897.237037154824</v>
      </c>
      <c r="C45" s="14">
        <f t="shared" si="27"/>
        <v>-63723.388700838339</v>
      </c>
      <c r="D45" s="14">
        <f t="shared" si="27"/>
        <v>-29492.172859509614</v>
      </c>
      <c r="E45" s="14">
        <f t="shared" si="27"/>
        <v>-14997.260952714099</v>
      </c>
      <c r="F45" s="14">
        <f t="shared" si="27"/>
        <v>-9099.2925951442958</v>
      </c>
      <c r="G45" s="14">
        <f t="shared" si="27"/>
        <v>-4663.211898735588</v>
      </c>
      <c r="H45" s="14">
        <f t="shared" si="27"/>
        <v>-2156.4647176827034</v>
      </c>
      <c r="I45" s="14">
        <f t="shared" si="27"/>
        <v>-941.10952910797391</v>
      </c>
      <c r="J45" s="14">
        <f t="shared" si="27"/>
        <v>-394.32428468435592</v>
      </c>
      <c r="K45" s="14">
        <f t="shared" si="27"/>
        <v>-158.21416260341149</v>
      </c>
      <c r="L45" s="14">
        <f t="shared" si="27"/>
        <v>-60.320725617952327</v>
      </c>
      <c r="O45">
        <v>5</v>
      </c>
      <c r="P45">
        <f t="shared" si="25"/>
        <v>0.33333333333333331</v>
      </c>
    </row>
    <row r="46" spans="1:26" x14ac:dyDescent="0.25">
      <c r="A46" s="14">
        <f>($F38+(A18+A29-$F35)*4.1868)*A7</f>
        <v>-9789.7670975190485</v>
      </c>
      <c r="B46" s="14">
        <f t="shared" ref="B46:L46" si="28">($F38+(B18+B29-$F35)*4.1868)*B7</f>
        <v>-18622.275826769059</v>
      </c>
      <c r="C46" s="14">
        <f t="shared" si="28"/>
        <v>-30256.763682824821</v>
      </c>
      <c r="D46" s="14">
        <f t="shared" si="28"/>
        <v>-39052.619984947596</v>
      </c>
      <c r="E46" s="14">
        <f t="shared" si="28"/>
        <v>-34254.888254586644</v>
      </c>
      <c r="F46" s="14">
        <f t="shared" si="28"/>
        <v>9979.4096875433443</v>
      </c>
      <c r="G46" s="14">
        <f t="shared" si="28"/>
        <v>-59054.746003281929</v>
      </c>
      <c r="H46" s="14">
        <f t="shared" si="28"/>
        <v>-55668.001471922929</v>
      </c>
      <c r="I46" s="14">
        <f t="shared" si="28"/>
        <v>-50987.815554461478</v>
      </c>
      <c r="J46" s="14">
        <f t="shared" si="28"/>
        <v>-43733.749052839048</v>
      </c>
      <c r="K46" s="14">
        <f t="shared" si="28"/>
        <v>-34154.52341457249</v>
      </c>
      <c r="L46" s="14">
        <f t="shared" si="28"/>
        <v>-23400.405396416783</v>
      </c>
      <c r="O46">
        <v>6</v>
      </c>
      <c r="P46">
        <f t="shared" si="25"/>
        <v>0.41666666666666663</v>
      </c>
    </row>
    <row r="47" spans="1:26" x14ac:dyDescent="0.25">
      <c r="A47" s="14">
        <f>($G38+(A19+A30-$G35)*4.1868)*A8</f>
        <v>-4821.4294675406054</v>
      </c>
      <c r="B47" s="14">
        <f t="shared" ref="B47:L47" si="29">($G38+(B19+B30-$G35)*4.1868)*B8</f>
        <v>-10089.515586938134</v>
      </c>
      <c r="C47" s="14">
        <f t="shared" si="29"/>
        <v>-18251.737994646704</v>
      </c>
      <c r="D47" s="14">
        <f t="shared" si="29"/>
        <v>-26414.811297732838</v>
      </c>
      <c r="E47" s="14">
        <f t="shared" si="29"/>
        <v>-26396.339052935615</v>
      </c>
      <c r="F47" s="14">
        <f t="shared" si="29"/>
        <v>-28014.293322890986</v>
      </c>
      <c r="G47" s="14">
        <f t="shared" si="29"/>
        <v>-3820.890730264543</v>
      </c>
      <c r="H47" s="14">
        <f t="shared" si="29"/>
        <v>-59198.978329586396</v>
      </c>
      <c r="I47" s="14">
        <f t="shared" si="29"/>
        <v>-48660.207749698791</v>
      </c>
      <c r="J47" s="14">
        <f t="shared" si="29"/>
        <v>-42774.275320495188</v>
      </c>
      <c r="K47" s="14">
        <f t="shared" si="29"/>
        <v>-35409.447362987659</v>
      </c>
      <c r="L47" s="14">
        <f t="shared" si="29"/>
        <v>-26012.193866788963</v>
      </c>
      <c r="O47">
        <v>7</v>
      </c>
      <c r="P47">
        <f t="shared" si="25"/>
        <v>0.49999999999999994</v>
      </c>
    </row>
    <row r="48" spans="1:26" x14ac:dyDescent="0.25">
      <c r="A48" s="14">
        <f>($H38+(A20+A31-$H35)*4.1868)*A9</f>
        <v>-24.683324741466048</v>
      </c>
      <c r="B48" s="14">
        <f t="shared" ref="B48:L48" si="30">($H38+(B20+B31-$H35)*4.1868)*B9</f>
        <v>-161.53020448228779</v>
      </c>
      <c r="C48" s="14">
        <f t="shared" si="30"/>
        <v>-971.06037498612034</v>
      </c>
      <c r="D48" s="14">
        <f t="shared" si="30"/>
        <v>-4653.6576808497557</v>
      </c>
      <c r="E48" s="14">
        <f t="shared" si="30"/>
        <v>-15283.216291683675</v>
      </c>
      <c r="F48" s="14">
        <f t="shared" si="30"/>
        <v>-13729.042481948689</v>
      </c>
      <c r="G48" s="14">
        <f t="shared" si="30"/>
        <v>-12900.442274718769</v>
      </c>
      <c r="H48" s="14">
        <f t="shared" si="30"/>
        <v>-13479.155129808012</v>
      </c>
      <c r="I48" s="14">
        <f t="shared" si="30"/>
        <v>-15952.943979337027</v>
      </c>
      <c r="J48" s="14">
        <f t="shared" si="30"/>
        <v>-20627.016329013331</v>
      </c>
      <c r="K48" s="14">
        <f t="shared" si="30"/>
        <v>-26902.391709772139</v>
      </c>
      <c r="L48" s="14">
        <f t="shared" si="30"/>
        <v>-31966.176792657727</v>
      </c>
      <c r="O48">
        <v>8</v>
      </c>
      <c r="P48">
        <f t="shared" si="25"/>
        <v>0.58333333333333326</v>
      </c>
    </row>
    <row r="49" spans="1:16" x14ac:dyDescent="0.25">
      <c r="A49" s="14">
        <f>($I38+(A21+A32-$I35)*4.1868)*A10</f>
        <v>-0.39622299385243592</v>
      </c>
      <c r="B49" s="14">
        <f t="shared" ref="B49:K49" si="31">($I38+(B21+B32-$I35)*4.1868)*B10</f>
        <v>-7.6664582141589088</v>
      </c>
      <c r="C49" s="14">
        <f t="shared" si="31"/>
        <v>-137.03064458197952</v>
      </c>
      <c r="D49" s="14">
        <f t="shared" si="31"/>
        <v>-1901.0358875033642</v>
      </c>
      <c r="E49" s="14">
        <f t="shared" si="31"/>
        <v>-17569.346923341189</v>
      </c>
      <c r="F49" s="14">
        <f t="shared" si="31"/>
        <v>-15174.660531451174</v>
      </c>
      <c r="G49" s="14">
        <f t="shared" si="31"/>
        <v>-13496.641712213717</v>
      </c>
      <c r="H49" s="14">
        <f t="shared" si="31"/>
        <v>-13187.408792950931</v>
      </c>
      <c r="I49" s="14">
        <f t="shared" si="31"/>
        <v>-14736.606314111978</v>
      </c>
      <c r="J49" s="14">
        <f t="shared" si="31"/>
        <v>-19013.377337687638</v>
      </c>
      <c r="K49" s="14">
        <f t="shared" si="31"/>
        <v>-27591.978279161598</v>
      </c>
      <c r="L49" s="14">
        <f>($I38+(L21+L32-$I35)*4.1868)*L10</f>
        <v>-42033.038956199918</v>
      </c>
      <c r="O49">
        <v>9</v>
      </c>
      <c r="P49">
        <f t="shared" si="25"/>
        <v>0.66666666666666663</v>
      </c>
    </row>
    <row r="50" spans="1:16" x14ac:dyDescent="0.25">
      <c r="A50" s="26">
        <f>SUM(A41:A49)</f>
        <v>-95541.815477087919</v>
      </c>
      <c r="B50" s="26">
        <f t="shared" ref="B50:L50" si="32">SUM(B41:B49)</f>
        <v>-104902.75989734173</v>
      </c>
      <c r="C50" s="26">
        <f t="shared" si="32"/>
        <v>-134520.42481644414</v>
      </c>
      <c r="D50" s="26">
        <f t="shared" si="32"/>
        <v>-114805.73281659874</v>
      </c>
      <c r="E50" s="26">
        <f t="shared" si="32"/>
        <v>-115726.31258870268</v>
      </c>
      <c r="F50" s="26">
        <f t="shared" si="32"/>
        <v>-58922.98943239294</v>
      </c>
      <c r="G50" s="26">
        <f t="shared" si="32"/>
        <v>-94974.718515821893</v>
      </c>
      <c r="H50" s="26">
        <f t="shared" si="32"/>
        <v>-144037.97233869668</v>
      </c>
      <c r="I50" s="26">
        <f t="shared" si="32"/>
        <v>-131390.84563641701</v>
      </c>
      <c r="J50" s="26">
        <f t="shared" si="32"/>
        <v>-126578.07852558138</v>
      </c>
      <c r="K50" s="26">
        <f t="shared" si="32"/>
        <v>-124227.46279520057</v>
      </c>
      <c r="L50" s="26">
        <f t="shared" si="32"/>
        <v>-123475.45589983008</v>
      </c>
      <c r="O50">
        <v>10</v>
      </c>
      <c r="P50">
        <f t="shared" si="25"/>
        <v>0.75</v>
      </c>
    </row>
    <row r="51" spans="1:16" x14ac:dyDescent="0.25">
      <c r="A51">
        <v>-95541.815477087905</v>
      </c>
      <c r="B51">
        <v>-104902.759897342</v>
      </c>
      <c r="C51">
        <v>-134520.42481644399</v>
      </c>
      <c r="D51">
        <v>-114805.732816599</v>
      </c>
      <c r="E51">
        <v>-115726.312588703</v>
      </c>
      <c r="F51">
        <v>-58922.989432392897</v>
      </c>
      <c r="G51">
        <v>-94974.718515821805</v>
      </c>
      <c r="H51">
        <v>-144037.972338697</v>
      </c>
      <c r="I51">
        <v>-131390.84563641701</v>
      </c>
      <c r="J51">
        <v>-126578.078525581</v>
      </c>
      <c r="K51">
        <v>-124227.46279520101</v>
      </c>
      <c r="L51">
        <v>-123475.45589983001</v>
      </c>
      <c r="O51">
        <v>11</v>
      </c>
      <c r="P51">
        <f t="shared" si="25"/>
        <v>0.83333333333333337</v>
      </c>
    </row>
    <row r="52" spans="1:16" x14ac:dyDescent="0.25">
      <c r="A52" s="14">
        <f>A50-A51</f>
        <v>0</v>
      </c>
      <c r="B52" s="14">
        <f t="shared" ref="B52:L52" si="33">B50-B51</f>
        <v>2.6193447411060333E-10</v>
      </c>
      <c r="C52" s="14">
        <f t="shared" si="33"/>
        <v>0</v>
      </c>
      <c r="D52" s="14">
        <f t="shared" si="33"/>
        <v>2.6193447411060333E-10</v>
      </c>
      <c r="E52" s="14">
        <f t="shared" si="33"/>
        <v>3.2014213502407074E-10</v>
      </c>
      <c r="F52" s="14">
        <f t="shared" si="33"/>
        <v>0</v>
      </c>
      <c r="G52" s="14">
        <f t="shared" si="33"/>
        <v>0</v>
      </c>
      <c r="H52" s="14">
        <f t="shared" si="33"/>
        <v>3.2014213502407074E-10</v>
      </c>
      <c r="I52" s="14">
        <f t="shared" si="33"/>
        <v>0</v>
      </c>
      <c r="J52" s="14">
        <f t="shared" si="33"/>
        <v>-3.7834979593753815E-10</v>
      </c>
      <c r="K52" s="14">
        <f t="shared" si="33"/>
        <v>4.3655745685100555E-10</v>
      </c>
      <c r="L52" s="14">
        <f t="shared" si="33"/>
        <v>0</v>
      </c>
      <c r="O52">
        <v>12</v>
      </c>
      <c r="P52">
        <f>P51+1/$O$52</f>
        <v>0.91666666666666674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opLeftCell="A22" zoomScaleNormal="100" workbookViewId="0">
      <selection activeCell="F1" sqref="F1:Z45"/>
    </sheetView>
  </sheetViews>
  <sheetFormatPr defaultRowHeight="15" x14ac:dyDescent="0.25"/>
  <cols>
    <col min="5" max="8" width="11.7109375" bestFit="1" customWidth="1"/>
    <col min="9" max="9" width="12" bestFit="1" customWidth="1"/>
    <col min="11" max="11" width="10.5703125" bestFit="1" customWidth="1"/>
    <col min="13" max="13" width="11.28515625" bestFit="1" customWidth="1"/>
  </cols>
  <sheetData>
    <row r="1" spans="1:31" x14ac:dyDescent="0.25">
      <c r="A1" t="s">
        <v>157</v>
      </c>
      <c r="B1" t="s">
        <v>155</v>
      </c>
      <c r="C1" t="s">
        <v>156</v>
      </c>
      <c r="D1" t="s">
        <v>16</v>
      </c>
      <c r="E1" t="s">
        <v>42</v>
      </c>
      <c r="F1" t="s">
        <v>158</v>
      </c>
      <c r="G1" t="s">
        <v>159</v>
      </c>
      <c r="I1" t="s">
        <v>51</v>
      </c>
      <c r="J1" t="s">
        <v>160</v>
      </c>
      <c r="K1" t="s">
        <v>165</v>
      </c>
      <c r="L1" t="s">
        <v>166</v>
      </c>
      <c r="M1" t="s">
        <v>157</v>
      </c>
      <c r="N1" t="s">
        <v>158</v>
      </c>
      <c r="O1" t="s">
        <v>159</v>
      </c>
      <c r="P1" t="s">
        <v>54</v>
      </c>
      <c r="Q1" t="s">
        <v>171</v>
      </c>
      <c r="R1" t="s">
        <v>106</v>
      </c>
      <c r="S1" t="s">
        <v>172</v>
      </c>
      <c r="T1" t="s">
        <v>108</v>
      </c>
      <c r="U1" t="s">
        <v>187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B1" s="31" t="s">
        <v>170</v>
      </c>
      <c r="AC1" s="4" t="s">
        <v>167</v>
      </c>
      <c r="AD1" s="4" t="s">
        <v>168</v>
      </c>
      <c r="AE1" s="4" t="s">
        <v>169</v>
      </c>
    </row>
    <row r="2" spans="1:31" x14ac:dyDescent="0.25">
      <c r="A2">
        <v>1</v>
      </c>
      <c r="B2">
        <v>4.5</v>
      </c>
      <c r="C2">
        <v>0</v>
      </c>
      <c r="D2">
        <v>0</v>
      </c>
      <c r="E2">
        <v>13.5</v>
      </c>
      <c r="F2">
        <v>13.5</v>
      </c>
      <c r="G2">
        <v>0</v>
      </c>
      <c r="I2">
        <f>(B2+C2)/(F2+G2)</f>
        <v>0.33333333333333331</v>
      </c>
      <c r="J2">
        <f>I2/(I2+1)*(D2+G3+0)</f>
        <v>4.5</v>
      </c>
      <c r="K2" s="17">
        <v>1.9354838709677418</v>
      </c>
      <c r="L2">
        <v>3</v>
      </c>
      <c r="M2">
        <v>1</v>
      </c>
      <c r="N2" s="14">
        <f>L2*B2</f>
        <v>13.5</v>
      </c>
      <c r="O2" s="14">
        <v>0</v>
      </c>
      <c r="P2">
        <v>1</v>
      </c>
      <c r="R2">
        <f>($L$2*$D$2+($L$2+1)*$D$13+$Q$14)/($L$2+$K$2+1)</f>
        <v>9.3000000000000007</v>
      </c>
      <c r="T2">
        <f>((K2+1)*$D$2+$L$2*$D$13+$S$14)/($K$2+$L$2+1)</f>
        <v>4.5</v>
      </c>
      <c r="U2">
        <v>0</v>
      </c>
      <c r="V2">
        <f>$N$32*O33</f>
        <v>-426718.55465678498</v>
      </c>
      <c r="W2">
        <v>-80393.924284719804</v>
      </c>
      <c r="X2">
        <v>0</v>
      </c>
      <c r="Y2">
        <v>0</v>
      </c>
      <c r="Z2">
        <v>0</v>
      </c>
      <c r="AB2" s="31"/>
      <c r="AC2" s="4">
        <v>1</v>
      </c>
      <c r="AD2" s="1">
        <v>13.4982019279072</v>
      </c>
      <c r="AE2" s="1">
        <v>2.6853584055969199E-21</v>
      </c>
    </row>
    <row r="3" spans="1:31" x14ac:dyDescent="0.25">
      <c r="A3">
        <v>2</v>
      </c>
      <c r="B3">
        <v>0</v>
      </c>
      <c r="C3">
        <v>0</v>
      </c>
      <c r="D3">
        <v>0</v>
      </c>
      <c r="F3">
        <f>F2+D3-B3</f>
        <v>13.5</v>
      </c>
      <c r="G3">
        <f>$C$2+$B$2+$E$2-C3</f>
        <v>18</v>
      </c>
      <c r="I3">
        <f t="shared" ref="I3:I13" si="0">(B3+C3)/(F3+G3)</f>
        <v>0</v>
      </c>
      <c r="J3">
        <f t="shared" ref="J3:J13" si="1">I3/(I3+1)*(D3+G4+F2)</f>
        <v>0</v>
      </c>
      <c r="M3">
        <v>2</v>
      </c>
      <c r="N3" s="14">
        <f>(D3+O4+N2)/(I3+1)-O3</f>
        <v>13.5</v>
      </c>
      <c r="O3" s="14">
        <f t="shared" ref="O3:O11" si="2">O4/(I3+1)</f>
        <v>18</v>
      </c>
      <c r="P3">
        <v>1</v>
      </c>
      <c r="Q3">
        <f>(P3+$L$2)*D3+($L$2+1)*B3-C3</f>
        <v>0</v>
      </c>
      <c r="S3">
        <f>($K$2+1-P3)*D3+($L$2+1)*B3+C3</f>
        <v>0</v>
      </c>
      <c r="U3">
        <v>0</v>
      </c>
      <c r="V3">
        <f t="shared" ref="V3:V13" si="3">$N$32*O34</f>
        <v>-151903.04926292301</v>
      </c>
      <c r="W3">
        <v>-117212.229408257</v>
      </c>
      <c r="X3">
        <v>0</v>
      </c>
      <c r="Y3">
        <v>0</v>
      </c>
      <c r="Z3">
        <v>0</v>
      </c>
      <c r="AB3" s="31"/>
      <c r="AC3" s="4">
        <v>2</v>
      </c>
      <c r="AD3" s="1">
        <v>20.800576995992198</v>
      </c>
      <c r="AE3" s="1">
        <v>17.997549685555601</v>
      </c>
    </row>
    <row r="4" spans="1:31" x14ac:dyDescent="0.25">
      <c r="A4">
        <v>3</v>
      </c>
      <c r="B4">
        <v>0</v>
      </c>
      <c r="C4">
        <v>0</v>
      </c>
      <c r="D4">
        <v>0</v>
      </c>
      <c r="F4">
        <f t="shared" ref="F4:F12" si="4">F3+D4-B4</f>
        <v>13.5</v>
      </c>
      <c r="G4">
        <f>$C$2+$B$2+$E$2-C4</f>
        <v>18</v>
      </c>
      <c r="I4">
        <f t="shared" si="0"/>
        <v>0</v>
      </c>
      <c r="J4">
        <f t="shared" si="1"/>
        <v>0</v>
      </c>
      <c r="M4">
        <v>3</v>
      </c>
      <c r="N4" s="14">
        <f>(D4+O5+N3)/(I4+1)-O4</f>
        <v>13.5</v>
      </c>
      <c r="O4" s="14">
        <f t="shared" si="2"/>
        <v>18</v>
      </c>
      <c r="P4">
        <v>1</v>
      </c>
      <c r="Q4">
        <f t="shared" ref="Q4:Q12" si="5">(P4+$L$2)*D4+($L$2+1)*B4-C4</f>
        <v>0</v>
      </c>
      <c r="S4">
        <f t="shared" ref="S4:S12" si="6">($K$2+1-P4)*D4+($L$2+1)*B4+C4</f>
        <v>0</v>
      </c>
      <c r="U4">
        <v>0</v>
      </c>
      <c r="V4">
        <f t="shared" si="3"/>
        <v>-142046.057217397</v>
      </c>
      <c r="W4">
        <v>-126583.937339793</v>
      </c>
      <c r="X4">
        <v>0</v>
      </c>
      <c r="Y4">
        <v>0</v>
      </c>
      <c r="Z4">
        <v>0</v>
      </c>
      <c r="AB4" s="31"/>
      <c r="AC4" s="4">
        <v>3</v>
      </c>
      <c r="AD4" s="1">
        <v>21.198150474979101</v>
      </c>
      <c r="AE4" s="1">
        <v>25.2999247536406</v>
      </c>
    </row>
    <row r="5" spans="1:31" x14ac:dyDescent="0.25">
      <c r="A5">
        <v>4</v>
      </c>
      <c r="B5">
        <v>0</v>
      </c>
      <c r="C5">
        <v>0</v>
      </c>
      <c r="D5">
        <v>0</v>
      </c>
      <c r="F5">
        <f t="shared" si="4"/>
        <v>13.5</v>
      </c>
      <c r="G5">
        <f t="shared" ref="G5:G13" si="7">$C$2+$B$2+$E$2-C5</f>
        <v>18</v>
      </c>
      <c r="I5">
        <f t="shared" si="0"/>
        <v>0</v>
      </c>
      <c r="J5">
        <f t="shared" si="1"/>
        <v>0</v>
      </c>
      <c r="M5">
        <v>4</v>
      </c>
      <c r="N5" s="14">
        <f>(D5+O6+N4)/(I5+1)-O5</f>
        <v>13.5</v>
      </c>
      <c r="O5" s="14">
        <f t="shared" si="2"/>
        <v>18</v>
      </c>
      <c r="P5">
        <v>1</v>
      </c>
      <c r="Q5">
        <f t="shared" si="5"/>
        <v>0</v>
      </c>
      <c r="S5">
        <f t="shared" si="6"/>
        <v>0</v>
      </c>
      <c r="U5">
        <v>0</v>
      </c>
      <c r="V5">
        <f t="shared" si="3"/>
        <v>-174396.57018223699</v>
      </c>
      <c r="W5">
        <v>-129569.65281685301</v>
      </c>
      <c r="X5">
        <v>0</v>
      </c>
      <c r="Y5">
        <v>0</v>
      </c>
      <c r="Z5">
        <v>0</v>
      </c>
      <c r="AB5" s="31"/>
      <c r="AC5" s="4">
        <v>4</v>
      </c>
      <c r="AD5" s="1">
        <v>20.774814507136</v>
      </c>
      <c r="AE5" s="1">
        <v>25.6974982326274</v>
      </c>
    </row>
    <row r="6" spans="1:31" x14ac:dyDescent="0.25">
      <c r="A6">
        <v>5</v>
      </c>
      <c r="B6">
        <v>0</v>
      </c>
      <c r="C6">
        <v>0</v>
      </c>
      <c r="D6">
        <v>13.8</v>
      </c>
      <c r="F6">
        <f>F5+D6-B6</f>
        <v>27.3</v>
      </c>
      <c r="G6">
        <f t="shared" si="7"/>
        <v>18</v>
      </c>
      <c r="I6">
        <f t="shared" si="0"/>
        <v>0</v>
      </c>
      <c r="J6">
        <f t="shared" si="1"/>
        <v>0</v>
      </c>
      <c r="M6">
        <v>5</v>
      </c>
      <c r="N6" s="14">
        <f>(D6+O7+N5)/(I6+1)-O6</f>
        <v>27.299999999999997</v>
      </c>
      <c r="O6" s="14">
        <f t="shared" si="2"/>
        <v>18</v>
      </c>
      <c r="P6">
        <v>1</v>
      </c>
      <c r="Q6">
        <f t="shared" si="5"/>
        <v>55.2</v>
      </c>
      <c r="S6">
        <f t="shared" si="6"/>
        <v>26.70967741935484</v>
      </c>
      <c r="U6">
        <v>0</v>
      </c>
      <c r="V6">
        <f t="shared" si="3"/>
        <v>-180095.61847186901</v>
      </c>
      <c r="W6">
        <v>-133313.79523258199</v>
      </c>
      <c r="X6">
        <v>-204729.639128804</v>
      </c>
      <c r="Y6">
        <v>-128586.68658062301</v>
      </c>
      <c r="Z6">
        <v>0.42134857177734403</v>
      </c>
      <c r="AB6" s="31"/>
      <c r="AC6" s="4">
        <v>5</v>
      </c>
      <c r="AD6" s="1">
        <v>19.257355643670401</v>
      </c>
      <c r="AE6" s="1">
        <v>25.274162264784302</v>
      </c>
    </row>
    <row r="7" spans="1:31" x14ac:dyDescent="0.25">
      <c r="A7">
        <v>6</v>
      </c>
      <c r="B7">
        <v>0</v>
      </c>
      <c r="C7">
        <v>0</v>
      </c>
      <c r="D7">
        <v>0</v>
      </c>
      <c r="F7">
        <f>F6+D7-B7</f>
        <v>27.3</v>
      </c>
      <c r="G7">
        <f t="shared" si="7"/>
        <v>18</v>
      </c>
      <c r="I7">
        <f t="shared" si="0"/>
        <v>0</v>
      </c>
      <c r="J7">
        <f t="shared" si="1"/>
        <v>0</v>
      </c>
      <c r="M7">
        <v>6</v>
      </c>
      <c r="N7" s="14">
        <f>(D7+O8+N6)/(I7+1)-O7</f>
        <v>27.299999999999997</v>
      </c>
      <c r="O7" s="14">
        <f t="shared" si="2"/>
        <v>18</v>
      </c>
      <c r="P7">
        <v>1</v>
      </c>
      <c r="Q7">
        <f t="shared" si="5"/>
        <v>0</v>
      </c>
      <c r="S7">
        <f t="shared" si="6"/>
        <v>0</v>
      </c>
      <c r="U7">
        <v>0</v>
      </c>
      <c r="V7">
        <f t="shared" si="3"/>
        <v>-124860.05035202</v>
      </c>
      <c r="W7">
        <v>-141277.38461197601</v>
      </c>
      <c r="X7">
        <v>0</v>
      </c>
      <c r="Y7">
        <v>0</v>
      </c>
      <c r="Z7">
        <v>0</v>
      </c>
      <c r="AB7" s="31"/>
      <c r="AC7" s="4">
        <v>6</v>
      </c>
      <c r="AD7" s="1">
        <v>25.873471181250501</v>
      </c>
      <c r="AE7" s="1">
        <v>23.756703401318699</v>
      </c>
    </row>
    <row r="8" spans="1:31" x14ac:dyDescent="0.25">
      <c r="A8">
        <v>7</v>
      </c>
      <c r="B8">
        <v>0</v>
      </c>
      <c r="C8">
        <v>0</v>
      </c>
      <c r="D8">
        <v>0</v>
      </c>
      <c r="F8">
        <f t="shared" si="4"/>
        <v>27.3</v>
      </c>
      <c r="G8">
        <f t="shared" si="7"/>
        <v>18</v>
      </c>
      <c r="I8">
        <f t="shared" si="0"/>
        <v>0</v>
      </c>
      <c r="J8">
        <f t="shared" si="1"/>
        <v>0</v>
      </c>
      <c r="M8">
        <v>7</v>
      </c>
      <c r="N8" s="14">
        <f>(D8+O9+N7)/(I8+1)-O8</f>
        <v>27.299999999999997</v>
      </c>
      <c r="O8" s="14">
        <f t="shared" si="2"/>
        <v>18</v>
      </c>
      <c r="P8">
        <v>1</v>
      </c>
      <c r="Q8">
        <f t="shared" si="5"/>
        <v>0</v>
      </c>
      <c r="S8">
        <f t="shared" si="6"/>
        <v>0</v>
      </c>
      <c r="U8">
        <v>0</v>
      </c>
      <c r="V8">
        <f t="shared" si="3"/>
        <v>-187560.92594549301</v>
      </c>
      <c r="W8">
        <v>-144743.49106657901</v>
      </c>
      <c r="X8">
        <v>0</v>
      </c>
      <c r="Y8">
        <v>0</v>
      </c>
      <c r="Z8">
        <v>0</v>
      </c>
      <c r="AB8" s="31"/>
      <c r="AC8" s="4">
        <v>7</v>
      </c>
      <c r="AD8" s="1">
        <v>26.057153260008501</v>
      </c>
      <c r="AE8" s="1">
        <v>16.5726132104901</v>
      </c>
    </row>
    <row r="9" spans="1:31" x14ac:dyDescent="0.25">
      <c r="A9">
        <v>8</v>
      </c>
      <c r="B9">
        <v>0</v>
      </c>
      <c r="C9">
        <v>0</v>
      </c>
      <c r="D9">
        <v>0</v>
      </c>
      <c r="F9">
        <f t="shared" si="4"/>
        <v>27.3</v>
      </c>
      <c r="G9">
        <f t="shared" si="7"/>
        <v>18</v>
      </c>
      <c r="I9">
        <f t="shared" si="0"/>
        <v>0</v>
      </c>
      <c r="J9">
        <f t="shared" si="1"/>
        <v>0</v>
      </c>
      <c r="M9">
        <v>8</v>
      </c>
      <c r="N9" s="14">
        <f>(D9+O10+N8)/(I9+1)-O9</f>
        <v>27.299999999999997</v>
      </c>
      <c r="O9" s="14">
        <f t="shared" si="2"/>
        <v>18</v>
      </c>
      <c r="P9">
        <v>1</v>
      </c>
      <c r="Q9">
        <f t="shared" si="5"/>
        <v>0</v>
      </c>
      <c r="S9">
        <f t="shared" si="6"/>
        <v>0</v>
      </c>
      <c r="U9">
        <v>0</v>
      </c>
      <c r="V9">
        <f t="shared" si="3"/>
        <v>-176105.92935862599</v>
      </c>
      <c r="W9">
        <v>-146562.49602046399</v>
      </c>
      <c r="X9">
        <v>0</v>
      </c>
      <c r="Y9">
        <v>0</v>
      </c>
      <c r="Z9">
        <v>0</v>
      </c>
      <c r="AB9" s="31"/>
      <c r="AC9" s="4">
        <v>8</v>
      </c>
      <c r="AD9" s="1">
        <v>26.092422771373901</v>
      </c>
      <c r="AE9" s="1">
        <v>16.756295289248101</v>
      </c>
    </row>
    <row r="10" spans="1:31" x14ac:dyDescent="0.25">
      <c r="A10">
        <v>9</v>
      </c>
      <c r="B10">
        <v>0</v>
      </c>
      <c r="C10">
        <v>0</v>
      </c>
      <c r="D10">
        <v>0</v>
      </c>
      <c r="F10">
        <f t="shared" si="4"/>
        <v>27.3</v>
      </c>
      <c r="G10">
        <f t="shared" si="7"/>
        <v>18</v>
      </c>
      <c r="I10">
        <f t="shared" si="0"/>
        <v>0</v>
      </c>
      <c r="J10">
        <f t="shared" si="1"/>
        <v>0</v>
      </c>
      <c r="M10">
        <v>9</v>
      </c>
      <c r="N10" s="14">
        <f>(D10+O11+N9)/(I10+1)-O10</f>
        <v>27.299999999999997</v>
      </c>
      <c r="O10" s="14">
        <f t="shared" si="2"/>
        <v>18</v>
      </c>
      <c r="P10">
        <v>1</v>
      </c>
      <c r="Q10">
        <f t="shared" si="5"/>
        <v>0</v>
      </c>
      <c r="S10">
        <f t="shared" si="6"/>
        <v>0</v>
      </c>
      <c r="U10">
        <v>0</v>
      </c>
      <c r="V10">
        <f t="shared" si="3"/>
        <v>112909.518763106</v>
      </c>
      <c r="W10">
        <v>-147421.37476595899</v>
      </c>
      <c r="X10">
        <v>0</v>
      </c>
      <c r="Y10">
        <v>0</v>
      </c>
      <c r="Z10">
        <v>0</v>
      </c>
      <c r="AB10" s="31"/>
      <c r="AC10" s="4">
        <v>9</v>
      </c>
      <c r="AD10" s="1">
        <v>26.214133520568399</v>
      </c>
      <c r="AE10" s="1">
        <v>16.7915648006135</v>
      </c>
    </row>
    <row r="11" spans="1:31" x14ac:dyDescent="0.25">
      <c r="A11">
        <v>10</v>
      </c>
      <c r="B11">
        <v>0</v>
      </c>
      <c r="C11">
        <v>0</v>
      </c>
      <c r="D11">
        <v>0</v>
      </c>
      <c r="F11">
        <f t="shared" si="4"/>
        <v>27.3</v>
      </c>
      <c r="G11">
        <f t="shared" si="7"/>
        <v>18</v>
      </c>
      <c r="I11">
        <f t="shared" si="0"/>
        <v>0</v>
      </c>
      <c r="J11">
        <f t="shared" si="1"/>
        <v>0</v>
      </c>
      <c r="M11">
        <v>10</v>
      </c>
      <c r="N11" s="14">
        <f>(D11+O12+N10)/(I11+1)-O11</f>
        <v>27.299999999999997</v>
      </c>
      <c r="O11" s="14">
        <f t="shared" si="2"/>
        <v>18</v>
      </c>
      <c r="P11">
        <v>1</v>
      </c>
      <c r="Q11">
        <f t="shared" si="5"/>
        <v>0</v>
      </c>
      <c r="S11">
        <f t="shared" si="6"/>
        <v>0</v>
      </c>
      <c r="U11">
        <v>0</v>
      </c>
      <c r="V11">
        <f t="shared" si="3"/>
        <v>-201321.171371234</v>
      </c>
      <c r="W11">
        <v>-147918.920130657</v>
      </c>
      <c r="X11">
        <v>0</v>
      </c>
      <c r="Y11">
        <v>0</v>
      </c>
      <c r="Z11">
        <v>0</v>
      </c>
      <c r="AB11" s="31"/>
      <c r="AC11" s="4">
        <v>10</v>
      </c>
      <c r="AD11" s="1">
        <v>26.203097608745601</v>
      </c>
      <c r="AE11" s="1">
        <v>16.913275549807999</v>
      </c>
    </row>
    <row r="12" spans="1:31" x14ac:dyDescent="0.25">
      <c r="A12">
        <v>11</v>
      </c>
      <c r="B12">
        <v>0</v>
      </c>
      <c r="C12">
        <v>0</v>
      </c>
      <c r="D12">
        <v>0</v>
      </c>
      <c r="F12">
        <f t="shared" si="4"/>
        <v>27.3</v>
      </c>
      <c r="G12">
        <f t="shared" si="7"/>
        <v>18</v>
      </c>
      <c r="I12">
        <f t="shared" si="0"/>
        <v>0</v>
      </c>
      <c r="J12">
        <f t="shared" si="1"/>
        <v>0</v>
      </c>
      <c r="M12">
        <v>11</v>
      </c>
      <c r="N12" s="14">
        <f>(D12+O13+N11)/(I12+1)-O12</f>
        <v>27.299999999999997</v>
      </c>
      <c r="O12" s="14">
        <f>O13/(I12+1)</f>
        <v>18</v>
      </c>
      <c r="P12">
        <v>1</v>
      </c>
      <c r="Q12">
        <f t="shared" si="5"/>
        <v>0</v>
      </c>
      <c r="S12">
        <f t="shared" si="6"/>
        <v>0</v>
      </c>
      <c r="U12">
        <v>0</v>
      </c>
      <c r="V12">
        <f t="shared" si="3"/>
        <v>-195151.325047191</v>
      </c>
      <c r="W12">
        <v>-148547.87614082301</v>
      </c>
      <c r="X12">
        <v>0</v>
      </c>
      <c r="Y12">
        <v>0</v>
      </c>
      <c r="Z12">
        <v>0</v>
      </c>
      <c r="AB12" s="31"/>
      <c r="AC12" s="4">
        <v>11</v>
      </c>
      <c r="AD12" s="1">
        <v>25.517547548452399</v>
      </c>
      <c r="AE12" s="1">
        <v>16.9022396379852</v>
      </c>
    </row>
    <row r="13" spans="1:31" x14ac:dyDescent="0.25">
      <c r="A13">
        <v>12</v>
      </c>
      <c r="B13">
        <v>9.3000000000000007</v>
      </c>
      <c r="C13">
        <v>0</v>
      </c>
      <c r="D13">
        <v>0</v>
      </c>
      <c r="F13">
        <f>B13</f>
        <v>9.3000000000000007</v>
      </c>
      <c r="G13">
        <f t="shared" si="7"/>
        <v>18</v>
      </c>
      <c r="I13">
        <f t="shared" si="0"/>
        <v>0.34065934065934067</v>
      </c>
      <c r="J13">
        <f t="shared" si="1"/>
        <v>6.9368852459016397</v>
      </c>
      <c r="M13">
        <v>12</v>
      </c>
      <c r="N13" s="14">
        <f>B13</f>
        <v>9.3000000000000007</v>
      </c>
      <c r="O13" s="14">
        <f>K2*N13</f>
        <v>18</v>
      </c>
      <c r="P13">
        <v>1</v>
      </c>
      <c r="U13">
        <v>0</v>
      </c>
      <c r="V13">
        <f t="shared" si="3"/>
        <v>-196738.49100297401</v>
      </c>
      <c r="W13">
        <v>-150008.51962527301</v>
      </c>
      <c r="X13">
        <v>0</v>
      </c>
      <c r="Y13">
        <v>0</v>
      </c>
      <c r="Z13">
        <v>0</v>
      </c>
      <c r="AB13" s="31"/>
      <c r="AC13" s="4">
        <v>12</v>
      </c>
      <c r="AD13" s="1">
        <v>9.3008579707604007</v>
      </c>
      <c r="AE13" s="1">
        <v>16.216689577692001</v>
      </c>
    </row>
    <row r="14" spans="1:31" x14ac:dyDescent="0.25">
      <c r="Q14">
        <f>SUM(Q3:Q12)</f>
        <v>55.2</v>
      </c>
      <c r="S14">
        <f>SUM(S3:S12)</f>
        <v>26.70967741935484</v>
      </c>
    </row>
    <row r="15" spans="1:31" x14ac:dyDescent="0.25">
      <c r="A15" t="s">
        <v>161</v>
      </c>
    </row>
    <row r="17" spans="1:14" x14ac:dyDescent="0.25">
      <c r="A17" s="27" t="s">
        <v>157</v>
      </c>
      <c r="B17" s="27" t="s">
        <v>162</v>
      </c>
      <c r="C17" s="27" t="s">
        <v>163</v>
      </c>
      <c r="D17" s="27" t="s">
        <v>164</v>
      </c>
      <c r="F17" s="28" t="s">
        <v>157</v>
      </c>
      <c r="G17" s="28" t="s">
        <v>162</v>
      </c>
      <c r="H17" s="28" t="s">
        <v>163</v>
      </c>
      <c r="I17" s="28" t="s">
        <v>164</v>
      </c>
      <c r="K17" s="29" t="s">
        <v>157</v>
      </c>
      <c r="L17" s="29" t="s">
        <v>162</v>
      </c>
      <c r="M17" s="29" t="s">
        <v>163</v>
      </c>
      <c r="N17" s="29" t="s">
        <v>164</v>
      </c>
    </row>
    <row r="18" spans="1:14" x14ac:dyDescent="0.25">
      <c r="A18" s="4">
        <v>1</v>
      </c>
      <c r="B18" s="4">
        <f>D2+G3</f>
        <v>18</v>
      </c>
      <c r="C18" s="4">
        <f>E2+B2</f>
        <v>18</v>
      </c>
      <c r="D18" s="4">
        <f>B18-C18</f>
        <v>0</v>
      </c>
      <c r="F18" s="4">
        <v>1</v>
      </c>
      <c r="G18" s="1">
        <f>D2+O3</f>
        <v>18</v>
      </c>
      <c r="H18" s="1">
        <f>N2+B2+C2+O2</f>
        <v>18</v>
      </c>
      <c r="I18" s="1">
        <f>G18-H18</f>
        <v>0</v>
      </c>
      <c r="K18" s="4">
        <v>1</v>
      </c>
      <c r="L18" s="1">
        <f>D2+AE3</f>
        <v>17.997549685555601</v>
      </c>
      <c r="M18" s="1">
        <f>AD2+B2+C2</f>
        <v>17.9982019279072</v>
      </c>
      <c r="N18" s="1">
        <f>L18-M18</f>
        <v>-6.5224235159888622E-4</v>
      </c>
    </row>
    <row r="19" spans="1:14" x14ac:dyDescent="0.25">
      <c r="A19" s="4">
        <v>2</v>
      </c>
      <c r="B19" s="4">
        <f>D3+$E$2+G4</f>
        <v>31.5</v>
      </c>
      <c r="C19" s="4">
        <f>B3+C3+G3+F3</f>
        <v>31.5</v>
      </c>
      <c r="D19" s="4">
        <f t="shared" ref="D19:D29" si="8">B19-C19</f>
        <v>0</v>
      </c>
      <c r="F19" s="4">
        <v>2</v>
      </c>
      <c r="G19" s="1">
        <f>D3+N2+O4</f>
        <v>31.5</v>
      </c>
      <c r="H19" s="1">
        <f>B3+C3+O3+N3</f>
        <v>31.5</v>
      </c>
      <c r="I19" s="1">
        <f t="shared" ref="I19:I29" si="9">G19-H19</f>
        <v>0</v>
      </c>
      <c r="K19" s="4">
        <v>2</v>
      </c>
      <c r="L19" s="1">
        <f>D2+AD2+AE4</f>
        <v>38.798126681547799</v>
      </c>
      <c r="M19" s="1">
        <f>B3+C3+AE3+AD3</f>
        <v>38.798126681547799</v>
      </c>
      <c r="N19" s="1">
        <f t="shared" ref="N19:N29" si="10">L19-M19</f>
        <v>0</v>
      </c>
    </row>
    <row r="20" spans="1:14" x14ac:dyDescent="0.25">
      <c r="A20" s="4">
        <v>3</v>
      </c>
      <c r="B20" s="4">
        <f>D4+F3+G5</f>
        <v>31.5</v>
      </c>
      <c r="C20" s="4">
        <f>B4+C4+F4+G4</f>
        <v>31.5</v>
      </c>
      <c r="D20" s="4">
        <f t="shared" si="8"/>
        <v>0</v>
      </c>
      <c r="F20" s="4">
        <v>3</v>
      </c>
      <c r="G20" s="1">
        <f t="shared" ref="G20:G28" si="11">D4+N3+O5</f>
        <v>31.5</v>
      </c>
      <c r="H20" s="4">
        <f t="shared" ref="H20:H28" si="12">B4+C4+N4+O4</f>
        <v>31.5</v>
      </c>
      <c r="I20" s="1">
        <f t="shared" si="9"/>
        <v>0</v>
      </c>
      <c r="K20" s="4">
        <v>3</v>
      </c>
      <c r="L20" s="1">
        <f t="shared" ref="L20:L28" si="13">D3+AD3+AE5</f>
        <v>46.498075228619598</v>
      </c>
      <c r="M20" s="1">
        <f t="shared" ref="M20:M28" si="14">B4+C4+AD4+AE4</f>
        <v>46.498075228619697</v>
      </c>
      <c r="N20" s="1">
        <f t="shared" si="10"/>
        <v>-9.9475983006414026E-14</v>
      </c>
    </row>
    <row r="21" spans="1:14" x14ac:dyDescent="0.25">
      <c r="A21" s="4">
        <v>4</v>
      </c>
      <c r="B21" s="4">
        <f>D5+F4+G6</f>
        <v>31.5</v>
      </c>
      <c r="C21" s="4">
        <f t="shared" ref="C21:C28" si="15">B5+C5+F5+G5</f>
        <v>31.5</v>
      </c>
      <c r="D21" s="4">
        <f t="shared" si="8"/>
        <v>0</v>
      </c>
      <c r="F21" s="4">
        <v>4</v>
      </c>
      <c r="G21" s="4">
        <f t="shared" si="11"/>
        <v>31.5</v>
      </c>
      <c r="H21" s="4">
        <f t="shared" si="12"/>
        <v>31.5</v>
      </c>
      <c r="I21" s="1">
        <f t="shared" si="9"/>
        <v>0</v>
      </c>
      <c r="K21" s="4">
        <v>4</v>
      </c>
      <c r="L21" s="1">
        <f t="shared" si="13"/>
        <v>46.472312739763403</v>
      </c>
      <c r="M21" s="1">
        <f t="shared" si="14"/>
        <v>46.472312739763396</v>
      </c>
      <c r="N21" s="1">
        <f t="shared" si="10"/>
        <v>0</v>
      </c>
    </row>
    <row r="22" spans="1:14" x14ac:dyDescent="0.25">
      <c r="A22" s="4">
        <v>5</v>
      </c>
      <c r="B22" s="4">
        <f>D6+F5+G7</f>
        <v>45.3</v>
      </c>
      <c r="C22" s="4">
        <f t="shared" si="15"/>
        <v>45.3</v>
      </c>
      <c r="D22" s="4">
        <f t="shared" si="8"/>
        <v>0</v>
      </c>
      <c r="F22" s="4">
        <v>5</v>
      </c>
      <c r="G22" s="4">
        <f t="shared" si="11"/>
        <v>45.3</v>
      </c>
      <c r="H22" s="4">
        <f t="shared" si="12"/>
        <v>45.3</v>
      </c>
      <c r="I22" s="1">
        <f t="shared" si="9"/>
        <v>0</v>
      </c>
      <c r="K22" s="4">
        <v>5</v>
      </c>
      <c r="L22" s="1">
        <f t="shared" si="13"/>
        <v>44.531517908454703</v>
      </c>
      <c r="M22" s="1">
        <f t="shared" si="14"/>
        <v>44.531517908454703</v>
      </c>
      <c r="N22" s="1">
        <f>L22-M22</f>
        <v>0</v>
      </c>
    </row>
    <row r="23" spans="1:14" x14ac:dyDescent="0.25">
      <c r="A23" s="4">
        <v>6</v>
      </c>
      <c r="B23" s="4">
        <f t="shared" ref="B23:B28" si="16">D7+F6+G8</f>
        <v>45.3</v>
      </c>
      <c r="C23" s="4">
        <f t="shared" si="15"/>
        <v>45.3</v>
      </c>
      <c r="D23" s="4">
        <f t="shared" si="8"/>
        <v>0</v>
      </c>
      <c r="F23" s="4">
        <v>6</v>
      </c>
      <c r="G23" s="4">
        <f t="shared" si="11"/>
        <v>45.3</v>
      </c>
      <c r="H23" s="4">
        <f t="shared" si="12"/>
        <v>45.3</v>
      </c>
      <c r="I23" s="1">
        <f t="shared" si="9"/>
        <v>0</v>
      </c>
      <c r="K23" s="4">
        <v>6</v>
      </c>
      <c r="L23" s="1">
        <f t="shared" si="13"/>
        <v>49.629968854160509</v>
      </c>
      <c r="M23" s="1">
        <f t="shared" si="14"/>
        <v>49.630174582569197</v>
      </c>
      <c r="N23" s="1">
        <f>L23-M23</f>
        <v>-2.0572840868737785E-4</v>
      </c>
    </row>
    <row r="24" spans="1:14" x14ac:dyDescent="0.25">
      <c r="A24" s="4">
        <v>7</v>
      </c>
      <c r="B24" s="4">
        <f t="shared" si="16"/>
        <v>45.3</v>
      </c>
      <c r="C24" s="4">
        <f t="shared" si="15"/>
        <v>45.3</v>
      </c>
      <c r="D24" s="4">
        <f t="shared" si="8"/>
        <v>0</v>
      </c>
      <c r="F24" s="4">
        <v>7</v>
      </c>
      <c r="G24" s="4">
        <f t="shared" si="11"/>
        <v>45.3</v>
      </c>
      <c r="H24" s="4">
        <f t="shared" si="12"/>
        <v>45.3</v>
      </c>
      <c r="I24" s="1">
        <f t="shared" si="9"/>
        <v>0</v>
      </c>
      <c r="K24" s="4">
        <v>7</v>
      </c>
      <c r="L24" s="1">
        <f t="shared" si="13"/>
        <v>42.629766470498602</v>
      </c>
      <c r="M24" s="1">
        <f t="shared" si="14"/>
        <v>42.629766470498602</v>
      </c>
      <c r="N24" s="1">
        <f t="shared" si="10"/>
        <v>0</v>
      </c>
    </row>
    <row r="25" spans="1:14" x14ac:dyDescent="0.25">
      <c r="A25" s="4">
        <v>8</v>
      </c>
      <c r="B25" s="4">
        <f t="shared" si="16"/>
        <v>45.3</v>
      </c>
      <c r="C25" s="4">
        <f t="shared" si="15"/>
        <v>45.3</v>
      </c>
      <c r="D25" s="4">
        <f t="shared" si="8"/>
        <v>0</v>
      </c>
      <c r="F25" s="4">
        <v>8</v>
      </c>
      <c r="G25" s="4">
        <f t="shared" si="11"/>
        <v>45.3</v>
      </c>
      <c r="H25" s="4">
        <f t="shared" si="12"/>
        <v>45.3</v>
      </c>
      <c r="I25" s="1">
        <f t="shared" si="9"/>
        <v>0</v>
      </c>
      <c r="K25" s="4">
        <v>8</v>
      </c>
      <c r="L25" s="1">
        <f t="shared" si="13"/>
        <v>42.848718060622005</v>
      </c>
      <c r="M25" s="1">
        <f t="shared" si="14"/>
        <v>42.848718060622005</v>
      </c>
      <c r="N25" s="1">
        <f t="shared" si="10"/>
        <v>0</v>
      </c>
    </row>
    <row r="26" spans="1:14" x14ac:dyDescent="0.25">
      <c r="A26" s="4">
        <v>9</v>
      </c>
      <c r="B26" s="4">
        <f t="shared" si="16"/>
        <v>45.3</v>
      </c>
      <c r="C26" s="4">
        <f t="shared" si="15"/>
        <v>45.3</v>
      </c>
      <c r="D26" s="4">
        <f t="shared" si="8"/>
        <v>0</v>
      </c>
      <c r="F26" s="4">
        <v>9</v>
      </c>
      <c r="G26" s="4">
        <f t="shared" si="11"/>
        <v>45.3</v>
      </c>
      <c r="H26" s="4">
        <f t="shared" si="12"/>
        <v>45.3</v>
      </c>
      <c r="I26" s="1">
        <f t="shared" si="9"/>
        <v>0</v>
      </c>
      <c r="K26" s="4">
        <v>9</v>
      </c>
      <c r="L26" s="1">
        <f t="shared" si="13"/>
        <v>43.005698321181896</v>
      </c>
      <c r="M26" s="1">
        <f t="shared" si="14"/>
        <v>43.005698321181896</v>
      </c>
      <c r="N26" s="1">
        <f t="shared" si="10"/>
        <v>0</v>
      </c>
    </row>
    <row r="27" spans="1:14" x14ac:dyDescent="0.25">
      <c r="A27" s="4">
        <v>10</v>
      </c>
      <c r="B27" s="4">
        <f t="shared" si="16"/>
        <v>45.3</v>
      </c>
      <c r="C27" s="4">
        <f t="shared" si="15"/>
        <v>45.3</v>
      </c>
      <c r="D27" s="4">
        <f t="shared" si="8"/>
        <v>0</v>
      </c>
      <c r="F27" s="4">
        <v>10</v>
      </c>
      <c r="G27" s="4">
        <f t="shared" si="11"/>
        <v>45.3</v>
      </c>
      <c r="H27" s="4">
        <f t="shared" si="12"/>
        <v>45.3</v>
      </c>
      <c r="I27" s="1">
        <f t="shared" si="9"/>
        <v>0</v>
      </c>
      <c r="K27" s="4">
        <v>10</v>
      </c>
      <c r="L27" s="1">
        <f t="shared" si="13"/>
        <v>43.1163731585536</v>
      </c>
      <c r="M27" s="1">
        <f t="shared" si="14"/>
        <v>43.1163731585536</v>
      </c>
      <c r="N27" s="1">
        <f t="shared" si="10"/>
        <v>0</v>
      </c>
    </row>
    <row r="28" spans="1:14" x14ac:dyDescent="0.25">
      <c r="A28" s="4">
        <v>11</v>
      </c>
      <c r="B28" s="4">
        <f t="shared" si="16"/>
        <v>45.3</v>
      </c>
      <c r="C28" s="4">
        <f t="shared" si="15"/>
        <v>45.3</v>
      </c>
      <c r="D28" s="4">
        <f t="shared" si="8"/>
        <v>0</v>
      </c>
      <c r="F28" s="4">
        <v>11</v>
      </c>
      <c r="G28" s="4">
        <f t="shared" si="11"/>
        <v>45.3</v>
      </c>
      <c r="H28" s="4">
        <f t="shared" si="12"/>
        <v>45.3</v>
      </c>
      <c r="I28" s="1">
        <f t="shared" si="9"/>
        <v>0</v>
      </c>
      <c r="K28" s="4">
        <v>11</v>
      </c>
      <c r="L28" s="1">
        <f t="shared" si="13"/>
        <v>42.419787186437603</v>
      </c>
      <c r="M28" s="1">
        <f t="shared" si="14"/>
        <v>42.419787186437603</v>
      </c>
      <c r="N28" s="1">
        <f t="shared" si="10"/>
        <v>0</v>
      </c>
    </row>
    <row r="29" spans="1:14" x14ac:dyDescent="0.25">
      <c r="A29" s="4">
        <v>12</v>
      </c>
      <c r="B29" s="4">
        <f>D13+F12</f>
        <v>27.3</v>
      </c>
      <c r="C29" s="4">
        <f>B13+C13+G13</f>
        <v>27.3</v>
      </c>
      <c r="D29" s="4">
        <f t="shared" si="8"/>
        <v>0</v>
      </c>
      <c r="F29" s="4">
        <v>12</v>
      </c>
      <c r="G29" s="1">
        <f>D13+N12</f>
        <v>27.299999999999997</v>
      </c>
      <c r="H29" s="1">
        <f>B13+C13+O13</f>
        <v>27.3</v>
      </c>
      <c r="I29" s="1">
        <f t="shared" si="9"/>
        <v>0</v>
      </c>
      <c r="K29" s="4">
        <v>12</v>
      </c>
      <c r="L29" s="1">
        <f>D13+AD12</f>
        <v>25.517547548452399</v>
      </c>
      <c r="M29" s="1">
        <f>B13+C13+AE13</f>
        <v>25.516689577692002</v>
      </c>
      <c r="N29" s="1">
        <f t="shared" si="10"/>
        <v>8.5797076039639819E-4</v>
      </c>
    </row>
    <row r="30" spans="1:14" x14ac:dyDescent="0.25">
      <c r="J30" s="15"/>
    </row>
    <row r="31" spans="1:14" x14ac:dyDescent="0.25">
      <c r="F31" t="s">
        <v>182</v>
      </c>
      <c r="J31" t="s">
        <v>184</v>
      </c>
      <c r="K31" t="s">
        <v>185</v>
      </c>
      <c r="L31" t="s">
        <v>184</v>
      </c>
      <c r="M31" t="s">
        <v>185</v>
      </c>
      <c r="N31" t="s">
        <v>188</v>
      </c>
    </row>
    <row r="32" spans="1:14" x14ac:dyDescent="0.25">
      <c r="F32" s="28" t="s">
        <v>157</v>
      </c>
      <c r="G32" s="28" t="s">
        <v>162</v>
      </c>
      <c r="H32" s="28" t="s">
        <v>163</v>
      </c>
      <c r="I32" s="28" t="s">
        <v>164</v>
      </c>
      <c r="J32" t="s">
        <v>183</v>
      </c>
      <c r="K32" s="1">
        <v>7680933.9838221297</v>
      </c>
      <c r="L32" t="s">
        <v>186</v>
      </c>
      <c r="M32" s="1">
        <v>-3497963.20746064</v>
      </c>
      <c r="N32">
        <v>1</v>
      </c>
    </row>
    <row r="33" spans="6:15" x14ac:dyDescent="0.25">
      <c r="F33" s="4">
        <v>1</v>
      </c>
      <c r="G33" s="1">
        <f>D2*(Z2*Y2+(1-Z2)*X2)+O3*W3</f>
        <v>-2109820.1293486259</v>
      </c>
      <c r="H33" s="1">
        <f>N2*V2+B2*V2+C2*W2+O2*W2+U2</f>
        <v>-7680933.9838221297</v>
      </c>
      <c r="I33" s="1">
        <f>G33-H33</f>
        <v>5571113.8544735033</v>
      </c>
      <c r="N33">
        <v>-426718.55465678498</v>
      </c>
      <c r="O33">
        <v>-426718.55465678498</v>
      </c>
    </row>
    <row r="34" spans="6:15" x14ac:dyDescent="0.25">
      <c r="F34" s="4">
        <v>2</v>
      </c>
      <c r="G34" s="1">
        <f>D3*(Z3*Y3+(1-Z3)*X3)+N2*V2+O4*W4</f>
        <v>-8039211.3599828715</v>
      </c>
      <c r="H34" s="1">
        <f>B3*V3+C3*W3+O3*W3+N3*V3+U3</f>
        <v>-4160511.2943980866</v>
      </c>
      <c r="I34" s="1">
        <f t="shared" ref="I34:I44" si="17">G34-H34</f>
        <v>-3878700.0655847848</v>
      </c>
      <c r="N34">
        <v>-151903.04926292301</v>
      </c>
      <c r="O34">
        <v>-151903.04926292301</v>
      </c>
    </row>
    <row r="35" spans="6:15" x14ac:dyDescent="0.25">
      <c r="F35" s="4">
        <v>3</v>
      </c>
      <c r="G35" s="1">
        <f t="shared" ref="G35:G43" si="18">D4*(Z4*Y4+(1-Z4)*X4)+N3*V3+O5*W5</f>
        <v>-4382944.9157528151</v>
      </c>
      <c r="H35" s="1">
        <f t="shared" ref="H35:H42" si="19">B4*V4+C4*W4+O4*W4+N4*V4+U4</f>
        <v>-4196132.6445511337</v>
      </c>
      <c r="I35" s="1">
        <f t="shared" si="17"/>
        <v>-186812.27120168135</v>
      </c>
      <c r="N35">
        <v>-142046.057217397</v>
      </c>
      <c r="O35">
        <v>-142046.057217397</v>
      </c>
    </row>
    <row r="36" spans="6:15" x14ac:dyDescent="0.25">
      <c r="F36" s="4">
        <v>4</v>
      </c>
      <c r="G36" s="1">
        <f t="shared" si="18"/>
        <v>-4317270.0866213348</v>
      </c>
      <c r="H36" s="1">
        <f t="shared" si="19"/>
        <v>-4686607.4481635531</v>
      </c>
      <c r="I36" s="1">
        <f t="shared" si="17"/>
        <v>369337.36154221836</v>
      </c>
      <c r="N36">
        <v>-174396.57018223699</v>
      </c>
      <c r="O36">
        <v>-174396.57018223699</v>
      </c>
    </row>
    <row r="37" spans="6:15" x14ac:dyDescent="0.25">
      <c r="F37" s="4">
        <v>5</v>
      </c>
      <c r="G37" s="1">
        <f t="shared" si="18"/>
        <v>-7279874.0450154748</v>
      </c>
      <c r="H37" s="1">
        <f t="shared" si="19"/>
        <v>-7316258.6984684989</v>
      </c>
      <c r="I37" s="1">
        <f t="shared" si="17"/>
        <v>36384.653453024104</v>
      </c>
      <c r="N37">
        <v>-180095.61847186901</v>
      </c>
      <c r="O37">
        <v>-180095.61847186901</v>
      </c>
    </row>
    <row r="38" spans="6:15" x14ac:dyDescent="0.25">
      <c r="F38" s="4">
        <v>6</v>
      </c>
      <c r="G38" s="1">
        <f t="shared" si="18"/>
        <v>-7521993.2234804463</v>
      </c>
      <c r="H38" s="1">
        <f t="shared" si="19"/>
        <v>-5951672.297625714</v>
      </c>
      <c r="I38" s="1">
        <f t="shared" si="17"/>
        <v>-1570320.9258547323</v>
      </c>
      <c r="N38">
        <v>-124860.05035202</v>
      </c>
      <c r="O38">
        <v>-124860.05035202</v>
      </c>
    </row>
    <row r="39" spans="6:15" x14ac:dyDescent="0.25">
      <c r="F39" s="4">
        <v>7</v>
      </c>
      <c r="G39" s="1">
        <f t="shared" si="18"/>
        <v>-6046804.302978497</v>
      </c>
      <c r="H39" s="1">
        <f t="shared" si="19"/>
        <v>-7725796.1175103802</v>
      </c>
      <c r="I39" s="1">
        <f t="shared" si="17"/>
        <v>1678991.8145318832</v>
      </c>
      <c r="N39">
        <v>-187560.92594549301</v>
      </c>
      <c r="O39">
        <v>-187560.92594549301</v>
      </c>
    </row>
    <row r="40" spans="6:15" x14ac:dyDescent="0.25">
      <c r="F40" s="4">
        <v>8</v>
      </c>
      <c r="G40" s="1">
        <f t="shared" si="18"/>
        <v>-7773998.0240992205</v>
      </c>
      <c r="H40" s="1">
        <f t="shared" si="19"/>
        <v>-7445816.7998588402</v>
      </c>
      <c r="I40" s="1">
        <f t="shared" si="17"/>
        <v>-328181.22424038034</v>
      </c>
      <c r="N40">
        <v>-176105.92935862599</v>
      </c>
      <c r="O40">
        <v>-176105.92935862599</v>
      </c>
    </row>
    <row r="41" spans="6:15" x14ac:dyDescent="0.25">
      <c r="F41" s="4">
        <v>9</v>
      </c>
      <c r="G41" s="1">
        <f t="shared" si="18"/>
        <v>-7470232.4338423144</v>
      </c>
      <c r="H41" s="1">
        <f t="shared" si="19"/>
        <v>428845.1164455316</v>
      </c>
      <c r="I41" s="1">
        <f t="shared" si="17"/>
        <v>-7899077.5502878465</v>
      </c>
      <c r="N41">
        <v>112909.518763106</v>
      </c>
      <c r="O41">
        <v>112909.518763106</v>
      </c>
    </row>
    <row r="42" spans="6:15" x14ac:dyDescent="0.25">
      <c r="F42" s="4">
        <v>10</v>
      </c>
      <c r="G42" s="1">
        <f t="shared" si="18"/>
        <v>408568.09169797925</v>
      </c>
      <c r="H42" s="1">
        <f t="shared" si="19"/>
        <v>-8158608.5407865141</v>
      </c>
      <c r="I42" s="1">
        <f t="shared" si="17"/>
        <v>8567176.6324844938</v>
      </c>
      <c r="N42">
        <v>-201321.171371234</v>
      </c>
      <c r="O42">
        <v>-201321.171371234</v>
      </c>
    </row>
    <row r="43" spans="6:15" x14ac:dyDescent="0.25">
      <c r="F43" s="4">
        <v>11</v>
      </c>
      <c r="G43" s="1">
        <f t="shared" si="18"/>
        <v>-8196221.3316896018</v>
      </c>
      <c r="H43" s="1">
        <f>B12*V12+C12*W12+O12*W12+N12*V12+U12</f>
        <v>-8001492.9443231281</v>
      </c>
      <c r="I43" s="1">
        <f t="shared" si="17"/>
        <v>-194728.38736647367</v>
      </c>
      <c r="N43">
        <v>-195151.325047191</v>
      </c>
      <c r="O43">
        <v>-195151.325047191</v>
      </c>
    </row>
    <row r="44" spans="6:15" x14ac:dyDescent="0.25">
      <c r="F44" s="4">
        <v>12</v>
      </c>
      <c r="G44" s="1">
        <f>D13*(Z13*Y13+(1-Z13)*X13)+N12*V12</f>
        <v>-5327631.1737883138</v>
      </c>
      <c r="H44" s="1">
        <f>B13*V13+C13*W13+O13*W13+U13</f>
        <v>-4529821.3195825722</v>
      </c>
      <c r="I44" s="1">
        <f t="shared" si="17"/>
        <v>-797809.85420574155</v>
      </c>
      <c r="N44">
        <v>-196738.49100297401</v>
      </c>
      <c r="O44">
        <v>-196738.49100297401</v>
      </c>
    </row>
    <row r="45" spans="6:15" x14ac:dyDescent="0.25">
      <c r="I45" s="14">
        <f>SUM(I33:I44)</f>
        <v>1367374.0377434818</v>
      </c>
    </row>
    <row r="50" spans="1:10" x14ac:dyDescent="0.25">
      <c r="A50" t="s">
        <v>0</v>
      </c>
      <c r="B50" s="4" t="s">
        <v>28</v>
      </c>
      <c r="C50" s="4" t="s">
        <v>29</v>
      </c>
      <c r="D50" s="4" t="s">
        <v>30</v>
      </c>
      <c r="E50" s="4" t="s">
        <v>31</v>
      </c>
      <c r="F50" s="4" t="s">
        <v>32</v>
      </c>
      <c r="G50" s="4" t="s">
        <v>33</v>
      </c>
      <c r="H50" s="4" t="s">
        <v>34</v>
      </c>
      <c r="I50" s="4" t="s">
        <v>35</v>
      </c>
      <c r="J50" s="4" t="s">
        <v>36</v>
      </c>
    </row>
    <row r="51" spans="1:10" x14ac:dyDescent="0.25">
      <c r="B51" s="4">
        <v>-82.45</v>
      </c>
      <c r="C51" s="4">
        <v>32.28</v>
      </c>
      <c r="D51" s="4">
        <v>96.75</v>
      </c>
      <c r="E51" s="4">
        <v>134.9</v>
      </c>
      <c r="F51" s="4">
        <v>152</v>
      </c>
      <c r="G51" s="4">
        <v>187.2</v>
      </c>
      <c r="H51" s="4">
        <v>196.5</v>
      </c>
      <c r="I51" s="4">
        <v>234.7</v>
      </c>
      <c r="J51" s="4">
        <v>267</v>
      </c>
    </row>
    <row r="52" spans="1:10" x14ac:dyDescent="0.25">
      <c r="B52">
        <f>B51+273.15</f>
        <v>190.7</v>
      </c>
      <c r="C52">
        <f t="shared" ref="C52:J52" si="20">C51+273.15</f>
        <v>305.42999999999995</v>
      </c>
      <c r="D52">
        <f t="shared" si="20"/>
        <v>369.9</v>
      </c>
      <c r="E52">
        <f t="shared" si="20"/>
        <v>408.04999999999995</v>
      </c>
      <c r="F52">
        <f t="shared" si="20"/>
        <v>425.15</v>
      </c>
      <c r="G52">
        <f t="shared" si="20"/>
        <v>460.34999999999997</v>
      </c>
      <c r="H52">
        <f t="shared" si="20"/>
        <v>469.65</v>
      </c>
      <c r="I52">
        <f t="shared" si="20"/>
        <v>507.84999999999997</v>
      </c>
      <c r="J52">
        <f t="shared" si="20"/>
        <v>540.15</v>
      </c>
    </row>
    <row r="53" spans="1:10" x14ac:dyDescent="0.25">
      <c r="A53" t="s">
        <v>134</v>
      </c>
      <c r="B53" s="4" t="s">
        <v>28</v>
      </c>
      <c r="C53" s="4" t="s">
        <v>29</v>
      </c>
      <c r="D53" s="4" t="s">
        <v>30</v>
      </c>
      <c r="E53" s="4" t="s">
        <v>31</v>
      </c>
      <c r="F53" s="4" t="s">
        <v>32</v>
      </c>
      <c r="G53" s="4" t="s">
        <v>33</v>
      </c>
      <c r="H53" s="4" t="s">
        <v>34</v>
      </c>
      <c r="I53" s="4" t="s">
        <v>35</v>
      </c>
      <c r="J53" s="4" t="s">
        <v>36</v>
      </c>
    </row>
    <row r="54" spans="1:10" x14ac:dyDescent="0.25">
      <c r="B54" s="4">
        <v>-161.52500000000001</v>
      </c>
      <c r="C54" s="4">
        <v>-88.599996948242193</v>
      </c>
      <c r="D54" s="4">
        <v>-42.101995849609402</v>
      </c>
      <c r="E54" s="4">
        <v>-11.7299865722656</v>
      </c>
      <c r="F54" s="4">
        <v>-0.50198974609372704</v>
      </c>
      <c r="G54" s="4">
        <v>27.878015136718801</v>
      </c>
      <c r="H54" s="4">
        <v>36.059014892578098</v>
      </c>
      <c r="I54" s="4">
        <v>68.730004882812494</v>
      </c>
      <c r="J54" s="4">
        <v>98.429010009765605</v>
      </c>
    </row>
    <row r="55" spans="1:10" x14ac:dyDescent="0.25">
      <c r="B55">
        <f>B54+273.15</f>
        <v>111.62499999999997</v>
      </c>
      <c r="C55">
        <f t="shared" ref="C55:J55" si="21">C54+273.15</f>
        <v>184.55000305175778</v>
      </c>
      <c r="D55">
        <f t="shared" si="21"/>
        <v>231.04800415039057</v>
      </c>
      <c r="E55">
        <f t="shared" si="21"/>
        <v>261.42001342773437</v>
      </c>
      <c r="F55">
        <f t="shared" si="21"/>
        <v>272.64801025390625</v>
      </c>
      <c r="G55">
        <f t="shared" si="21"/>
        <v>301.02801513671875</v>
      </c>
      <c r="H55">
        <f t="shared" si="21"/>
        <v>309.20901489257807</v>
      </c>
      <c r="I55">
        <f t="shared" si="21"/>
        <v>341.8800048828125</v>
      </c>
      <c r="J55">
        <f t="shared" si="21"/>
        <v>371.57901000976557</v>
      </c>
    </row>
    <row r="56" spans="1:10" x14ac:dyDescent="0.25">
      <c r="A56" t="s">
        <v>197</v>
      </c>
      <c r="B56" s="4" t="s">
        <v>28</v>
      </c>
      <c r="C56" s="4" t="s">
        <v>29</v>
      </c>
      <c r="D56" s="4" t="s">
        <v>30</v>
      </c>
      <c r="E56" s="4" t="s">
        <v>31</v>
      </c>
      <c r="F56" s="4" t="s">
        <v>32</v>
      </c>
      <c r="G56" s="4" t="s">
        <v>33</v>
      </c>
      <c r="H56" s="4" t="s">
        <v>34</v>
      </c>
      <c r="I56" s="4" t="s">
        <v>35</v>
      </c>
      <c r="J56" s="4" t="s">
        <v>36</v>
      </c>
    </row>
    <row r="57" spans="1:10" x14ac:dyDescent="0.25">
      <c r="B57">
        <f>B54/B51</f>
        <v>1.9590661006670709</v>
      </c>
      <c r="C57">
        <f t="shared" ref="C57:J57" si="22">C54/C51</f>
        <v>-2.7447334866246034</v>
      </c>
      <c r="D57">
        <f t="shared" si="22"/>
        <v>-0.43516274779958036</v>
      </c>
      <c r="E57">
        <f t="shared" si="22"/>
        <v>-8.6953199201375828E-2</v>
      </c>
      <c r="F57">
        <f t="shared" si="22"/>
        <v>-3.3025641190376777E-3</v>
      </c>
      <c r="G57">
        <f t="shared" si="22"/>
        <v>0.14892102102948079</v>
      </c>
      <c r="H57">
        <f t="shared" si="22"/>
        <v>0.18350643711235673</v>
      </c>
      <c r="I57">
        <f t="shared" si="22"/>
        <v>0.29284194666728802</v>
      </c>
      <c r="J57">
        <f t="shared" si="22"/>
        <v>0.36864797756466516</v>
      </c>
    </row>
    <row r="58" spans="1:10" x14ac:dyDescent="0.25">
      <c r="B58" s="4">
        <f>B55/B52</f>
        <v>0.58534347142108012</v>
      </c>
      <c r="C58" s="4">
        <f t="shared" ref="C58:J58" si="23">C55/C52</f>
        <v>0.60423011181533515</v>
      </c>
      <c r="D58" s="4">
        <f t="shared" si="23"/>
        <v>0.62462288226653306</v>
      </c>
      <c r="E58" s="4">
        <f t="shared" si="23"/>
        <v>0.64065681516415729</v>
      </c>
      <c r="F58" s="4">
        <f t="shared" si="23"/>
        <v>0.64129838940116723</v>
      </c>
      <c r="G58" s="4">
        <f t="shared" si="23"/>
        <v>0.65391118743720811</v>
      </c>
      <c r="H58" s="4">
        <f t="shared" si="23"/>
        <v>0.65838180537118718</v>
      </c>
      <c r="I58" s="4">
        <f t="shared" si="23"/>
        <v>0.67319091244031215</v>
      </c>
      <c r="J58" s="4">
        <f t="shared" si="23"/>
        <v>0.687918189409915</v>
      </c>
    </row>
  </sheetData>
  <mergeCells count="1">
    <mergeCell ref="AB1:AB13"/>
  </mergeCell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abSelected="1" zoomScaleNormal="100" workbookViewId="0">
      <selection activeCell="O13" sqref="O13"/>
    </sheetView>
  </sheetViews>
  <sheetFormatPr defaultRowHeight="15" x14ac:dyDescent="0.25"/>
  <cols>
    <col min="5" max="8" width="11.7109375" bestFit="1" customWidth="1"/>
    <col min="9" max="9" width="12" bestFit="1" customWidth="1"/>
    <col min="11" max="11" width="11.28515625" bestFit="1" customWidth="1"/>
    <col min="13" max="14" width="11.28515625" bestFit="1" customWidth="1"/>
  </cols>
  <sheetData>
    <row r="1" spans="1:32" x14ac:dyDescent="0.25">
      <c r="A1" t="s">
        <v>157</v>
      </c>
      <c r="B1" t="s">
        <v>155</v>
      </c>
      <c r="C1" t="s">
        <v>156</v>
      </c>
      <c r="D1" t="s">
        <v>16</v>
      </c>
      <c r="E1" t="s">
        <v>42</v>
      </c>
      <c r="F1" t="s">
        <v>158</v>
      </c>
      <c r="G1" t="s">
        <v>159</v>
      </c>
      <c r="I1" t="s">
        <v>51</v>
      </c>
      <c r="J1" t="s">
        <v>160</v>
      </c>
      <c r="K1" t="s">
        <v>165</v>
      </c>
      <c r="L1" t="s">
        <v>166</v>
      </c>
      <c r="M1" t="s">
        <v>157</v>
      </c>
      <c r="N1" t="s">
        <v>201</v>
      </c>
      <c r="O1" t="s">
        <v>202</v>
      </c>
      <c r="P1" t="s">
        <v>54</v>
      </c>
      <c r="Q1" t="s">
        <v>171</v>
      </c>
      <c r="R1" t="s">
        <v>106</v>
      </c>
      <c r="S1" t="s">
        <v>172</v>
      </c>
      <c r="T1" t="s">
        <v>108</v>
      </c>
      <c r="U1" t="s">
        <v>187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B1" s="31" t="s">
        <v>170</v>
      </c>
      <c r="AC1" s="4" t="s">
        <v>167</v>
      </c>
      <c r="AD1" s="4" t="s">
        <v>168</v>
      </c>
      <c r="AE1" s="4" t="s">
        <v>169</v>
      </c>
    </row>
    <row r="2" spans="1:32" x14ac:dyDescent="0.25">
      <c r="A2">
        <v>1</v>
      </c>
      <c r="B2">
        <v>4.5</v>
      </c>
      <c r="C2">
        <v>0</v>
      </c>
      <c r="D2">
        <v>0</v>
      </c>
      <c r="E2">
        <v>13.5</v>
      </c>
      <c r="F2">
        <v>13.5</v>
      </c>
      <c r="G2">
        <v>0</v>
      </c>
      <c r="I2">
        <f>(B2+C2)/(F2+G2)</f>
        <v>0.33333333333333331</v>
      </c>
      <c r="J2">
        <f>I2/(I2+1)*(D2+G3+0)</f>
        <v>4.5</v>
      </c>
      <c r="K2" s="17">
        <v>1.9354838709677418</v>
      </c>
      <c r="L2">
        <v>3</v>
      </c>
      <c r="M2">
        <v>1</v>
      </c>
      <c r="N2">
        <v>13.5</v>
      </c>
      <c r="O2">
        <v>0</v>
      </c>
      <c r="P2">
        <v>1</v>
      </c>
      <c r="R2">
        <f>($L$2*$D$2+($L$2+1)*$D$13+$Q$14)/($L$2+$K$2+1)</f>
        <v>9.3000000000000007</v>
      </c>
      <c r="T2">
        <f>((K2+1)*$D$2+$L$2*$D$13+$S$14)/($K$2+$L$2+1)</f>
        <v>4.5</v>
      </c>
      <c r="U2">
        <v>0</v>
      </c>
      <c r="V2">
        <v>44109.933751360797</v>
      </c>
      <c r="W2">
        <v>-74957.287137243504</v>
      </c>
      <c r="X2">
        <v>0</v>
      </c>
      <c r="Y2">
        <v>0</v>
      </c>
      <c r="Z2">
        <v>0</v>
      </c>
      <c r="AB2" s="31"/>
      <c r="AC2" s="4">
        <v>1</v>
      </c>
      <c r="AD2" s="1">
        <v>13.500299833946301</v>
      </c>
      <c r="AE2" s="1">
        <v>2.7741825834638801E-21</v>
      </c>
    </row>
    <row r="3" spans="1:32" x14ac:dyDescent="0.25">
      <c r="A3">
        <v>2</v>
      </c>
      <c r="B3">
        <v>0</v>
      </c>
      <c r="C3">
        <v>0</v>
      </c>
      <c r="D3">
        <v>0</v>
      </c>
      <c r="F3">
        <f>F2+D3-B3</f>
        <v>13.5</v>
      </c>
      <c r="G3">
        <f>$C$2+$B$2+$E$2-C3</f>
        <v>18</v>
      </c>
      <c r="I3">
        <f t="shared" ref="I3:I13" si="0">(B3+C3)/(F3+G3)</f>
        <v>0</v>
      </c>
      <c r="J3">
        <f t="shared" ref="J3:J13" si="1">I3/(I3+1)*(D3+G4+F2)</f>
        <v>0</v>
      </c>
      <c r="M3">
        <v>2</v>
      </c>
      <c r="N3">
        <v>10.5871286239064</v>
      </c>
      <c r="O3">
        <v>18.0036364680095</v>
      </c>
      <c r="P3">
        <v>1</v>
      </c>
      <c r="Q3">
        <f>(P3+$L$2)*D3+($L$2+1)*B3-C3</f>
        <v>0</v>
      </c>
      <c r="S3">
        <f>($K$2+1-P3)*D3+($L$2+1)*B3+C3</f>
        <v>0</v>
      </c>
      <c r="U3">
        <v>0</v>
      </c>
      <c r="V3">
        <v>74704.964333387499</v>
      </c>
      <c r="W3">
        <v>-115062.508816715</v>
      </c>
      <c r="X3">
        <v>0</v>
      </c>
      <c r="Y3">
        <v>0</v>
      </c>
      <c r="Z3">
        <v>0</v>
      </c>
      <c r="AB3" s="31"/>
      <c r="AC3" s="4">
        <v>2</v>
      </c>
      <c r="AD3" s="1">
        <v>20.737343306692999</v>
      </c>
      <c r="AE3" s="1">
        <v>18.000346885249801</v>
      </c>
    </row>
    <row r="4" spans="1:32" x14ac:dyDescent="0.25">
      <c r="A4">
        <v>3</v>
      </c>
      <c r="B4">
        <v>0</v>
      </c>
      <c r="C4">
        <v>0</v>
      </c>
      <c r="D4">
        <v>0</v>
      </c>
      <c r="F4">
        <f t="shared" ref="F4:F12" si="2">F3+D4-B4</f>
        <v>13.5</v>
      </c>
      <c r="G4">
        <f>$C$2+$B$2+$E$2-C4</f>
        <v>18</v>
      </c>
      <c r="I4">
        <f t="shared" si="0"/>
        <v>0</v>
      </c>
      <c r="J4">
        <f t="shared" si="1"/>
        <v>0</v>
      </c>
      <c r="M4">
        <v>3</v>
      </c>
      <c r="N4">
        <v>10.084610931869699</v>
      </c>
      <c r="O4">
        <v>15.0907650919159</v>
      </c>
      <c r="P4">
        <v>1</v>
      </c>
      <c r="Q4">
        <f t="shared" ref="Q4:Q12" si="3">(P4+$L$2)*D4+($L$2+1)*B4-C4</f>
        <v>0</v>
      </c>
      <c r="S4">
        <f t="shared" ref="S4:S12" si="4">($K$2+1-P4)*D4+($L$2+1)*B4+C4</f>
        <v>0</v>
      </c>
      <c r="U4">
        <v>0</v>
      </c>
      <c r="V4">
        <v>81125.085358871307</v>
      </c>
      <c r="W4">
        <v>-124314.79450897699</v>
      </c>
      <c r="X4">
        <v>0</v>
      </c>
      <c r="Y4">
        <v>0</v>
      </c>
      <c r="Z4">
        <v>0</v>
      </c>
      <c r="AB4" s="31"/>
      <c r="AC4" s="4">
        <v>3</v>
      </c>
      <c r="AD4" s="1">
        <v>20.928700985846302</v>
      </c>
      <c r="AE4" s="1">
        <v>25.2373903579965</v>
      </c>
    </row>
    <row r="5" spans="1:32" x14ac:dyDescent="0.25">
      <c r="A5">
        <v>4</v>
      </c>
      <c r="B5">
        <v>0</v>
      </c>
      <c r="C5">
        <v>0</v>
      </c>
      <c r="D5">
        <v>0</v>
      </c>
      <c r="F5">
        <f t="shared" si="2"/>
        <v>13.5</v>
      </c>
      <c r="G5">
        <f t="shared" ref="G5:G13" si="5">$C$2+$B$2+$E$2-C5</f>
        <v>18</v>
      </c>
      <c r="I5">
        <f t="shared" si="0"/>
        <v>0</v>
      </c>
      <c r="J5">
        <f t="shared" si="1"/>
        <v>0</v>
      </c>
      <c r="M5">
        <v>4</v>
      </c>
      <c r="N5">
        <v>9.4336680886470408</v>
      </c>
      <c r="O5">
        <v>14.588247399879201</v>
      </c>
      <c r="P5">
        <v>1</v>
      </c>
      <c r="Q5">
        <f t="shared" si="3"/>
        <v>0</v>
      </c>
      <c r="S5">
        <f t="shared" si="4"/>
        <v>0</v>
      </c>
      <c r="U5">
        <v>0</v>
      </c>
      <c r="V5">
        <v>90689.3236803818</v>
      </c>
      <c r="W5">
        <v>-126730.65569331701</v>
      </c>
      <c r="X5">
        <v>0</v>
      </c>
      <c r="Y5">
        <v>0</v>
      </c>
      <c r="Z5">
        <v>0</v>
      </c>
      <c r="AB5" s="31"/>
      <c r="AC5" s="4">
        <v>4</v>
      </c>
      <c r="AD5" s="1">
        <v>19.550301112881002</v>
      </c>
      <c r="AE5" s="1">
        <v>25.428748037149798</v>
      </c>
    </row>
    <row r="6" spans="1:32" x14ac:dyDescent="0.25">
      <c r="A6">
        <v>5</v>
      </c>
      <c r="B6">
        <v>0</v>
      </c>
      <c r="C6">
        <v>0</v>
      </c>
      <c r="D6">
        <v>13.8</v>
      </c>
      <c r="F6">
        <f>F5+D6-B6</f>
        <v>27.3</v>
      </c>
      <c r="G6">
        <f t="shared" si="5"/>
        <v>18</v>
      </c>
      <c r="I6">
        <f t="shared" si="0"/>
        <v>0</v>
      </c>
      <c r="J6">
        <f t="shared" si="1"/>
        <v>0</v>
      </c>
      <c r="M6">
        <v>5</v>
      </c>
      <c r="N6">
        <v>16.992712484235899</v>
      </c>
      <c r="O6">
        <v>13.9373045566565</v>
      </c>
      <c r="P6">
        <v>1</v>
      </c>
      <c r="Q6">
        <f t="shared" si="3"/>
        <v>55.2</v>
      </c>
      <c r="S6">
        <f t="shared" si="4"/>
        <v>26.70967741935484</v>
      </c>
      <c r="U6">
        <v>0</v>
      </c>
      <c r="V6">
        <v>112220.73257347</v>
      </c>
      <c r="W6">
        <v>-129962.38367809499</v>
      </c>
      <c r="X6">
        <v>128619.236172658</v>
      </c>
      <c r="Y6">
        <v>-127001.378460454</v>
      </c>
      <c r="Z6">
        <v>0.42134857177734403</v>
      </c>
      <c r="AB6" s="31"/>
      <c r="AC6" s="4">
        <v>5</v>
      </c>
      <c r="AD6" s="1">
        <v>26.036399214896399</v>
      </c>
      <c r="AE6" s="1">
        <v>24.050348164184602</v>
      </c>
    </row>
    <row r="7" spans="1:32" x14ac:dyDescent="0.25">
      <c r="A7">
        <v>6</v>
      </c>
      <c r="B7">
        <v>0</v>
      </c>
      <c r="C7">
        <v>0</v>
      </c>
      <c r="D7">
        <v>0</v>
      </c>
      <c r="F7">
        <f>F6+D7-B7</f>
        <v>27.3</v>
      </c>
      <c r="G7">
        <f t="shared" si="5"/>
        <v>18</v>
      </c>
      <c r="I7">
        <f t="shared" si="0"/>
        <v>0</v>
      </c>
      <c r="J7">
        <f t="shared" si="1"/>
        <v>0</v>
      </c>
      <c r="M7">
        <v>6</v>
      </c>
      <c r="N7">
        <v>16.714178575616501</v>
      </c>
      <c r="O7">
        <v>7.69634895224541</v>
      </c>
      <c r="P7">
        <v>1</v>
      </c>
      <c r="Q7">
        <f t="shared" si="3"/>
        <v>0</v>
      </c>
      <c r="S7">
        <f t="shared" si="4"/>
        <v>0</v>
      </c>
      <c r="U7">
        <v>0</v>
      </c>
      <c r="V7">
        <v>115336.227008503</v>
      </c>
      <c r="W7">
        <v>-136227.783942215</v>
      </c>
      <c r="X7">
        <v>0</v>
      </c>
      <c r="Y7">
        <v>0</v>
      </c>
      <c r="Z7">
        <v>0</v>
      </c>
      <c r="AB7" s="31"/>
      <c r="AC7" s="4">
        <v>6</v>
      </c>
      <c r="AD7" s="1">
        <v>26.207099493930599</v>
      </c>
      <c r="AE7" s="1">
        <v>16.7362405377912</v>
      </c>
    </row>
    <row r="8" spans="1:32" x14ac:dyDescent="0.25">
      <c r="A8">
        <v>7</v>
      </c>
      <c r="B8">
        <v>0</v>
      </c>
      <c r="C8">
        <v>0</v>
      </c>
      <c r="D8">
        <v>0</v>
      </c>
      <c r="F8">
        <f t="shared" si="2"/>
        <v>27.3</v>
      </c>
      <c r="G8">
        <f t="shared" si="5"/>
        <v>18</v>
      </c>
      <c r="I8">
        <f t="shared" si="0"/>
        <v>0</v>
      </c>
      <c r="J8">
        <f t="shared" si="1"/>
        <v>0</v>
      </c>
      <c r="M8">
        <v>7</v>
      </c>
      <c r="N8">
        <v>16.490714312245199</v>
      </c>
      <c r="O8">
        <v>7.4178150436259296</v>
      </c>
      <c r="P8">
        <v>1</v>
      </c>
      <c r="Q8">
        <f t="shared" si="3"/>
        <v>0</v>
      </c>
      <c r="S8">
        <f t="shared" si="4"/>
        <v>0</v>
      </c>
      <c r="U8">
        <v>0</v>
      </c>
      <c r="V8">
        <v>117859.169485223</v>
      </c>
      <c r="W8">
        <v>-138535.34709400899</v>
      </c>
      <c r="X8">
        <v>0</v>
      </c>
      <c r="Y8">
        <v>0</v>
      </c>
      <c r="Z8">
        <v>0</v>
      </c>
      <c r="AB8" s="31"/>
      <c r="AC8" s="4">
        <v>7</v>
      </c>
      <c r="AD8" s="1">
        <v>26.116418529036</v>
      </c>
      <c r="AE8" s="1">
        <v>16.906940816825401</v>
      </c>
    </row>
    <row r="9" spans="1:32" x14ac:dyDescent="0.25">
      <c r="A9">
        <v>8</v>
      </c>
      <c r="B9">
        <v>0</v>
      </c>
      <c r="C9">
        <v>0</v>
      </c>
      <c r="D9">
        <v>0</v>
      </c>
      <c r="F9">
        <f t="shared" si="2"/>
        <v>27.3</v>
      </c>
      <c r="G9">
        <f t="shared" si="5"/>
        <v>18</v>
      </c>
      <c r="I9">
        <f t="shared" si="0"/>
        <v>0</v>
      </c>
      <c r="J9">
        <f t="shared" si="1"/>
        <v>0</v>
      </c>
      <c r="M9">
        <v>8</v>
      </c>
      <c r="N9">
        <v>16.275180320984699</v>
      </c>
      <c r="O9">
        <v>7.19435078025462</v>
      </c>
      <c r="P9">
        <v>1</v>
      </c>
      <c r="Q9">
        <f t="shared" si="3"/>
        <v>0</v>
      </c>
      <c r="S9">
        <f t="shared" si="4"/>
        <v>0</v>
      </c>
      <c r="U9">
        <v>0</v>
      </c>
      <c r="V9">
        <v>120373.405186045</v>
      </c>
      <c r="W9">
        <v>-140636.568809497</v>
      </c>
      <c r="X9">
        <v>0</v>
      </c>
      <c r="Y9">
        <v>0</v>
      </c>
      <c r="Z9">
        <v>0</v>
      </c>
      <c r="AB9" s="31"/>
      <c r="AC9" s="4">
        <v>8</v>
      </c>
      <c r="AD9" s="1">
        <v>26.099089973248098</v>
      </c>
      <c r="AE9" s="1">
        <v>16.816259851930798</v>
      </c>
    </row>
    <row r="10" spans="1:32" x14ac:dyDescent="0.25">
      <c r="A10">
        <v>9</v>
      </c>
      <c r="B10">
        <v>0</v>
      </c>
      <c r="C10">
        <v>0</v>
      </c>
      <c r="D10">
        <v>0</v>
      </c>
      <c r="F10">
        <f t="shared" si="2"/>
        <v>27.3</v>
      </c>
      <c r="G10">
        <f t="shared" si="5"/>
        <v>18</v>
      </c>
      <c r="I10">
        <f t="shared" si="0"/>
        <v>0</v>
      </c>
      <c r="J10">
        <f t="shared" si="1"/>
        <v>0</v>
      </c>
      <c r="M10">
        <v>9</v>
      </c>
      <c r="N10">
        <v>16.068194067167099</v>
      </c>
      <c r="O10">
        <v>6.9788167889941599</v>
      </c>
      <c r="P10">
        <v>1</v>
      </c>
      <c r="Q10">
        <f t="shared" si="3"/>
        <v>0</v>
      </c>
      <c r="S10">
        <f t="shared" si="4"/>
        <v>0</v>
      </c>
      <c r="U10">
        <v>0</v>
      </c>
      <c r="V10">
        <v>122922.58340464</v>
      </c>
      <c r="W10">
        <v>-142755.24254854201</v>
      </c>
      <c r="X10">
        <v>0</v>
      </c>
      <c r="Y10">
        <v>0</v>
      </c>
      <c r="Z10">
        <v>0</v>
      </c>
      <c r="AB10" s="31"/>
      <c r="AC10" s="4">
        <v>9</v>
      </c>
      <c r="AD10" s="1">
        <v>26.2015883534268</v>
      </c>
      <c r="AE10" s="1">
        <v>16.7989312961429</v>
      </c>
    </row>
    <row r="11" spans="1:32" x14ac:dyDescent="0.25">
      <c r="A11">
        <v>10</v>
      </c>
      <c r="B11">
        <v>0</v>
      </c>
      <c r="C11">
        <v>0</v>
      </c>
      <c r="D11">
        <v>0</v>
      </c>
      <c r="F11">
        <f t="shared" si="2"/>
        <v>27.3</v>
      </c>
      <c r="G11">
        <f t="shared" si="5"/>
        <v>18</v>
      </c>
      <c r="I11">
        <f t="shared" si="0"/>
        <v>0</v>
      </c>
      <c r="J11">
        <f t="shared" si="1"/>
        <v>0</v>
      </c>
      <c r="M11">
        <v>10</v>
      </c>
      <c r="N11">
        <v>15.853168160007399</v>
      </c>
      <c r="O11">
        <v>6.7718305351765897</v>
      </c>
      <c r="P11">
        <v>1</v>
      </c>
      <c r="Q11">
        <f t="shared" si="3"/>
        <v>0</v>
      </c>
      <c r="S11">
        <f t="shared" si="4"/>
        <v>0</v>
      </c>
      <c r="U11">
        <v>0</v>
      </c>
      <c r="V11">
        <v>125798.613191856</v>
      </c>
      <c r="W11">
        <v>-144747.91685770499</v>
      </c>
      <c r="X11">
        <v>0</v>
      </c>
      <c r="Y11">
        <v>0</v>
      </c>
      <c r="Z11">
        <v>0</v>
      </c>
      <c r="AB11" s="31"/>
      <c r="AC11" s="4">
        <v>10</v>
      </c>
      <c r="AD11" s="1">
        <v>26.189796836678799</v>
      </c>
      <c r="AE11" s="1">
        <v>16.901429676321602</v>
      </c>
    </row>
    <row r="12" spans="1:32" x14ac:dyDescent="0.25">
      <c r="A12">
        <v>11</v>
      </c>
      <c r="B12">
        <v>0</v>
      </c>
      <c r="C12">
        <v>0</v>
      </c>
      <c r="D12">
        <v>0</v>
      </c>
      <c r="F12">
        <f t="shared" si="2"/>
        <v>27.3</v>
      </c>
      <c r="G12">
        <f t="shared" si="5"/>
        <v>18</v>
      </c>
      <c r="I12">
        <f t="shared" si="0"/>
        <v>0</v>
      </c>
      <c r="J12">
        <f t="shared" si="1"/>
        <v>0</v>
      </c>
      <c r="M12">
        <v>11</v>
      </c>
      <c r="N12">
        <v>15.584140180189401</v>
      </c>
      <c r="O12">
        <v>6.5568046280169101</v>
      </c>
      <c r="P12">
        <v>1</v>
      </c>
      <c r="Q12">
        <f t="shared" si="3"/>
        <v>0</v>
      </c>
      <c r="S12">
        <f t="shared" si="4"/>
        <v>0</v>
      </c>
      <c r="U12">
        <v>0</v>
      </c>
      <c r="V12">
        <v>129814.86789733</v>
      </c>
      <c r="W12">
        <v>-146570.67205274099</v>
      </c>
      <c r="X12">
        <v>0</v>
      </c>
      <c r="Y12">
        <v>0</v>
      </c>
      <c r="Z12">
        <v>0</v>
      </c>
      <c r="AB12" s="31"/>
      <c r="AC12" s="4">
        <v>11</v>
      </c>
      <c r="AD12" s="1">
        <v>25.511424209470999</v>
      </c>
      <c r="AE12" s="1">
        <v>16.8896381595736</v>
      </c>
    </row>
    <row r="13" spans="1:32" x14ac:dyDescent="0.25">
      <c r="A13">
        <v>12</v>
      </c>
      <c r="B13">
        <v>9.3000000000000007</v>
      </c>
      <c r="C13">
        <v>0</v>
      </c>
      <c r="D13">
        <v>0</v>
      </c>
      <c r="F13">
        <f>B13</f>
        <v>9.3000000000000007</v>
      </c>
      <c r="G13">
        <f t="shared" si="5"/>
        <v>18</v>
      </c>
      <c r="I13">
        <f t="shared" si="0"/>
        <v>0.34065934065934067</v>
      </c>
      <c r="J13">
        <f t="shared" si="1"/>
        <v>6.9368852459016397</v>
      </c>
      <c r="M13">
        <v>12</v>
      </c>
      <c r="N13">
        <v>9.3000000000000007</v>
      </c>
      <c r="O13">
        <v>6.2877766481988999</v>
      </c>
      <c r="P13">
        <v>1</v>
      </c>
      <c r="U13">
        <v>0</v>
      </c>
      <c r="V13">
        <v>135332.544162159</v>
      </c>
      <c r="W13">
        <v>-148267.69118361</v>
      </c>
      <c r="X13">
        <v>0</v>
      </c>
      <c r="Y13">
        <v>0</v>
      </c>
      <c r="Z13">
        <v>0</v>
      </c>
      <c r="AB13" s="31"/>
      <c r="AC13" s="4">
        <v>12</v>
      </c>
      <c r="AD13" s="1">
        <v>9.3001586771051894</v>
      </c>
      <c r="AE13" s="1">
        <v>16.2112655323659</v>
      </c>
      <c r="AF13">
        <f>AE13/AD13</f>
        <v>1.7431170902787105</v>
      </c>
    </row>
    <row r="14" spans="1:32" x14ac:dyDescent="0.25">
      <c r="O14">
        <f>O13/N13</f>
        <v>0.67610501593536554</v>
      </c>
      <c r="Q14">
        <f>SUM(Q3:Q12)</f>
        <v>55.2</v>
      </c>
      <c r="S14">
        <f>SUM(S3:S12)</f>
        <v>26.70967741935484</v>
      </c>
    </row>
    <row r="15" spans="1:32" x14ac:dyDescent="0.25">
      <c r="A15" t="s">
        <v>161</v>
      </c>
    </row>
    <row r="17" spans="1:14" x14ac:dyDescent="0.25">
      <c r="A17" s="27" t="s">
        <v>157</v>
      </c>
      <c r="B17" s="27" t="s">
        <v>162</v>
      </c>
      <c r="C17" s="27" t="s">
        <v>163</v>
      </c>
      <c r="D17" s="27" t="s">
        <v>164</v>
      </c>
      <c r="F17" s="28" t="s">
        <v>157</v>
      </c>
      <c r="G17" s="28" t="s">
        <v>162</v>
      </c>
      <c r="H17" s="28" t="s">
        <v>163</v>
      </c>
      <c r="I17" s="28" t="s">
        <v>164</v>
      </c>
      <c r="K17" s="29" t="s">
        <v>157</v>
      </c>
      <c r="L17" s="29" t="s">
        <v>162</v>
      </c>
      <c r="M17" s="29" t="s">
        <v>163</v>
      </c>
      <c r="N17" s="29" t="s">
        <v>164</v>
      </c>
    </row>
    <row r="18" spans="1:14" x14ac:dyDescent="0.25">
      <c r="A18" s="4">
        <v>1</v>
      </c>
      <c r="B18" s="4">
        <f>D2+G3</f>
        <v>18</v>
      </c>
      <c r="C18" s="4">
        <f>E2+B2</f>
        <v>18</v>
      </c>
      <c r="D18" s="4">
        <f>B18-C18</f>
        <v>0</v>
      </c>
      <c r="F18" s="4">
        <v>1</v>
      </c>
      <c r="G18" s="1">
        <f>D2+O3</f>
        <v>18.0036364680095</v>
      </c>
      <c r="H18" s="1">
        <f>N2+B2+C2+O2</f>
        <v>18</v>
      </c>
      <c r="I18" s="1">
        <f>G18-H18</f>
        <v>3.6364680094997937E-3</v>
      </c>
      <c r="K18" s="4">
        <v>1</v>
      </c>
      <c r="L18" s="1">
        <f>D2+AE3</f>
        <v>18.000346885249801</v>
      </c>
      <c r="M18" s="1">
        <f>AD2+B2+C2</f>
        <v>18.000299833946301</v>
      </c>
      <c r="N18" s="1">
        <f>L18-M18</f>
        <v>4.7051303500467156E-5</v>
      </c>
    </row>
    <row r="19" spans="1:14" x14ac:dyDescent="0.25">
      <c r="A19" s="4">
        <v>2</v>
      </c>
      <c r="B19" s="4">
        <f>D3+$E$2+G4</f>
        <v>31.5</v>
      </c>
      <c r="C19" s="4">
        <f>B3+C3+G3+F3</f>
        <v>31.5</v>
      </c>
      <c r="D19" s="4">
        <f t="shared" ref="D19:D29" si="6">B19-C19</f>
        <v>0</v>
      </c>
      <c r="F19" s="4">
        <v>2</v>
      </c>
      <c r="G19" s="1">
        <f>D3+N2+O4</f>
        <v>28.590765091915898</v>
      </c>
      <c r="H19" s="1">
        <f>B3+C3+O3+N3</f>
        <v>28.590765091915898</v>
      </c>
      <c r="I19" s="1">
        <f t="shared" ref="I19:I29" si="7">G19-H19</f>
        <v>0</v>
      </c>
      <c r="K19" s="4">
        <v>2</v>
      </c>
      <c r="L19" s="1">
        <f>D2+AD2+AE4</f>
        <v>38.737690191942804</v>
      </c>
      <c r="M19" s="1">
        <f>B3+C3+AE3+AD3</f>
        <v>38.737690191942804</v>
      </c>
      <c r="N19" s="1">
        <f t="shared" ref="N19:N29" si="8">L19-M19</f>
        <v>0</v>
      </c>
    </row>
    <row r="20" spans="1:14" x14ac:dyDescent="0.25">
      <c r="A20" s="4">
        <v>3</v>
      </c>
      <c r="B20" s="4">
        <f>D4+F3+G5</f>
        <v>31.5</v>
      </c>
      <c r="C20" s="4">
        <f>B4+C4+F4+G4</f>
        <v>31.5</v>
      </c>
      <c r="D20" s="4">
        <f t="shared" si="6"/>
        <v>0</v>
      </c>
      <c r="F20" s="4">
        <v>3</v>
      </c>
      <c r="G20" s="1">
        <f t="shared" ref="G20:G28" si="9">D4+N3+O5</f>
        <v>25.175376023785603</v>
      </c>
      <c r="H20" s="4">
        <f t="shared" ref="H20:H28" si="10">B4+C4+N4+O4</f>
        <v>25.175376023785599</v>
      </c>
      <c r="I20" s="1">
        <f t="shared" si="7"/>
        <v>0</v>
      </c>
      <c r="K20" s="4">
        <v>3</v>
      </c>
      <c r="L20" s="1">
        <f t="shared" ref="L20:L28" si="11">D3+AD3+AE5</f>
        <v>46.166091343842794</v>
      </c>
      <c r="M20" s="1">
        <f t="shared" ref="M20:M28" si="12">B4+C4+AD4+AE4</f>
        <v>46.166091343842801</v>
      </c>
      <c r="N20" s="1">
        <f t="shared" si="8"/>
        <v>0</v>
      </c>
    </row>
    <row r="21" spans="1:14" x14ac:dyDescent="0.25">
      <c r="A21" s="4">
        <v>4</v>
      </c>
      <c r="B21" s="4">
        <f>D5+F4+G6</f>
        <v>31.5</v>
      </c>
      <c r="C21" s="4">
        <f t="shared" ref="C21:C28" si="13">B5+C5+F5+G5</f>
        <v>31.5</v>
      </c>
      <c r="D21" s="4">
        <f t="shared" si="6"/>
        <v>0</v>
      </c>
      <c r="F21" s="4">
        <v>4</v>
      </c>
      <c r="G21" s="4">
        <f t="shared" si="9"/>
        <v>24.021915488526197</v>
      </c>
      <c r="H21" s="4">
        <f t="shared" si="10"/>
        <v>24.02191548852624</v>
      </c>
      <c r="I21" s="1">
        <f t="shared" si="7"/>
        <v>-4.2632564145606011E-14</v>
      </c>
      <c r="K21" s="4">
        <v>4</v>
      </c>
      <c r="L21" s="1">
        <f t="shared" si="11"/>
        <v>44.979049150030903</v>
      </c>
      <c r="M21" s="1">
        <f t="shared" si="12"/>
        <v>44.979049150030804</v>
      </c>
      <c r="N21" s="1">
        <f t="shared" si="8"/>
        <v>9.9475983006414026E-14</v>
      </c>
    </row>
    <row r="22" spans="1:14" x14ac:dyDescent="0.25">
      <c r="A22" s="4">
        <v>5</v>
      </c>
      <c r="B22" s="4">
        <f>D6+F5+G7</f>
        <v>45.3</v>
      </c>
      <c r="C22" s="4">
        <f t="shared" si="13"/>
        <v>45.3</v>
      </c>
      <c r="D22" s="4">
        <f t="shared" si="6"/>
        <v>0</v>
      </c>
      <c r="F22" s="4">
        <v>5</v>
      </c>
      <c r="G22" s="4">
        <f t="shared" si="9"/>
        <v>30.930017040892452</v>
      </c>
      <c r="H22" s="4">
        <f t="shared" si="10"/>
        <v>30.930017040892398</v>
      </c>
      <c r="I22" s="1">
        <f t="shared" si="7"/>
        <v>5.3290705182007514E-14</v>
      </c>
      <c r="K22" s="4">
        <v>5</v>
      </c>
      <c r="L22" s="1">
        <f t="shared" si="11"/>
        <v>36.286541650672206</v>
      </c>
      <c r="M22" s="1">
        <f t="shared" si="12"/>
        <v>50.086747379081004</v>
      </c>
      <c r="N22" s="1">
        <f>L22-M22</f>
        <v>-13.800205728408798</v>
      </c>
    </row>
    <row r="23" spans="1:14" x14ac:dyDescent="0.25">
      <c r="A23" s="4">
        <v>6</v>
      </c>
      <c r="B23" s="4">
        <f t="shared" ref="B23:B28" si="14">D7+F6+G8</f>
        <v>45.3</v>
      </c>
      <c r="C23" s="4">
        <f t="shared" si="13"/>
        <v>45.3</v>
      </c>
      <c r="D23" s="4">
        <f t="shared" si="6"/>
        <v>0</v>
      </c>
      <c r="F23" s="4">
        <v>6</v>
      </c>
      <c r="G23" s="4">
        <f t="shared" si="9"/>
        <v>24.410527527861827</v>
      </c>
      <c r="H23" s="4">
        <f t="shared" si="10"/>
        <v>24.410527527861909</v>
      </c>
      <c r="I23" s="1">
        <f t="shared" si="7"/>
        <v>-8.1712414612411521E-14</v>
      </c>
      <c r="K23" s="4">
        <v>6</v>
      </c>
      <c r="L23" s="1">
        <f t="shared" si="11"/>
        <v>56.7433400317218</v>
      </c>
      <c r="M23" s="1">
        <f t="shared" si="12"/>
        <v>42.943340031721803</v>
      </c>
      <c r="N23" s="1">
        <f>L23-M23</f>
        <v>13.799999999999997</v>
      </c>
    </row>
    <row r="24" spans="1:14" x14ac:dyDescent="0.25">
      <c r="A24" s="4">
        <v>7</v>
      </c>
      <c r="B24" s="4">
        <f t="shared" si="14"/>
        <v>45.3</v>
      </c>
      <c r="C24" s="4">
        <f t="shared" si="13"/>
        <v>45.3</v>
      </c>
      <c r="D24" s="4">
        <f t="shared" si="6"/>
        <v>0</v>
      </c>
      <c r="F24" s="4">
        <v>7</v>
      </c>
      <c r="G24" s="4">
        <f t="shared" si="9"/>
        <v>23.908529355871121</v>
      </c>
      <c r="H24" s="4">
        <f t="shared" si="10"/>
        <v>23.908529355871128</v>
      </c>
      <c r="I24" s="1">
        <f t="shared" si="7"/>
        <v>0</v>
      </c>
      <c r="K24" s="4">
        <v>7</v>
      </c>
      <c r="L24" s="1">
        <f t="shared" si="11"/>
        <v>43.023359345861394</v>
      </c>
      <c r="M24" s="1">
        <f t="shared" si="12"/>
        <v>43.023359345861401</v>
      </c>
      <c r="N24" s="1">
        <f t="shared" si="8"/>
        <v>0</v>
      </c>
    </row>
    <row r="25" spans="1:14" x14ac:dyDescent="0.25">
      <c r="A25" s="4">
        <v>8</v>
      </c>
      <c r="B25" s="4">
        <f t="shared" si="14"/>
        <v>45.3</v>
      </c>
      <c r="C25" s="4">
        <f t="shared" si="13"/>
        <v>45.3</v>
      </c>
      <c r="D25" s="4">
        <f t="shared" si="6"/>
        <v>0</v>
      </c>
      <c r="F25" s="4">
        <v>8</v>
      </c>
      <c r="G25" s="4">
        <f t="shared" si="9"/>
        <v>23.469531101239358</v>
      </c>
      <c r="H25" s="4">
        <f t="shared" si="10"/>
        <v>23.469531101239319</v>
      </c>
      <c r="I25" s="1">
        <f t="shared" si="7"/>
        <v>3.907985046680551E-14</v>
      </c>
      <c r="K25" s="4">
        <v>8</v>
      </c>
      <c r="L25" s="1">
        <f t="shared" si="11"/>
        <v>42.9153498251789</v>
      </c>
      <c r="M25" s="1">
        <f t="shared" si="12"/>
        <v>42.915349825178893</v>
      </c>
      <c r="N25" s="1">
        <f t="shared" si="8"/>
        <v>0</v>
      </c>
    </row>
    <row r="26" spans="1:14" x14ac:dyDescent="0.25">
      <c r="A26" s="4">
        <v>9</v>
      </c>
      <c r="B26" s="4">
        <f t="shared" si="14"/>
        <v>45.3</v>
      </c>
      <c r="C26" s="4">
        <f t="shared" si="13"/>
        <v>45.3</v>
      </c>
      <c r="D26" s="4">
        <f t="shared" si="6"/>
        <v>0</v>
      </c>
      <c r="F26" s="4">
        <v>9</v>
      </c>
      <c r="G26" s="4">
        <f t="shared" si="9"/>
        <v>23.04701085616129</v>
      </c>
      <c r="H26" s="4">
        <f t="shared" si="10"/>
        <v>23.047010856161258</v>
      </c>
      <c r="I26" s="1">
        <f t="shared" si="7"/>
        <v>3.1974423109204508E-14</v>
      </c>
      <c r="K26" s="4">
        <v>9</v>
      </c>
      <c r="L26" s="1">
        <f t="shared" si="11"/>
        <v>43.000519649569696</v>
      </c>
      <c r="M26" s="1">
        <f t="shared" si="12"/>
        <v>43.000519649569696</v>
      </c>
      <c r="N26" s="1">
        <f t="shared" si="8"/>
        <v>0</v>
      </c>
    </row>
    <row r="27" spans="1:14" x14ac:dyDescent="0.25">
      <c r="A27" s="4">
        <v>10</v>
      </c>
      <c r="B27" s="4">
        <f t="shared" si="14"/>
        <v>45.3</v>
      </c>
      <c r="C27" s="4">
        <f t="shared" si="13"/>
        <v>45.3</v>
      </c>
      <c r="D27" s="4">
        <f t="shared" si="6"/>
        <v>0</v>
      </c>
      <c r="F27" s="4">
        <v>10</v>
      </c>
      <c r="G27" s="4">
        <f t="shared" si="9"/>
        <v>22.624998695184008</v>
      </c>
      <c r="H27" s="4">
        <f t="shared" si="10"/>
        <v>22.62499869518399</v>
      </c>
      <c r="I27" s="1">
        <f t="shared" si="7"/>
        <v>0</v>
      </c>
      <c r="K27" s="4">
        <v>10</v>
      </c>
      <c r="L27" s="1">
        <f t="shared" si="11"/>
        <v>43.0912265130004</v>
      </c>
      <c r="M27" s="1">
        <f t="shared" si="12"/>
        <v>43.0912265130004</v>
      </c>
      <c r="N27" s="1">
        <f t="shared" si="8"/>
        <v>0</v>
      </c>
    </row>
    <row r="28" spans="1:14" x14ac:dyDescent="0.25">
      <c r="A28" s="4">
        <v>11</v>
      </c>
      <c r="B28" s="4">
        <f t="shared" si="14"/>
        <v>45.3</v>
      </c>
      <c r="C28" s="4">
        <f t="shared" si="13"/>
        <v>45.3</v>
      </c>
      <c r="D28" s="4">
        <f t="shared" si="6"/>
        <v>0</v>
      </c>
      <c r="F28" s="4">
        <v>11</v>
      </c>
      <c r="G28" s="4">
        <f t="shared" si="9"/>
        <v>22.140944808206299</v>
      </c>
      <c r="H28" s="4">
        <f t="shared" si="10"/>
        <v>22.14094480820631</v>
      </c>
      <c r="I28" s="1">
        <f t="shared" si="7"/>
        <v>0</v>
      </c>
      <c r="K28" s="4">
        <v>11</v>
      </c>
      <c r="L28" s="1">
        <f t="shared" si="11"/>
        <v>42.401062369044695</v>
      </c>
      <c r="M28" s="1">
        <f t="shared" si="12"/>
        <v>42.401062369044595</v>
      </c>
      <c r="N28" s="1">
        <f t="shared" si="8"/>
        <v>9.9475983006414026E-14</v>
      </c>
    </row>
    <row r="29" spans="1:14" x14ac:dyDescent="0.25">
      <c r="A29" s="4">
        <v>12</v>
      </c>
      <c r="B29" s="4">
        <f>D13+F12</f>
        <v>27.3</v>
      </c>
      <c r="C29" s="4">
        <f>B13+C13+G13</f>
        <v>27.3</v>
      </c>
      <c r="D29" s="4">
        <f t="shared" si="6"/>
        <v>0</v>
      </c>
      <c r="F29" s="4">
        <v>12</v>
      </c>
      <c r="G29" s="1">
        <f>D13+N12</f>
        <v>15.584140180189401</v>
      </c>
      <c r="H29" s="1">
        <f>B13+C13+O13</f>
        <v>15.587776648198901</v>
      </c>
      <c r="I29" s="1">
        <f t="shared" si="7"/>
        <v>-3.6364680094997937E-3</v>
      </c>
      <c r="K29" s="4">
        <v>12</v>
      </c>
      <c r="L29" s="1">
        <f>D13+AD12</f>
        <v>25.511424209470999</v>
      </c>
      <c r="M29" s="1">
        <f>B13+C13+AE13</f>
        <v>25.511265532365901</v>
      </c>
      <c r="N29" s="1">
        <f t="shared" si="8"/>
        <v>1.5867710509809285E-4</v>
      </c>
    </row>
    <row r="30" spans="1:14" x14ac:dyDescent="0.25">
      <c r="J30" s="15"/>
    </row>
    <row r="31" spans="1:14" x14ac:dyDescent="0.25">
      <c r="F31" t="s">
        <v>182</v>
      </c>
      <c r="J31" t="s">
        <v>184</v>
      </c>
      <c r="K31" t="s">
        <v>185</v>
      </c>
      <c r="L31" t="s">
        <v>184</v>
      </c>
      <c r="M31" t="s">
        <v>185</v>
      </c>
    </row>
    <row r="32" spans="1:14" x14ac:dyDescent="0.25">
      <c r="F32" s="28" t="s">
        <v>157</v>
      </c>
      <c r="G32" s="28" t="s">
        <v>162</v>
      </c>
      <c r="H32" s="28" t="s">
        <v>163</v>
      </c>
      <c r="I32" s="28" t="s">
        <v>164</v>
      </c>
      <c r="J32" t="s">
        <v>183</v>
      </c>
      <c r="K32" s="1">
        <v>-2865522.3873577602</v>
      </c>
      <c r="L32" t="s">
        <v>186</v>
      </c>
      <c r="M32" s="1">
        <v>1697206.63199761</v>
      </c>
      <c r="N32" s="14">
        <f>M32+K32</f>
        <v>-1168315.7553601502</v>
      </c>
    </row>
    <row r="33" spans="6:9" x14ac:dyDescent="0.25">
      <c r="F33" s="4">
        <v>1</v>
      </c>
      <c r="G33" s="1">
        <f>D2*(Z2*Y2+(1-Z2)*X2)+O3*W3</f>
        <v>-2071543.5798332747</v>
      </c>
      <c r="H33" s="1">
        <f>N2*V2+B2*V2+C2*W2+O2*W2+U2</f>
        <v>793978.80752449436</v>
      </c>
      <c r="I33" s="1">
        <f>G33-H33</f>
        <v>-2865522.3873577691</v>
      </c>
    </row>
    <row r="34" spans="6:9" x14ac:dyDescent="0.25">
      <c r="F34" s="4">
        <v>2</v>
      </c>
      <c r="G34" s="1">
        <f>D3*(Z3*Y3+(1-Z3)*X3)+N2*V2+O4*W4</f>
        <v>-1280521.2557413979</v>
      </c>
      <c r="H34" s="1">
        <f>B3*V3+C3*W3+O3*W3+N3*V3+U3</f>
        <v>-1280632.5135913612</v>
      </c>
      <c r="I34" s="1">
        <f t="shared" ref="I34:I44" si="15">G34-H34</f>
        <v>111.25784996338189</v>
      </c>
    </row>
    <row r="35" spans="6:9" x14ac:dyDescent="0.25">
      <c r="F35" s="4">
        <v>3</v>
      </c>
      <c r="G35" s="1">
        <f t="shared" ref="G35:G43" si="16">D4*(Z4*Y4+(1-Z4)*X4)+N3*V3+O5*W5</f>
        <v>-1057867.0921611045</v>
      </c>
      <c r="H35" s="1">
        <f t="shared" ref="H35:H42" si="17">B4*V4+C4*W4+O4*W4+N4*V4+U4</f>
        <v>-1057890.4387258324</v>
      </c>
      <c r="I35" s="1">
        <f t="shared" si="15"/>
        <v>23.346564727835357</v>
      </c>
    </row>
    <row r="36" spans="6:9" x14ac:dyDescent="0.25">
      <c r="F36" s="4">
        <v>4</v>
      </c>
      <c r="G36" s="1">
        <f t="shared" si="16"/>
        <v>-993210.39957171748</v>
      </c>
      <c r="H36" s="1">
        <f t="shared" si="17"/>
        <v>-993245.17961841787</v>
      </c>
      <c r="I36" s="1">
        <f t="shared" si="15"/>
        <v>34.780046700383537</v>
      </c>
    </row>
    <row r="37" spans="6:9" x14ac:dyDescent="0.25">
      <c r="F37" s="4">
        <v>5</v>
      </c>
      <c r="G37" s="1">
        <f>D6*(Z6*Y6+(1-Z6)*X6)+N5*V5+O7*W7</f>
        <v>95687.619440281647</v>
      </c>
      <c r="H37" s="1">
        <f t="shared" si="17"/>
        <v>95609.321160648251</v>
      </c>
      <c r="I37" s="1">
        <f>G37-H37</f>
        <v>78.298279633396305</v>
      </c>
    </row>
    <row r="38" spans="6:9" x14ac:dyDescent="0.25">
      <c r="F38" s="4">
        <v>6</v>
      </c>
      <c r="G38" s="1">
        <f t="shared" si="16"/>
        <v>879305.06164342223</v>
      </c>
      <c r="H38" s="1">
        <f t="shared" si="17"/>
        <v>879293.73224758159</v>
      </c>
      <c r="I38" s="1">
        <f t="shared" si="15"/>
        <v>11.329395840642974</v>
      </c>
    </row>
    <row r="39" spans="6:9" x14ac:dyDescent="0.25">
      <c r="F39" s="4">
        <v>7</v>
      </c>
      <c r="G39" s="1">
        <f t="shared" si="16"/>
        <v>915961.48591102473</v>
      </c>
      <c r="H39" s="1">
        <f t="shared" si="17"/>
        <v>915952.31131141994</v>
      </c>
      <c r="I39" s="1">
        <f t="shared" si="15"/>
        <v>9.1745996047975495</v>
      </c>
    </row>
    <row r="40" spans="6:9" x14ac:dyDescent="0.25">
      <c r="F40" s="4">
        <v>8</v>
      </c>
      <c r="G40" s="1">
        <f t="shared" si="16"/>
        <v>947319.2096446011</v>
      </c>
      <c r="H40" s="1">
        <f t="shared" si="17"/>
        <v>947310.06670689979</v>
      </c>
      <c r="I40" s="1">
        <f t="shared" si="15"/>
        <v>9.1429377013118938</v>
      </c>
    </row>
    <row r="41" spans="6:9" x14ac:dyDescent="0.25">
      <c r="F41" s="4">
        <v>9</v>
      </c>
      <c r="G41" s="1">
        <f t="shared" si="16"/>
        <v>978890.51197362819</v>
      </c>
      <c r="H41" s="1">
        <f t="shared" si="17"/>
        <v>978881.24196859088</v>
      </c>
      <c r="I41" s="1">
        <f t="shared" si="15"/>
        <v>9.2700050373096019</v>
      </c>
    </row>
    <row r="42" spans="6:9" x14ac:dyDescent="0.25">
      <c r="F42" s="4">
        <v>10</v>
      </c>
      <c r="G42" s="1">
        <f t="shared" si="16"/>
        <v>1014108.6645363284</v>
      </c>
      <c r="H42" s="1">
        <f t="shared" si="17"/>
        <v>1014098.2059460095</v>
      </c>
      <c r="I42" s="1">
        <f t="shared" si="15"/>
        <v>10.458590318914503</v>
      </c>
    </row>
    <row r="43" spans="6:9" x14ac:dyDescent="0.25">
      <c r="F43" s="4">
        <v>11</v>
      </c>
      <c r="G43" s="1">
        <f t="shared" si="16"/>
        <v>1062032.4429195495</v>
      </c>
      <c r="H43" s="1">
        <f>B12*V12+C12*W12+O12*W12+N12*V12+U12</f>
        <v>1062017.8379377988</v>
      </c>
      <c r="I43" s="1">
        <f t="shared" si="15"/>
        <v>14.604981750715524</v>
      </c>
    </row>
    <row r="44" spans="6:9" x14ac:dyDescent="0.25">
      <c r="F44" s="4">
        <v>12</v>
      </c>
      <c r="G44" s="1">
        <f>D13*(Z13*Y13+(1-Z13)*X13)+N12*V12</f>
        <v>2023053.0987847596</v>
      </c>
      <c r="H44" s="1">
        <f>B13*V13+C13*W13+O13*W13+U13</f>
        <v>326318.53440141003</v>
      </c>
      <c r="I44" s="1">
        <f t="shared" si="15"/>
        <v>1696734.5643833496</v>
      </c>
    </row>
    <row r="45" spans="6:9" x14ac:dyDescent="0.25">
      <c r="I45" s="14">
        <f>SUM(I33:I44)</f>
        <v>-1168476.159723141</v>
      </c>
    </row>
    <row r="50" spans="1:10" x14ac:dyDescent="0.25">
      <c r="A50" t="s">
        <v>0</v>
      </c>
      <c r="B50" s="4" t="s">
        <v>28</v>
      </c>
      <c r="C50" s="4" t="s">
        <v>29</v>
      </c>
      <c r="D50" s="4" t="s">
        <v>30</v>
      </c>
      <c r="E50" s="4" t="s">
        <v>31</v>
      </c>
      <c r="F50" s="4" t="s">
        <v>32</v>
      </c>
      <c r="G50" s="4" t="s">
        <v>33</v>
      </c>
      <c r="H50" s="4" t="s">
        <v>34</v>
      </c>
      <c r="I50" s="4" t="s">
        <v>35</v>
      </c>
      <c r="J50" s="4" t="s">
        <v>36</v>
      </c>
    </row>
    <row r="51" spans="1:10" x14ac:dyDescent="0.25">
      <c r="B51" s="4">
        <v>-82.45</v>
      </c>
      <c r="C51" s="4">
        <v>32.28</v>
      </c>
      <c r="D51" s="4">
        <v>96.75</v>
      </c>
      <c r="E51" s="4">
        <v>134.9</v>
      </c>
      <c r="F51" s="4">
        <v>152</v>
      </c>
      <c r="G51" s="4">
        <v>187.2</v>
      </c>
      <c r="H51" s="4">
        <v>196.5</v>
      </c>
      <c r="I51" s="4">
        <v>234.7</v>
      </c>
      <c r="J51" s="4">
        <v>267</v>
      </c>
    </row>
    <row r="52" spans="1:10" x14ac:dyDescent="0.25">
      <c r="B52">
        <f>B51+273.15</f>
        <v>190.7</v>
      </c>
      <c r="C52">
        <f t="shared" ref="C52:J52" si="18">C51+273.15</f>
        <v>305.42999999999995</v>
      </c>
      <c r="D52">
        <f t="shared" si="18"/>
        <v>369.9</v>
      </c>
      <c r="E52">
        <f t="shared" si="18"/>
        <v>408.04999999999995</v>
      </c>
      <c r="F52">
        <f t="shared" si="18"/>
        <v>425.15</v>
      </c>
      <c r="G52">
        <f t="shared" si="18"/>
        <v>460.34999999999997</v>
      </c>
      <c r="H52">
        <f t="shared" si="18"/>
        <v>469.65</v>
      </c>
      <c r="I52">
        <f t="shared" si="18"/>
        <v>507.84999999999997</v>
      </c>
      <c r="J52">
        <f t="shared" si="18"/>
        <v>540.15</v>
      </c>
    </row>
    <row r="53" spans="1:10" x14ac:dyDescent="0.25">
      <c r="A53" t="s">
        <v>134</v>
      </c>
      <c r="B53" s="4" t="s">
        <v>28</v>
      </c>
      <c r="C53" s="4" t="s">
        <v>29</v>
      </c>
      <c r="D53" s="4" t="s">
        <v>30</v>
      </c>
      <c r="E53" s="4" t="s">
        <v>31</v>
      </c>
      <c r="F53" s="4" t="s">
        <v>32</v>
      </c>
      <c r="G53" s="4" t="s">
        <v>33</v>
      </c>
      <c r="H53" s="4" t="s">
        <v>34</v>
      </c>
      <c r="I53" s="4" t="s">
        <v>35</v>
      </c>
      <c r="J53" s="4" t="s">
        <v>36</v>
      </c>
    </row>
    <row r="54" spans="1:10" x14ac:dyDescent="0.25">
      <c r="B54" s="4">
        <v>-161.52500000000001</v>
      </c>
      <c r="C54" s="4">
        <v>-88.599996948242193</v>
      </c>
      <c r="D54" s="4">
        <v>-42.101995849609402</v>
      </c>
      <c r="E54" s="4">
        <v>-11.7299865722656</v>
      </c>
      <c r="F54" s="4">
        <v>-0.50198974609372704</v>
      </c>
      <c r="G54" s="4">
        <v>27.878015136718801</v>
      </c>
      <c r="H54" s="4">
        <v>36.059014892578098</v>
      </c>
      <c r="I54" s="4">
        <v>68.730004882812494</v>
      </c>
      <c r="J54" s="4">
        <v>98.429010009765605</v>
      </c>
    </row>
    <row r="55" spans="1:10" x14ac:dyDescent="0.25">
      <c r="B55">
        <f>B54+273.15</f>
        <v>111.62499999999997</v>
      </c>
      <c r="C55">
        <f t="shared" ref="C55:J55" si="19">C54+273.15</f>
        <v>184.55000305175778</v>
      </c>
      <c r="D55">
        <f t="shared" si="19"/>
        <v>231.04800415039057</v>
      </c>
      <c r="E55">
        <f t="shared" si="19"/>
        <v>261.42001342773437</v>
      </c>
      <c r="F55">
        <f t="shared" si="19"/>
        <v>272.64801025390625</v>
      </c>
      <c r="G55">
        <f t="shared" si="19"/>
        <v>301.02801513671875</v>
      </c>
      <c r="H55">
        <f t="shared" si="19"/>
        <v>309.20901489257807</v>
      </c>
      <c r="I55">
        <f t="shared" si="19"/>
        <v>341.8800048828125</v>
      </c>
      <c r="J55">
        <f t="shared" si="19"/>
        <v>371.57901000976557</v>
      </c>
    </row>
    <row r="56" spans="1:10" x14ac:dyDescent="0.25">
      <c r="A56" t="s">
        <v>197</v>
      </c>
      <c r="B56" s="4" t="s">
        <v>28</v>
      </c>
      <c r="C56" s="4" t="s">
        <v>29</v>
      </c>
      <c r="D56" s="4" t="s">
        <v>30</v>
      </c>
      <c r="E56" s="4" t="s">
        <v>31</v>
      </c>
      <c r="F56" s="4" t="s">
        <v>32</v>
      </c>
      <c r="G56" s="4" t="s">
        <v>33</v>
      </c>
      <c r="H56" s="4" t="s">
        <v>34</v>
      </c>
      <c r="I56" s="4" t="s">
        <v>35</v>
      </c>
      <c r="J56" s="4" t="s">
        <v>36</v>
      </c>
    </row>
    <row r="57" spans="1:10" x14ac:dyDescent="0.25">
      <c r="B57">
        <f>B54/B51</f>
        <v>1.9590661006670709</v>
      </c>
      <c r="C57">
        <f t="shared" ref="C57:J58" si="20">C54/C51</f>
        <v>-2.7447334866246034</v>
      </c>
      <c r="D57">
        <f t="shared" si="20"/>
        <v>-0.43516274779958036</v>
      </c>
      <c r="E57">
        <f t="shared" si="20"/>
        <v>-8.6953199201375828E-2</v>
      </c>
      <c r="F57">
        <f t="shared" si="20"/>
        <v>-3.3025641190376777E-3</v>
      </c>
      <c r="G57">
        <f t="shared" si="20"/>
        <v>0.14892102102948079</v>
      </c>
      <c r="H57">
        <f t="shared" si="20"/>
        <v>0.18350643711235673</v>
      </c>
      <c r="I57">
        <f t="shared" si="20"/>
        <v>0.29284194666728802</v>
      </c>
      <c r="J57">
        <f t="shared" si="20"/>
        <v>0.36864797756466516</v>
      </c>
    </row>
    <row r="58" spans="1:10" x14ac:dyDescent="0.25">
      <c r="B58" s="4">
        <f>B55/B52</f>
        <v>0.58534347142108012</v>
      </c>
      <c r="C58" s="4">
        <f t="shared" si="20"/>
        <v>0.60423011181533515</v>
      </c>
      <c r="D58" s="4">
        <f t="shared" si="20"/>
        <v>0.62462288226653306</v>
      </c>
      <c r="E58" s="4">
        <f t="shared" si="20"/>
        <v>0.64065681516415729</v>
      </c>
      <c r="F58" s="4">
        <f t="shared" si="20"/>
        <v>0.64129838940116723</v>
      </c>
      <c r="G58" s="4">
        <f t="shared" si="20"/>
        <v>0.65391118743720811</v>
      </c>
      <c r="H58" s="4">
        <f t="shared" si="20"/>
        <v>0.65838180537118718</v>
      </c>
      <c r="I58" s="4">
        <f t="shared" si="20"/>
        <v>0.67319091244031215</v>
      </c>
      <c r="J58" s="4">
        <f t="shared" si="20"/>
        <v>0.687918189409915</v>
      </c>
    </row>
  </sheetData>
  <mergeCells count="1">
    <mergeCell ref="AB1:AB13"/>
  </mergeCell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10" sqref="B10:J10"/>
    </sheetView>
  </sheetViews>
  <sheetFormatPr defaultRowHeight="15" x14ac:dyDescent="0.25"/>
  <cols>
    <col min="1" max="1" width="16.85546875" bestFit="1" customWidth="1"/>
  </cols>
  <sheetData>
    <row r="1" spans="1:10" x14ac:dyDescent="0.25">
      <c r="A1" s="4" t="s">
        <v>199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</row>
    <row r="2" spans="1:10" x14ac:dyDescent="0.25">
      <c r="A2" t="s">
        <v>200</v>
      </c>
      <c r="B2">
        <v>34.92</v>
      </c>
      <c r="C2">
        <v>52.49</v>
      </c>
      <c r="D2">
        <v>73.599999999999994</v>
      </c>
      <c r="E2">
        <v>96.65</v>
      </c>
      <c r="F2">
        <v>98.49</v>
      </c>
      <c r="G2">
        <v>118.9</v>
      </c>
      <c r="H2">
        <v>120.07</v>
      </c>
      <c r="I2">
        <v>142.6</v>
      </c>
      <c r="J2">
        <v>165.2</v>
      </c>
    </row>
    <row r="3" spans="1:10" x14ac:dyDescent="0.25">
      <c r="B3" t="s">
        <v>76</v>
      </c>
      <c r="C3" t="s">
        <v>76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</row>
    <row r="4" spans="1:10" x14ac:dyDescent="0.25">
      <c r="B4" t="str">
        <f>CONCATENATE(B2,B3)</f>
        <v>34.92,</v>
      </c>
      <c r="C4" t="str">
        <f t="shared" ref="C4:J4" si="0">CONCATENATE(C2,C3)</f>
        <v>52.49,</v>
      </c>
      <c r="D4" t="str">
        <f t="shared" si="0"/>
        <v>73.6,</v>
      </c>
      <c r="E4" t="str">
        <f t="shared" si="0"/>
        <v>96.65,</v>
      </c>
      <c r="F4" t="str">
        <f t="shared" si="0"/>
        <v>98.49,</v>
      </c>
      <c r="G4" t="str">
        <f t="shared" si="0"/>
        <v>118.9,</v>
      </c>
      <c r="H4" t="str">
        <f t="shared" si="0"/>
        <v>120.07,</v>
      </c>
      <c r="I4" t="str">
        <f t="shared" si="0"/>
        <v>142.6,</v>
      </c>
      <c r="J4" t="str">
        <f t="shared" si="0"/>
        <v>165.2</v>
      </c>
    </row>
    <row r="7" spans="1:10" x14ac:dyDescent="0.25">
      <c r="A7" s="4" t="s">
        <v>198</v>
      </c>
      <c r="B7" s="4" t="s">
        <v>28</v>
      </c>
      <c r="C7" s="4" t="s">
        <v>29</v>
      </c>
      <c r="D7" s="4" t="s">
        <v>30</v>
      </c>
      <c r="E7" s="4" t="s">
        <v>31</v>
      </c>
      <c r="F7" s="4" t="s">
        <v>32</v>
      </c>
      <c r="G7" s="4" t="s">
        <v>33</v>
      </c>
      <c r="H7" s="4" t="s">
        <v>34</v>
      </c>
      <c r="I7" s="4" t="s">
        <v>35</v>
      </c>
      <c r="J7" s="4" t="s">
        <v>36</v>
      </c>
    </row>
    <row r="8" spans="1:10" x14ac:dyDescent="0.25">
      <c r="A8" t="s">
        <v>200</v>
      </c>
      <c r="B8">
        <v>0</v>
      </c>
      <c r="C8">
        <v>74.48</v>
      </c>
      <c r="D8">
        <v>119.6</v>
      </c>
      <c r="E8">
        <v>129.69999999999999</v>
      </c>
      <c r="F8">
        <v>132.41999999999999</v>
      </c>
      <c r="G8">
        <v>164.85</v>
      </c>
      <c r="H8">
        <v>167.19</v>
      </c>
      <c r="I8">
        <v>197.66</v>
      </c>
      <c r="J8">
        <v>224.721</v>
      </c>
    </row>
    <row r="9" spans="1:10" x14ac:dyDescent="0.25">
      <c r="B9" t="s">
        <v>76</v>
      </c>
      <c r="C9" t="s">
        <v>76</v>
      </c>
      <c r="D9" t="s">
        <v>76</v>
      </c>
      <c r="E9" t="s">
        <v>76</v>
      </c>
      <c r="F9" t="s">
        <v>76</v>
      </c>
      <c r="G9" t="s">
        <v>76</v>
      </c>
      <c r="H9" t="s">
        <v>76</v>
      </c>
      <c r="I9" t="s">
        <v>76</v>
      </c>
    </row>
    <row r="10" spans="1:10" x14ac:dyDescent="0.25">
      <c r="B10" t="str">
        <f>CONCATENATE(B8,B9)</f>
        <v>0,</v>
      </c>
      <c r="C10" t="str">
        <f t="shared" ref="C10" si="1">CONCATENATE(C8,C9)</f>
        <v>74.48,</v>
      </c>
      <c r="D10" t="str">
        <f t="shared" ref="D10" si="2">CONCATENATE(D8,D9)</f>
        <v>119.6,</v>
      </c>
      <c r="E10" t="str">
        <f t="shared" ref="E10" si="3">CONCATENATE(E8,E9)</f>
        <v>129.7,</v>
      </c>
      <c r="F10" t="str">
        <f t="shared" ref="F10" si="4">CONCATENATE(F8,F9)</f>
        <v>132.42,</v>
      </c>
      <c r="G10" t="str">
        <f t="shared" ref="G10" si="5">CONCATENATE(G8,G9)</f>
        <v>164.85,</v>
      </c>
      <c r="H10" t="str">
        <f t="shared" ref="H10" si="6">CONCATENATE(H8,H9)</f>
        <v>167.19,</v>
      </c>
      <c r="I10" t="str">
        <f t="shared" ref="I10" si="7">CONCATENATE(I8,I9)</f>
        <v>197.66,</v>
      </c>
      <c r="J10" t="str">
        <f t="shared" ref="J10" si="8">CONCATENATE(J8,J9)</f>
        <v>224.721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7"/>
  <sheetViews>
    <sheetView topLeftCell="A160" zoomScale="90" zoomScaleNormal="90" workbookViewId="0">
      <selection activeCell="Q31" sqref="Q31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1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1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22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22"/>
        <v>0</v>
      </c>
      <c r="F31" s="1">
        <f t="shared" ref="F31:F38" si="23">SUM(E31)</f>
        <v>0</v>
      </c>
      <c r="G31" s="1">
        <f t="shared" ref="G31:G38" si="24">B31*F31</f>
        <v>0</v>
      </c>
      <c r="K31" s="1">
        <f t="shared" ref="K31:K38" si="25">ABS(B31-$J$30)</f>
        <v>99.591037889379749</v>
      </c>
      <c r="L31" s="1">
        <f t="shared" ref="L31:L38" si="26">K31*F31</f>
        <v>0</v>
      </c>
      <c r="O31" s="4">
        <v>2</v>
      </c>
      <c r="Q31" s="1">
        <f t="shared" ref="Q31:Q41" si="27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22"/>
        <v>5.5200000000000005</v>
      </c>
      <c r="F32" s="1">
        <f t="shared" si="23"/>
        <v>5.5200000000000005</v>
      </c>
      <c r="G32" s="1">
        <f t="shared" si="24"/>
        <v>1727.3335090321741</v>
      </c>
      <c r="K32" s="1">
        <f t="shared" si="25"/>
        <v>41.271645896178313</v>
      </c>
      <c r="L32" s="1">
        <f>K32*F32</f>
        <v>227.81948534690432</v>
      </c>
      <c r="O32" s="4">
        <v>3</v>
      </c>
      <c r="Q32" s="1">
        <f t="shared" si="27"/>
        <v>332.18283856172633</v>
      </c>
      <c r="R32">
        <f t="shared" ref="R32:R40" si="28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22"/>
        <v>0</v>
      </c>
      <c r="F33" s="1">
        <f t="shared" si="23"/>
        <v>0</v>
      </c>
      <c r="G33" s="1">
        <f t="shared" si="24"/>
        <v>0</v>
      </c>
      <c r="K33" s="1">
        <f t="shared" si="25"/>
        <v>0.1889496576297347</v>
      </c>
      <c r="L33" s="1">
        <f t="shared" si="26"/>
        <v>0</v>
      </c>
      <c r="O33" s="4">
        <v>4</v>
      </c>
      <c r="Q33" s="1">
        <f t="shared" si="27"/>
        <v>337.68572468121675</v>
      </c>
      <c r="R33">
        <f t="shared" si="28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22"/>
        <v>5.5200000000000005</v>
      </c>
      <c r="F34" s="1">
        <f t="shared" si="23"/>
        <v>5.5200000000000005</v>
      </c>
      <c r="G34" s="1">
        <f t="shared" si="24"/>
        <v>2028.4315375428232</v>
      </c>
      <c r="K34" s="1">
        <f t="shared" si="25"/>
        <v>13.275098399229137</v>
      </c>
      <c r="L34" s="1">
        <f t="shared" si="26"/>
        <v>73.278543163744843</v>
      </c>
      <c r="O34" s="4">
        <v>5</v>
      </c>
      <c r="Q34" s="1">
        <f t="shared" si="27"/>
        <v>343.18861080070718</v>
      </c>
      <c r="R34">
        <f t="shared" si="28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22"/>
        <v>1.3800000000000001</v>
      </c>
      <c r="F35" s="1">
        <f t="shared" si="23"/>
        <v>1.3800000000000001</v>
      </c>
      <c r="G35" s="1">
        <f t="shared" si="24"/>
        <v>560.77118388749011</v>
      </c>
      <c r="K35" s="1">
        <f t="shared" si="25"/>
        <v>52.161547313565563</v>
      </c>
      <c r="L35" s="1">
        <f t="shared" si="26"/>
        <v>71.982935292720484</v>
      </c>
      <c r="O35" s="4">
        <v>6</v>
      </c>
      <c r="Q35" s="1">
        <f t="shared" si="27"/>
        <v>348.69149692019766</v>
      </c>
      <c r="R35">
        <f t="shared" si="28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22"/>
        <v>1.3800000000000001</v>
      </c>
      <c r="F36" s="1">
        <f t="shared" si="23"/>
        <v>1.3800000000000001</v>
      </c>
      <c r="G36" s="1">
        <f t="shared" si="24"/>
        <v>571.34625548520864</v>
      </c>
      <c r="K36" s="1">
        <f t="shared" si="25"/>
        <v>59.824642674231143</v>
      </c>
      <c r="L36" s="1">
        <f t="shared" si="26"/>
        <v>82.558006890438989</v>
      </c>
      <c r="O36" s="4">
        <v>7</v>
      </c>
      <c r="Q36" s="1">
        <f t="shared" si="27"/>
        <v>354.19438303968809</v>
      </c>
      <c r="R36">
        <f t="shared" si="28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22"/>
        <v>0</v>
      </c>
      <c r="F37" s="1">
        <f t="shared" si="23"/>
        <v>0</v>
      </c>
      <c r="G37" s="1">
        <f t="shared" si="24"/>
        <v>0</v>
      </c>
      <c r="K37" s="1">
        <f t="shared" si="25"/>
        <v>102.29209242179695</v>
      </c>
      <c r="L37" s="1">
        <f t="shared" si="26"/>
        <v>0</v>
      </c>
      <c r="O37" s="4">
        <v>8</v>
      </c>
      <c r="Q37" s="1">
        <f t="shared" si="27"/>
        <v>359.69726915917852</v>
      </c>
      <c r="R37">
        <f t="shared" si="28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22"/>
        <v>0</v>
      </c>
      <c r="F38" s="1">
        <f t="shared" si="23"/>
        <v>0</v>
      </c>
      <c r="G38" s="1">
        <f t="shared" si="24"/>
        <v>0</v>
      </c>
      <c r="K38" s="1">
        <f t="shared" si="25"/>
        <v>139.35177517030826</v>
      </c>
      <c r="L38" s="1">
        <f t="shared" si="26"/>
        <v>0</v>
      </c>
      <c r="O38" s="4">
        <v>9</v>
      </c>
      <c r="Q38" s="1">
        <f t="shared" si="27"/>
        <v>365.200155278669</v>
      </c>
      <c r="R38">
        <f t="shared" si="28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27"/>
        <v>370.70304139815943</v>
      </c>
      <c r="R39">
        <f t="shared" si="28"/>
        <v>0.19749999999999993</v>
      </c>
    </row>
    <row r="40" spans="1:18" x14ac:dyDescent="0.25">
      <c r="O40" s="4">
        <v>11</v>
      </c>
      <c r="Q40" s="1">
        <f t="shared" si="27"/>
        <v>376.20592751764985</v>
      </c>
      <c r="R40">
        <f t="shared" si="28"/>
        <v>0.19833333333333325</v>
      </c>
    </row>
    <row r="41" spans="1:18" x14ac:dyDescent="0.25">
      <c r="O41" s="4">
        <v>12</v>
      </c>
      <c r="Q41" s="1">
        <f t="shared" si="27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29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30">(C44+D44)/(M44+N44)</f>
        <v>0</v>
      </c>
      <c r="M44">
        <f t="shared" ref="M44:M54" si="31">M43+B44-C44</f>
        <v>13.5</v>
      </c>
      <c r="N44">
        <f t="shared" si="29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30"/>
        <v>0</v>
      </c>
      <c r="M45">
        <f t="shared" si="31"/>
        <v>13.5</v>
      </c>
      <c r="N45">
        <f t="shared" si="29"/>
        <v>18</v>
      </c>
      <c r="O45">
        <v>1</v>
      </c>
      <c r="P45" s="12">
        <f t="shared" ref="P45:P52" si="32">((1-O45)*B45+P46)/(1+L45)</f>
        <v>18</v>
      </c>
      <c r="Q45" s="12">
        <f t="shared" ref="Q45:Q53" si="33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30"/>
        <v>0</v>
      </c>
      <c r="M46">
        <f t="shared" si="31"/>
        <v>13.5</v>
      </c>
      <c r="N46">
        <f t="shared" si="29"/>
        <v>18</v>
      </c>
      <c r="O46">
        <v>1</v>
      </c>
      <c r="P46" s="12">
        <f t="shared" si="32"/>
        <v>18</v>
      </c>
      <c r="Q46" s="12">
        <f t="shared" si="33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30"/>
        <v>0</v>
      </c>
      <c r="M47">
        <f t="shared" si="31"/>
        <v>27.3</v>
      </c>
      <c r="N47">
        <f t="shared" si="29"/>
        <v>18</v>
      </c>
      <c r="O47">
        <v>1</v>
      </c>
      <c r="P47" s="12">
        <f t="shared" si="32"/>
        <v>18</v>
      </c>
      <c r="Q47" s="12">
        <f t="shared" si="33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30"/>
        <v>0</v>
      </c>
      <c r="M48">
        <f t="shared" si="31"/>
        <v>27.3</v>
      </c>
      <c r="N48">
        <f t="shared" si="29"/>
        <v>18</v>
      </c>
      <c r="O48">
        <v>1</v>
      </c>
      <c r="P48" s="12">
        <f t="shared" si="32"/>
        <v>18</v>
      </c>
      <c r="Q48" s="12">
        <f t="shared" si="33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30"/>
        <v>0</v>
      </c>
      <c r="M49">
        <f t="shared" si="31"/>
        <v>27.3</v>
      </c>
      <c r="N49">
        <f t="shared" si="29"/>
        <v>18</v>
      </c>
      <c r="O49">
        <v>1</v>
      </c>
      <c r="P49" s="12">
        <f t="shared" si="32"/>
        <v>18</v>
      </c>
      <c r="Q49" s="12">
        <f t="shared" si="33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30"/>
        <v>0</v>
      </c>
      <c r="M50">
        <f t="shared" si="31"/>
        <v>27.3</v>
      </c>
      <c r="N50">
        <f t="shared" si="29"/>
        <v>18</v>
      </c>
      <c r="O50">
        <v>1</v>
      </c>
      <c r="P50" s="12">
        <f t="shared" si="32"/>
        <v>18</v>
      </c>
      <c r="Q50" s="12">
        <f t="shared" si="33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30"/>
        <v>0</v>
      </c>
      <c r="M51">
        <f t="shared" si="31"/>
        <v>27.3</v>
      </c>
      <c r="N51">
        <f t="shared" si="29"/>
        <v>18</v>
      </c>
      <c r="O51">
        <v>1</v>
      </c>
      <c r="P51" s="12">
        <f t="shared" si="32"/>
        <v>18</v>
      </c>
      <c r="Q51" s="12">
        <f t="shared" si="33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30"/>
        <v>0</v>
      </c>
      <c r="M52">
        <f t="shared" si="31"/>
        <v>27.3</v>
      </c>
      <c r="N52">
        <f t="shared" si="29"/>
        <v>18</v>
      </c>
      <c r="O52">
        <v>1</v>
      </c>
      <c r="P52" s="12">
        <f t="shared" si="32"/>
        <v>18</v>
      </c>
      <c r="Q52" s="12">
        <f t="shared" si="33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30"/>
        <v>0</v>
      </c>
      <c r="M53">
        <f t="shared" si="31"/>
        <v>27.3</v>
      </c>
      <c r="N53">
        <f t="shared" si="29"/>
        <v>18</v>
      </c>
      <c r="O53">
        <v>1</v>
      </c>
      <c r="P53" s="12">
        <f>((1-O53)*B53+P54)/(1+L53)</f>
        <v>18</v>
      </c>
      <c r="Q53" s="12">
        <f t="shared" si="33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30"/>
        <v>0</v>
      </c>
      <c r="M54">
        <f t="shared" si="31"/>
        <v>27.3</v>
      </c>
      <c r="N54">
        <f t="shared" si="29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I60" si="34">E$5/100*EXP(5.372697*(1+E$8)*(1-(E$2+273.15)/$Q30))</f>
        <v>59.889007012273737</v>
      </c>
      <c r="D60">
        <f t="shared" si="34"/>
        <v>16.641384717735434</v>
      </c>
      <c r="E60">
        <f t="shared" si="34"/>
        <v>6.5207237166629586</v>
      </c>
      <c r="F60">
        <f t="shared" si="34"/>
        <v>4.7017169326426158</v>
      </c>
      <c r="G60">
        <f t="shared" si="34"/>
        <v>1.8216984631719335</v>
      </c>
      <c r="H60">
        <f t="shared" si="34"/>
        <v>1.6019279543799159</v>
      </c>
      <c r="I60">
        <f t="shared" si="34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35">D$5/100*EXP(5.372697*(1+D$8)*(1-(D$2+273.15)/$Q31))</f>
        <v>445.68342791080278</v>
      </c>
      <c r="C61">
        <f t="shared" ref="C61:C71" si="36">E$5/100*EXP(5.372697*(1+E$8)*(1-(E$2+273.15)/$Q31))</f>
        <v>65.827928189266558</v>
      </c>
      <c r="D61">
        <f t="shared" ref="D61:D71" si="37">F$5/100*EXP(5.372697*(1+F$8)*(1-(F$2+273.15)/$Q31))</f>
        <v>18.765298928407329</v>
      </c>
      <c r="E61">
        <f t="shared" ref="E61:E71" si="38">G$5/100*EXP(5.372697*(1+G$8)*(1-(G$2+273.15)/$Q31))</f>
        <v>7.4723971450142948</v>
      </c>
      <c r="F61">
        <f t="shared" ref="F61:F71" si="39">H$5/100*EXP(5.372697*(1+H$8)*(1-(H$2+273.15)/$Q31))</f>
        <v>5.4292877391579042</v>
      </c>
      <c r="G61">
        <f t="shared" ref="G61:G71" si="40">I$5/100*EXP(5.372697*(1+I$8)*(1-(I$2+273.15)/$Q31))</f>
        <v>2.1434659000782816</v>
      </c>
      <c r="H61">
        <f t="shared" ref="H61:H71" si="41">J$5/100*EXP(5.372697*(1+J$8)*(1-(J$2+273.15)/$Q31))</f>
        <v>1.8831642490060414</v>
      </c>
      <c r="I61">
        <f t="shared" ref="I61:J71" si="42">K$5/100*EXP(5.372697*(1+K$8)*(1-(K$2+273.15)/$Q31))</f>
        <v>0.62892518736778114</v>
      </c>
      <c r="J61">
        <f t="shared" si="42"/>
        <v>0.23944340455518082</v>
      </c>
    </row>
    <row r="62" spans="1:17" x14ac:dyDescent="0.25">
      <c r="A62">
        <v>3</v>
      </c>
      <c r="B62">
        <f t="shared" si="35"/>
        <v>469.73193046119388</v>
      </c>
      <c r="C62">
        <f t="shared" si="36"/>
        <v>72.129475278106611</v>
      </c>
      <c r="D62">
        <f t="shared" si="37"/>
        <v>21.076241474981373</v>
      </c>
      <c r="E62">
        <f t="shared" si="38"/>
        <v>8.5244012712077151</v>
      </c>
      <c r="F62">
        <f t="shared" si="39"/>
        <v>6.2396317701313073</v>
      </c>
      <c r="G62">
        <f t="shared" si="40"/>
        <v>2.5085123390663608</v>
      </c>
      <c r="H62">
        <f t="shared" si="41"/>
        <v>2.2019430369942352</v>
      </c>
      <c r="I62">
        <f t="shared" si="42"/>
        <v>0.75293621767826302</v>
      </c>
      <c r="J62">
        <f t="shared" ref="J62:J71" si="43">L$5/100*EXP(5.372697*(1+L$8)*(1-(L$2+273.15)/$Q32))</f>
        <v>0.29205940334527997</v>
      </c>
    </row>
    <row r="63" spans="1:17" x14ac:dyDescent="0.25">
      <c r="A63">
        <v>4</v>
      </c>
      <c r="B63">
        <f t="shared" si="35"/>
        <v>494.23081341895715</v>
      </c>
      <c r="C63">
        <f t="shared" si="36"/>
        <v>78.799122596257021</v>
      </c>
      <c r="D63">
        <f t="shared" si="37"/>
        <v>23.582345165589743</v>
      </c>
      <c r="E63">
        <f t="shared" si="38"/>
        <v>9.6828554246319349</v>
      </c>
      <c r="F63">
        <f t="shared" si="39"/>
        <v>7.1384840820909998</v>
      </c>
      <c r="G63">
        <f t="shared" si="40"/>
        <v>2.9207198225060087</v>
      </c>
      <c r="H63">
        <f t="shared" si="41"/>
        <v>2.5615945803066986</v>
      </c>
      <c r="I63">
        <f t="shared" si="42"/>
        <v>0.89612798975326524</v>
      </c>
      <c r="J63">
        <f t="shared" si="43"/>
        <v>0.35393855386370165</v>
      </c>
    </row>
    <row r="64" spans="1:17" x14ac:dyDescent="0.25">
      <c r="A64">
        <v>5</v>
      </c>
      <c r="B64">
        <f t="shared" si="35"/>
        <v>519.16030105645893</v>
      </c>
      <c r="C64">
        <f t="shared" si="36"/>
        <v>85.841689908724874</v>
      </c>
      <c r="D64">
        <f t="shared" si="37"/>
        <v>26.291540917230233</v>
      </c>
      <c r="E64">
        <f t="shared" si="38"/>
        <v>10.953888504833669</v>
      </c>
      <c r="F64">
        <f t="shared" si="39"/>
        <v>8.1316500930903057</v>
      </c>
      <c r="G64">
        <f t="shared" si="40"/>
        <v>3.3841112190339335</v>
      </c>
      <c r="H64">
        <f t="shared" si="41"/>
        <v>2.9655662400294514</v>
      </c>
      <c r="I64">
        <f t="shared" si="42"/>
        <v>1.0606133457919775</v>
      </c>
      <c r="J64">
        <f t="shared" si="43"/>
        <v>0.42629296390936905</v>
      </c>
    </row>
    <row r="65" spans="1:10" x14ac:dyDescent="0.25">
      <c r="A65">
        <v>6</v>
      </c>
      <c r="B65">
        <f t="shared" si="35"/>
        <v>544.50086960430031</v>
      </c>
      <c r="C65">
        <f t="shared" si="36"/>
        <v>93.261354659902977</v>
      </c>
      <c r="D65">
        <f t="shared" si="37"/>
        <v>29.211536127198606</v>
      </c>
      <c r="E65">
        <f t="shared" si="38"/>
        <v>12.343619145600849</v>
      </c>
      <c r="F65">
        <f t="shared" si="39"/>
        <v>9.2249869895855205</v>
      </c>
      <c r="G65">
        <f t="shared" si="40"/>
        <v>3.9028400234339986</v>
      </c>
      <c r="H65">
        <f t="shared" si="41"/>
        <v>3.4174135635438896</v>
      </c>
      <c r="I65">
        <f t="shared" si="42"/>
        <v>1.248631035520823</v>
      </c>
      <c r="J65">
        <f t="shared" si="43"/>
        <v>0.51043304609554374</v>
      </c>
    </row>
    <row r="66" spans="1:10" x14ac:dyDescent="0.25">
      <c r="A66">
        <v>7</v>
      </c>
      <c r="B66">
        <f t="shared" si="35"/>
        <v>570.23328669305681</v>
      </c>
      <c r="C66">
        <f t="shared" si="36"/>
        <v>101.06166659601418</v>
      </c>
      <c r="D66">
        <f t="shared" si="37"/>
        <v>32.349795302648722</v>
      </c>
      <c r="E66">
        <f t="shared" si="38"/>
        <v>13.858136662088429</v>
      </c>
      <c r="F66">
        <f t="shared" si="39"/>
        <v>10.424385420103363</v>
      </c>
      <c r="G66">
        <f t="shared" si="40"/>
        <v>4.4811796014797176</v>
      </c>
      <c r="H66">
        <f t="shared" si="41"/>
        <v>3.9207909256725237</v>
      </c>
      <c r="I66">
        <f t="shared" si="42"/>
        <v>1.4625436042298476</v>
      </c>
      <c r="J66">
        <f t="shared" si="43"/>
        <v>0.60776903067553012</v>
      </c>
    </row>
    <row r="67" spans="1:10" x14ac:dyDescent="0.25">
      <c r="A67">
        <v>8</v>
      </c>
      <c r="B67">
        <f t="shared" si="35"/>
        <v>596.33864520188422</v>
      </c>
      <c r="C67">
        <f t="shared" si="36"/>
        <v>109.24556442432159</v>
      </c>
      <c r="D67">
        <f t="shared" si="37"/>
        <v>35.713522909641227</v>
      </c>
      <c r="E67">
        <f t="shared" si="38"/>
        <v>15.503482871809044</v>
      </c>
      <c r="F67">
        <f t="shared" si="39"/>
        <v>11.735751596945283</v>
      </c>
      <c r="G67">
        <f t="shared" si="40"/>
        <v>5.1235119872235622</v>
      </c>
      <c r="H67">
        <f t="shared" si="41"/>
        <v>4.479441815972498</v>
      </c>
      <c r="I67">
        <f t="shared" si="42"/>
        <v>1.7048346315044014</v>
      </c>
      <c r="J67">
        <f t="shared" si="43"/>
        <v>0.71981199489911263</v>
      </c>
    </row>
    <row r="68" spans="1:10" x14ac:dyDescent="0.25">
      <c r="A68">
        <v>9</v>
      </c>
      <c r="B68">
        <f t="shared" si="35"/>
        <v>622.79839202078608</v>
      </c>
      <c r="C68">
        <f t="shared" si="36"/>
        <v>117.81539418099926</v>
      </c>
      <c r="D68">
        <f t="shared" si="37"/>
        <v>39.309648384714897</v>
      </c>
      <c r="E68">
        <f t="shared" si="38"/>
        <v>17.285634862473501</v>
      </c>
      <c r="F68">
        <f t="shared" si="39"/>
        <v>13.164989911877457</v>
      </c>
      <c r="G68">
        <f t="shared" si="40"/>
        <v>5.8343163366665136</v>
      </c>
      <c r="H68">
        <f t="shared" si="41"/>
        <v>5.097188860924267</v>
      </c>
      <c r="I68">
        <f t="shared" si="42"/>
        <v>1.9781053588959705</v>
      </c>
      <c r="J68">
        <f t="shared" si="43"/>
        <v>0.84817440621785234</v>
      </c>
    </row>
    <row r="69" spans="1:10" x14ac:dyDescent="0.25">
      <c r="A69">
        <v>10</v>
      </c>
      <c r="B69">
        <f t="shared" si="35"/>
        <v>649.59435220123271</v>
      </c>
      <c r="C69">
        <f t="shared" si="36"/>
        <v>126.77292900551345</v>
      </c>
      <c r="D69">
        <f t="shared" si="37"/>
        <v>43.144813236971899</v>
      </c>
      <c r="E69">
        <f t="shared" si="38"/>
        <v>19.210488763111965</v>
      </c>
      <c r="F69">
        <f t="shared" si="39"/>
        <v>14.717986156887672</v>
      </c>
      <c r="G69">
        <f t="shared" si="40"/>
        <v>6.6181571371735517</v>
      </c>
      <c r="H69">
        <f t="shared" si="41"/>
        <v>5.7779236655129385</v>
      </c>
      <c r="I69">
        <f t="shared" si="42"/>
        <v>2.2850707487431161</v>
      </c>
      <c r="J69">
        <f t="shared" si="43"/>
        <v>0.99457018173837886</v>
      </c>
    </row>
    <row r="70" spans="1:10" x14ac:dyDescent="0.25">
      <c r="A70">
        <v>11</v>
      </c>
      <c r="B70">
        <f t="shared" si="35"/>
        <v>676.7087489377717</v>
      </c>
      <c r="C70">
        <f t="shared" si="36"/>
        <v>136.11939004507312</v>
      </c>
      <c r="D70">
        <f t="shared" si="37"/>
        <v>47.225360156618294</v>
      </c>
      <c r="E70">
        <f t="shared" si="38"/>
        <v>21.283844559710179</v>
      </c>
      <c r="F70">
        <f t="shared" si="39"/>
        <v>16.400591426836026</v>
      </c>
      <c r="G70">
        <f t="shared" si="40"/>
        <v>7.4796722666273707</v>
      </c>
      <c r="H70">
        <f t="shared" si="41"/>
        <v>6.5255965538068148</v>
      </c>
      <c r="I70">
        <f t="shared" si="42"/>
        <v>2.6285550194190366</v>
      </c>
      <c r="J70">
        <f t="shared" si="43"/>
        <v>1.1608142710024547</v>
      </c>
    </row>
    <row r="71" spans="1:10" x14ac:dyDescent="0.25">
      <c r="A71">
        <v>12</v>
      </c>
      <c r="B71">
        <f t="shared" si="35"/>
        <v>704.12421979172586</v>
      </c>
      <c r="C71">
        <f t="shared" si="36"/>
        <v>145.85546823781081</v>
      </c>
      <c r="D71">
        <f t="shared" si="37"/>
        <v>51.55732403654001</v>
      </c>
      <c r="E71">
        <f t="shared" si="38"/>
        <v>23.511391982794148</v>
      </c>
      <c r="F71">
        <f t="shared" si="39"/>
        <v>18.2186067673229</v>
      </c>
      <c r="G71">
        <f t="shared" si="40"/>
        <v>8.4235609903283564</v>
      </c>
      <c r="H71">
        <f t="shared" si="41"/>
        <v>7.3442062827677228</v>
      </c>
      <c r="I71">
        <f t="shared" si="42"/>
        <v>3.0114867045011784</v>
      </c>
      <c r="J71">
        <f t="shared" si="43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44">C60/($R30*10)</f>
        <v>31.520530006459865</v>
      </c>
      <c r="D75">
        <f t="shared" si="44"/>
        <v>8.7586235356502282</v>
      </c>
      <c r="E75">
        <f t="shared" si="44"/>
        <v>3.4319598508752414</v>
      </c>
      <c r="F75">
        <f t="shared" si="44"/>
        <v>2.4745878592855872</v>
      </c>
      <c r="G75">
        <f t="shared" si="44"/>
        <v>0.95878866482733349</v>
      </c>
      <c r="H75">
        <f t="shared" si="44"/>
        <v>0.84311997598942945</v>
      </c>
      <c r="I75">
        <f t="shared" si="44"/>
        <v>0.27479441761873596</v>
      </c>
      <c r="J75">
        <f t="shared" si="44"/>
        <v>0.10261829806691704</v>
      </c>
    </row>
    <row r="76" spans="1:10" x14ac:dyDescent="0.25">
      <c r="A76">
        <v>2</v>
      </c>
      <c r="B76">
        <f t="shared" ref="B76:J76" si="45">B61/($R31*10)</f>
        <v>233.5459010886303</v>
      </c>
      <c r="C76">
        <f t="shared" si="45"/>
        <v>34.494984203982476</v>
      </c>
      <c r="D76">
        <f t="shared" si="45"/>
        <v>9.8333444166326629</v>
      </c>
      <c r="E76">
        <f t="shared" si="45"/>
        <v>3.9156666262083641</v>
      </c>
      <c r="F76">
        <f t="shared" si="45"/>
        <v>2.8450416100390767</v>
      </c>
      <c r="G76">
        <f t="shared" si="45"/>
        <v>1.1232135720934227</v>
      </c>
      <c r="H76">
        <f t="shared" si="45"/>
        <v>0.98681096017783831</v>
      </c>
      <c r="I76">
        <f t="shared" si="45"/>
        <v>0.32956778377350976</v>
      </c>
      <c r="J76">
        <f t="shared" si="45"/>
        <v>0.12547252640446158</v>
      </c>
    </row>
    <row r="77" spans="1:10" x14ac:dyDescent="0.25">
      <c r="A77">
        <v>3</v>
      </c>
      <c r="B77">
        <f t="shared" ref="B77:J77" si="46">B62/($R32*10)</f>
        <v>245.07752893627509</v>
      </c>
      <c r="C77">
        <f t="shared" si="46"/>
        <v>37.632769710316495</v>
      </c>
      <c r="D77">
        <f t="shared" si="46"/>
        <v>10.996299899990282</v>
      </c>
      <c r="E77">
        <f t="shared" si="46"/>
        <v>4.4475137067170687</v>
      </c>
      <c r="F77">
        <f t="shared" si="46"/>
        <v>3.2554600539815519</v>
      </c>
      <c r="G77">
        <f t="shared" si="46"/>
        <v>1.3087890464694059</v>
      </c>
      <c r="H77">
        <f t="shared" si="46"/>
        <v>1.1488398453882966</v>
      </c>
      <c r="I77">
        <f t="shared" si="46"/>
        <v>0.39283628748431115</v>
      </c>
      <c r="J77">
        <f t="shared" si="46"/>
        <v>0.15237881913666781</v>
      </c>
    </row>
    <row r="78" spans="1:10" x14ac:dyDescent="0.25">
      <c r="A78">
        <v>4</v>
      </c>
      <c r="B78">
        <f t="shared" ref="B78:J78" si="47">B63/($R33*10)</f>
        <v>256.7432796981596</v>
      </c>
      <c r="C78">
        <f t="shared" si="47"/>
        <v>40.934609140912741</v>
      </c>
      <c r="D78">
        <f t="shared" si="47"/>
        <v>12.250568917189478</v>
      </c>
      <c r="E78">
        <f t="shared" si="47"/>
        <v>5.0300547660425643</v>
      </c>
      <c r="F78">
        <f t="shared" si="47"/>
        <v>3.7083034192680522</v>
      </c>
      <c r="G78">
        <f t="shared" si="47"/>
        <v>1.5172570506524723</v>
      </c>
      <c r="H78">
        <f t="shared" si="47"/>
        <v>1.3306984832762072</v>
      </c>
      <c r="I78">
        <f t="shared" si="47"/>
        <v>0.46552103363805991</v>
      </c>
      <c r="J78">
        <f t="shared" si="47"/>
        <v>0.18386418382529957</v>
      </c>
    </row>
    <row r="79" spans="1:10" x14ac:dyDescent="0.25">
      <c r="A79">
        <v>5</v>
      </c>
      <c r="B79">
        <f t="shared" ref="B79:J79" si="48">B64/($R34*10)</f>
        <v>268.53119020161671</v>
      </c>
      <c r="C79">
        <f t="shared" si="48"/>
        <v>44.400874090719768</v>
      </c>
      <c r="D79">
        <f t="shared" si="48"/>
        <v>13.599072888222535</v>
      </c>
      <c r="E79">
        <f t="shared" si="48"/>
        <v>5.6658043990518987</v>
      </c>
      <c r="F79">
        <f t="shared" si="48"/>
        <v>4.2060259102191244</v>
      </c>
      <c r="G79">
        <f t="shared" si="48"/>
        <v>1.7504023546727243</v>
      </c>
      <c r="H79">
        <f t="shared" si="48"/>
        <v>1.5339135724290267</v>
      </c>
      <c r="I79">
        <f t="shared" si="48"/>
        <v>0.54859310989240218</v>
      </c>
      <c r="J79">
        <f t="shared" si="48"/>
        <v>0.22049636064277711</v>
      </c>
    </row>
    <row r="80" spans="1:10" x14ac:dyDescent="0.25">
      <c r="A80">
        <v>6</v>
      </c>
      <c r="B80">
        <f t="shared" ref="B80:J80" si="49">B65/($R35*10)</f>
        <v>280.429632414232</v>
      </c>
      <c r="C80">
        <f t="shared" si="49"/>
        <v>48.031598966473645</v>
      </c>
      <c r="D80">
        <f t="shared" si="49"/>
        <v>15.044567962505724</v>
      </c>
      <c r="E80">
        <f t="shared" si="49"/>
        <v>6.3572287445154601</v>
      </c>
      <c r="F80">
        <f t="shared" si="49"/>
        <v>4.7510662607307417</v>
      </c>
      <c r="G80">
        <f t="shared" si="49"/>
        <v>2.0100463640003432</v>
      </c>
      <c r="H80">
        <f t="shared" si="49"/>
        <v>1.7600413202801153</v>
      </c>
      <c r="I80">
        <f t="shared" si="49"/>
        <v>0.64307177795063863</v>
      </c>
      <c r="J80">
        <f t="shared" si="49"/>
        <v>0.26288397223804832</v>
      </c>
    </row>
    <row r="81" spans="1:10" x14ac:dyDescent="0.25">
      <c r="A81">
        <v>7</v>
      </c>
      <c r="B81">
        <f t="shared" ref="B81:J81" si="50">B66/($R36*10)</f>
        <v>292.42732650925996</v>
      </c>
      <c r="C81">
        <f t="shared" si="50"/>
        <v>51.826495690263691</v>
      </c>
      <c r="D81">
        <f t="shared" si="50"/>
        <v>16.589638616742938</v>
      </c>
      <c r="E81">
        <f t="shared" si="50"/>
        <v>7.1067367497889391</v>
      </c>
      <c r="F81">
        <f t="shared" si="50"/>
        <v>5.3458386769760846</v>
      </c>
      <c r="G81">
        <f t="shared" si="50"/>
        <v>2.2980408212716505</v>
      </c>
      <c r="H81">
        <f t="shared" si="50"/>
        <v>2.0106620131653972</v>
      </c>
      <c r="I81">
        <f t="shared" si="50"/>
        <v>0.75002236114351184</v>
      </c>
      <c r="J81">
        <f t="shared" si="50"/>
        <v>0.31167642598745143</v>
      </c>
    </row>
    <row r="82" spans="1:10" x14ac:dyDescent="0.25">
      <c r="A82">
        <v>8</v>
      </c>
      <c r="B82">
        <f t="shared" ref="B82:J82" si="51">B67/($R37*10)</f>
        <v>304.51335074138774</v>
      </c>
      <c r="C82">
        <f t="shared" si="51"/>
        <v>55.7849690677387</v>
      </c>
      <c r="D82">
        <f t="shared" si="51"/>
        <v>18.236692549604037</v>
      </c>
      <c r="E82">
        <f t="shared" si="51"/>
        <v>7.9166721047535571</v>
      </c>
      <c r="F82">
        <f t="shared" si="51"/>
        <v>5.9927242197167416</v>
      </c>
      <c r="G82">
        <f t="shared" si="51"/>
        <v>2.6162614402843727</v>
      </c>
      <c r="H82">
        <f t="shared" si="51"/>
        <v>2.2873745443263824</v>
      </c>
      <c r="I82">
        <f t="shared" si="51"/>
        <v>0.87055385438522648</v>
      </c>
      <c r="J82">
        <f t="shared" si="51"/>
        <v>0.36756357186337674</v>
      </c>
    </row>
    <row r="83" spans="1:10" x14ac:dyDescent="0.25">
      <c r="A83">
        <v>9</v>
      </c>
      <c r="B83">
        <f t="shared" ref="B83:J83" si="52">B68/($R38*10)</f>
        <v>316.67714848514561</v>
      </c>
      <c r="C83">
        <f t="shared" si="52"/>
        <v>59.906132634406426</v>
      </c>
      <c r="D83">
        <f t="shared" si="52"/>
        <v>19.987956805787245</v>
      </c>
      <c r="E83">
        <f t="shared" si="52"/>
        <v>8.7893058622746647</v>
      </c>
      <c r="F83">
        <f t="shared" si="52"/>
        <v>6.694062667056337</v>
      </c>
      <c r="G83">
        <f t="shared" si="52"/>
        <v>2.9666015271185673</v>
      </c>
      <c r="H83">
        <f t="shared" si="52"/>
        <v>2.5917909462326794</v>
      </c>
      <c r="I83">
        <f t="shared" si="52"/>
        <v>1.0058162841843923</v>
      </c>
      <c r="J83">
        <f t="shared" si="52"/>
        <v>0.43127512180568778</v>
      </c>
    </row>
    <row r="84" spans="1:10" x14ac:dyDescent="0.25">
      <c r="A84">
        <v>10</v>
      </c>
      <c r="B84">
        <f t="shared" ref="B84:J84" si="53">B69/($R39*10)</f>
        <v>328.90853276011796</v>
      </c>
      <c r="C84">
        <f t="shared" si="53"/>
        <v>64.188824812918227</v>
      </c>
      <c r="D84">
        <f t="shared" si="53"/>
        <v>21.845475056694642</v>
      </c>
      <c r="E84">
        <f t="shared" si="53"/>
        <v>9.7268297534744157</v>
      </c>
      <c r="F84">
        <f t="shared" si="53"/>
        <v>7.4521448895633817</v>
      </c>
      <c r="G84">
        <f t="shared" si="53"/>
        <v>3.3509656390752176</v>
      </c>
      <c r="H84">
        <f t="shared" si="53"/>
        <v>2.9255309698799699</v>
      </c>
      <c r="I84">
        <f t="shared" si="53"/>
        <v>1.1569978474648694</v>
      </c>
      <c r="J84">
        <f t="shared" si="53"/>
        <v>0.50357983885487556</v>
      </c>
    </row>
    <row r="85" spans="1:10" x14ac:dyDescent="0.25">
      <c r="A85">
        <v>11</v>
      </c>
      <c r="B85">
        <f t="shared" ref="B85:J85" si="54">B70/($R40*10)</f>
        <v>341.19768854005309</v>
      </c>
      <c r="C85">
        <f t="shared" si="54"/>
        <v>68.631625232810009</v>
      </c>
      <c r="D85">
        <f t="shared" si="54"/>
        <v>23.811105961320159</v>
      </c>
      <c r="E85">
        <f t="shared" si="54"/>
        <v>10.731350198173203</v>
      </c>
      <c r="F85">
        <f t="shared" si="54"/>
        <v>8.2692057614299319</v>
      </c>
      <c r="G85">
        <f t="shared" si="54"/>
        <v>3.771263327711281</v>
      </c>
      <c r="H85">
        <f t="shared" si="54"/>
        <v>3.2902167498185633</v>
      </c>
      <c r="I85">
        <f t="shared" si="54"/>
        <v>1.3253218585306072</v>
      </c>
      <c r="J85">
        <f t="shared" si="54"/>
        <v>0.5852845063877925</v>
      </c>
    </row>
    <row r="86" spans="1:10" x14ac:dyDescent="0.25">
      <c r="A86">
        <v>12</v>
      </c>
      <c r="B86">
        <f t="shared" ref="B86:I86" si="55">B71/($R41*10)</f>
        <v>352.06210989586293</v>
      </c>
      <c r="C86">
        <f t="shared" si="55"/>
        <v>72.927734118905406</v>
      </c>
      <c r="D86">
        <f t="shared" si="55"/>
        <v>25.778662018270005</v>
      </c>
      <c r="E86">
        <f t="shared" si="55"/>
        <v>11.755695991397074</v>
      </c>
      <c r="F86">
        <f t="shared" si="55"/>
        <v>9.1093033836614499</v>
      </c>
      <c r="G86">
        <f t="shared" si="55"/>
        <v>4.2117804951641782</v>
      </c>
      <c r="H86">
        <f t="shared" si="55"/>
        <v>3.6721031413838614</v>
      </c>
      <c r="I86">
        <f t="shared" si="55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56">Q43</f>
        <v>13.5</v>
      </c>
      <c r="C91">
        <f t="shared" ref="C91:C101" si="57">-(Q44+C44+(P44+D44)*J76)</f>
        <v>-15.758505475280309</v>
      </c>
      <c r="D91">
        <f t="shared" ref="D91:D100" si="58">P45*J77</f>
        <v>2.7428187444600205</v>
      </c>
      <c r="E91">
        <f t="shared" ref="E91:E101" si="59">-B44*$C$35</f>
        <v>0</v>
      </c>
    </row>
    <row r="92" spans="1:10" x14ac:dyDescent="0.25">
      <c r="A92">
        <v>3</v>
      </c>
      <c r="B92" s="14">
        <f t="shared" si="56"/>
        <v>13.5</v>
      </c>
      <c r="C92">
        <f t="shared" si="57"/>
        <v>-16.24281874446002</v>
      </c>
      <c r="D92">
        <f t="shared" si="58"/>
        <v>3.3095553088553924</v>
      </c>
      <c r="E92">
        <f t="shared" si="59"/>
        <v>0</v>
      </c>
    </row>
    <row r="93" spans="1:10" x14ac:dyDescent="0.25">
      <c r="A93">
        <v>4</v>
      </c>
      <c r="B93" s="14">
        <f t="shared" si="56"/>
        <v>13.5</v>
      </c>
      <c r="C93">
        <f t="shared" si="57"/>
        <v>-16.809555308855394</v>
      </c>
      <c r="D93">
        <f t="shared" si="58"/>
        <v>3.9689344915699882</v>
      </c>
      <c r="E93">
        <f t="shared" si="59"/>
        <v>0</v>
      </c>
    </row>
    <row r="94" spans="1:10" x14ac:dyDescent="0.25">
      <c r="A94">
        <v>5</v>
      </c>
      <c r="B94" s="14">
        <f t="shared" si="56"/>
        <v>13.5</v>
      </c>
      <c r="C94">
        <f t="shared" si="57"/>
        <v>-31.268934491569986</v>
      </c>
      <c r="D94">
        <f t="shared" si="58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56"/>
        <v>27.299999999999997</v>
      </c>
      <c r="C95">
        <f t="shared" si="57"/>
        <v>-32.031911500284863</v>
      </c>
      <c r="D95">
        <f t="shared" si="58"/>
        <v>5.6101756677741257</v>
      </c>
      <c r="E95">
        <f t="shared" si="59"/>
        <v>0</v>
      </c>
    </row>
    <row r="96" spans="1:10" x14ac:dyDescent="0.25">
      <c r="A96">
        <v>7</v>
      </c>
      <c r="B96" s="14">
        <f t="shared" si="56"/>
        <v>27.299999999999997</v>
      </c>
      <c r="C96">
        <f t="shared" si="57"/>
        <v>-32.910175667774126</v>
      </c>
      <c r="D96">
        <f t="shared" si="58"/>
        <v>6.6161442935407813</v>
      </c>
      <c r="E96">
        <f t="shared" si="59"/>
        <v>0</v>
      </c>
    </row>
    <row r="97" spans="1:15" x14ac:dyDescent="0.25">
      <c r="A97">
        <v>8</v>
      </c>
      <c r="B97" s="14">
        <f t="shared" si="56"/>
        <v>27.299999999999997</v>
      </c>
      <c r="C97">
        <f t="shared" si="57"/>
        <v>-33.916144293540782</v>
      </c>
      <c r="D97">
        <f t="shared" si="58"/>
        <v>7.7629521925023797</v>
      </c>
      <c r="E97">
        <f t="shared" si="59"/>
        <v>0</v>
      </c>
    </row>
    <row r="98" spans="1:15" x14ac:dyDescent="0.25">
      <c r="A98">
        <v>9</v>
      </c>
      <c r="B98" s="14">
        <f t="shared" si="56"/>
        <v>27.299999999999997</v>
      </c>
      <c r="C98">
        <f t="shared" si="57"/>
        <v>-35.062952192502379</v>
      </c>
      <c r="D98">
        <f t="shared" si="58"/>
        <v>9.0644370993877601</v>
      </c>
      <c r="E98">
        <f t="shared" si="59"/>
        <v>0</v>
      </c>
    </row>
    <row r="99" spans="1:15" x14ac:dyDescent="0.25">
      <c r="A99">
        <v>10</v>
      </c>
      <c r="B99" s="14">
        <f t="shared" si="56"/>
        <v>27.299999999999997</v>
      </c>
      <c r="C99">
        <f t="shared" si="57"/>
        <v>-36.364437099387757</v>
      </c>
      <c r="D99">
        <f t="shared" si="58"/>
        <v>10.535121114980265</v>
      </c>
      <c r="E99">
        <f t="shared" si="59"/>
        <v>0</v>
      </c>
    </row>
    <row r="100" spans="1:15" x14ac:dyDescent="0.25">
      <c r="A100">
        <v>11</v>
      </c>
      <c r="B100" s="14">
        <f t="shared" si="56"/>
        <v>27.299999999999997</v>
      </c>
      <c r="C100">
        <f t="shared" si="57"/>
        <v>-37.835121114980261</v>
      </c>
      <c r="D100">
        <f t="shared" si="58"/>
        <v>12.139395960731399</v>
      </c>
      <c r="E100">
        <f t="shared" si="59"/>
        <v>0</v>
      </c>
    </row>
    <row r="101" spans="1:15" x14ac:dyDescent="0.25">
      <c r="A101">
        <v>12</v>
      </c>
      <c r="B101" s="14">
        <f t="shared" si="56"/>
        <v>27.299999999999997</v>
      </c>
      <c r="C101">
        <f t="shared" si="57"/>
        <v>-21.4393959607314</v>
      </c>
      <c r="E101">
        <f t="shared" si="59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60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60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60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61">C93</f>
        <v>-16.809555308855394</v>
      </c>
      <c r="F107" s="1">
        <f t="shared" si="61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60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62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60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63">C95</f>
        <v>-32.031911500284863</v>
      </c>
      <c r="H109" s="1">
        <f t="shared" si="63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60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64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60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65">C97</f>
        <v>-33.916144293540782</v>
      </c>
      <c r="J111" s="1">
        <f t="shared" si="65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60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66">C98</f>
        <v>-35.062952192502379</v>
      </c>
      <c r="K112" s="1">
        <f t="shared" si="66"/>
        <v>9.0644370993877601</v>
      </c>
      <c r="L112" s="4">
        <v>0</v>
      </c>
      <c r="M112" s="4">
        <v>0</v>
      </c>
      <c r="N112" t="s">
        <v>72</v>
      </c>
      <c r="O112">
        <f t="shared" si="60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67">C99</f>
        <v>-36.364437099387757</v>
      </c>
      <c r="L113" s="1">
        <f t="shared" si="67"/>
        <v>10.535121114980265</v>
      </c>
      <c r="M113" s="4">
        <v>0</v>
      </c>
      <c r="N113" t="s">
        <v>73</v>
      </c>
      <c r="O113">
        <f t="shared" si="60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68">C100</f>
        <v>-37.835121114980261</v>
      </c>
      <c r="M114" s="1">
        <f>D100</f>
        <v>12.139395960731399</v>
      </c>
      <c r="N114" t="s">
        <v>74</v>
      </c>
      <c r="O114">
        <f t="shared" si="60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60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69">CONCATENATE(D104,D117)</f>
        <v>0,</v>
      </c>
      <c r="E129" t="str">
        <f t="shared" si="69"/>
        <v>0,</v>
      </c>
      <c r="F129" t="str">
        <f t="shared" si="69"/>
        <v>0,</v>
      </c>
      <c r="G129" t="str">
        <f t="shared" si="69"/>
        <v>0,</v>
      </c>
      <c r="H129" t="str">
        <f t="shared" si="69"/>
        <v>0,</v>
      </c>
      <c r="I129" t="str">
        <f t="shared" si="69"/>
        <v>0,</v>
      </c>
      <c r="J129" t="str">
        <f t="shared" si="69"/>
        <v>0,</v>
      </c>
      <c r="K129" t="str">
        <f t="shared" si="69"/>
        <v>0,</v>
      </c>
      <c r="L129" t="str">
        <f t="shared" si="69"/>
        <v>0,</v>
      </c>
      <c r="M129" t="str">
        <f t="shared" si="69"/>
        <v>0,</v>
      </c>
      <c r="N129" t="str">
        <f>CONCATENATE(O104,N117,M117)</f>
        <v>0),</v>
      </c>
    </row>
    <row r="130" spans="1:21" x14ac:dyDescent="0.25">
      <c r="B130" t="str">
        <f t="shared" ref="B130:B136" si="70">CONCATENATE(A118,B105,B118)</f>
        <v>(13.5,</v>
      </c>
      <c r="C130" t="str">
        <f t="shared" ref="C130:M140" si="71">CONCATENATE(C105,C118)</f>
        <v>-15.7585054752803,</v>
      </c>
      <c r="D130" t="str">
        <f t="shared" si="71"/>
        <v>2.74281874446002,</v>
      </c>
      <c r="E130" t="str">
        <f t="shared" si="71"/>
        <v>0,</v>
      </c>
      <c r="F130" t="str">
        <f t="shared" si="71"/>
        <v>0,</v>
      </c>
      <c r="G130" t="str">
        <f t="shared" si="71"/>
        <v>0,</v>
      </c>
      <c r="H130" t="str">
        <f t="shared" si="71"/>
        <v>0,</v>
      </c>
      <c r="I130" t="str">
        <f t="shared" si="71"/>
        <v>0,</v>
      </c>
      <c r="J130" t="str">
        <f t="shared" si="71"/>
        <v>0,</v>
      </c>
      <c r="K130" t="str">
        <f t="shared" si="71"/>
        <v>0,</v>
      </c>
      <c r="L130" t="str">
        <f t="shared" si="71"/>
        <v>0,</v>
      </c>
      <c r="M130" t="str">
        <f t="shared" si="71"/>
        <v>0,</v>
      </c>
      <c r="N130" t="str">
        <f t="shared" ref="N130:N139" si="72">CONCATENATE(O105,N118,M118)</f>
        <v>0),</v>
      </c>
    </row>
    <row r="131" spans="1:21" x14ac:dyDescent="0.25">
      <c r="B131" t="str">
        <f t="shared" si="70"/>
        <v>(0,</v>
      </c>
      <c r="C131" t="str">
        <f t="shared" si="71"/>
        <v>13.5,</v>
      </c>
      <c r="D131" t="str">
        <f t="shared" si="71"/>
        <v>-16.24281874446,</v>
      </c>
      <c r="E131" t="str">
        <f t="shared" si="71"/>
        <v>3.30955530885539,</v>
      </c>
      <c r="F131" t="str">
        <f t="shared" si="71"/>
        <v>0,</v>
      </c>
      <c r="G131" t="str">
        <f t="shared" si="71"/>
        <v>0,</v>
      </c>
      <c r="H131" t="str">
        <f t="shared" si="71"/>
        <v>0,</v>
      </c>
      <c r="I131" t="str">
        <f t="shared" si="71"/>
        <v>0,</v>
      </c>
      <c r="J131" t="str">
        <f t="shared" si="71"/>
        <v>0,</v>
      </c>
      <c r="K131" t="str">
        <f t="shared" si="71"/>
        <v>0,</v>
      </c>
      <c r="L131" t="str">
        <f t="shared" si="71"/>
        <v>0,</v>
      </c>
      <c r="M131" t="str">
        <f t="shared" si="71"/>
        <v>0,</v>
      </c>
      <c r="N131" t="str">
        <f t="shared" si="72"/>
        <v>0),</v>
      </c>
    </row>
    <row r="132" spans="1:21" x14ac:dyDescent="0.25">
      <c r="B132" t="str">
        <f t="shared" si="70"/>
        <v>(0,</v>
      </c>
      <c r="C132" t="str">
        <f t="shared" si="71"/>
        <v>0,</v>
      </c>
      <c r="D132" t="str">
        <f t="shared" si="71"/>
        <v>13.5,</v>
      </c>
      <c r="E132" t="str">
        <f t="shared" si="71"/>
        <v>-16.8095553088554,</v>
      </c>
      <c r="F132" t="str">
        <f t="shared" si="71"/>
        <v>3.96893449156999,</v>
      </c>
      <c r="G132" t="str">
        <f t="shared" si="71"/>
        <v>0,</v>
      </c>
      <c r="H132" t="str">
        <f t="shared" si="71"/>
        <v>0,</v>
      </c>
      <c r="I132" t="str">
        <f t="shared" si="71"/>
        <v>0,</v>
      </c>
      <c r="J132" t="str">
        <f t="shared" si="71"/>
        <v>0,</v>
      </c>
      <c r="K132" t="str">
        <f t="shared" si="71"/>
        <v>0,</v>
      </c>
      <c r="L132" t="str">
        <f t="shared" si="71"/>
        <v>0,</v>
      </c>
      <c r="M132" t="str">
        <f t="shared" si="71"/>
        <v>0,</v>
      </c>
      <c r="N132" t="str">
        <f t="shared" si="72"/>
        <v>0),</v>
      </c>
    </row>
    <row r="133" spans="1:21" x14ac:dyDescent="0.25">
      <c r="B133" t="str">
        <f t="shared" si="70"/>
        <v>(0,</v>
      </c>
      <c r="C133" t="str">
        <f t="shared" si="71"/>
        <v>0,</v>
      </c>
      <c r="D133" t="str">
        <f t="shared" si="71"/>
        <v>0,</v>
      </c>
      <c r="E133" t="str">
        <f t="shared" si="71"/>
        <v>13.5,</v>
      </c>
      <c r="F133" t="str">
        <f t="shared" si="71"/>
        <v>-31.26893449157,</v>
      </c>
      <c r="G133" t="str">
        <f t="shared" si="71"/>
        <v>4.73191150028487,</v>
      </c>
      <c r="H133" t="str">
        <f t="shared" si="71"/>
        <v>0,</v>
      </c>
      <c r="I133" t="str">
        <f t="shared" si="71"/>
        <v>0,</v>
      </c>
      <c r="J133" t="str">
        <f t="shared" si="71"/>
        <v>0,</v>
      </c>
      <c r="K133" t="str">
        <f t="shared" si="71"/>
        <v>0,</v>
      </c>
      <c r="L133" t="str">
        <f t="shared" si="71"/>
        <v>0,</v>
      </c>
      <c r="M133" t="str">
        <f t="shared" si="71"/>
        <v>0,</v>
      </c>
      <c r="N133" t="str">
        <f t="shared" si="72"/>
        <v>0),</v>
      </c>
    </row>
    <row r="134" spans="1:21" x14ac:dyDescent="0.25">
      <c r="B134" t="str">
        <f t="shared" si="70"/>
        <v>(0,</v>
      </c>
      <c r="C134" t="str">
        <f t="shared" si="71"/>
        <v>0,</v>
      </c>
      <c r="D134" t="str">
        <f t="shared" si="71"/>
        <v>0,</v>
      </c>
      <c r="E134" t="str">
        <f t="shared" si="71"/>
        <v>0,</v>
      </c>
      <c r="F134" t="str">
        <f t="shared" si="71"/>
        <v>27.3,</v>
      </c>
      <c r="G134" t="str">
        <f t="shared" si="71"/>
        <v>-32.0319115002849,</v>
      </c>
      <c r="H134" t="str">
        <f t="shared" si="71"/>
        <v>5.61017566777413,</v>
      </c>
      <c r="I134" t="str">
        <f t="shared" si="71"/>
        <v>0,</v>
      </c>
      <c r="J134" t="str">
        <f t="shared" si="71"/>
        <v>0,</v>
      </c>
      <c r="K134" t="str">
        <f t="shared" si="71"/>
        <v>0,</v>
      </c>
      <c r="L134" t="str">
        <f t="shared" si="71"/>
        <v>0,</v>
      </c>
      <c r="M134" t="str">
        <f t="shared" si="71"/>
        <v>0,</v>
      </c>
      <c r="N134" t="str">
        <f t="shared" si="72"/>
        <v>0),</v>
      </c>
    </row>
    <row r="135" spans="1:21" x14ac:dyDescent="0.25">
      <c r="B135" t="str">
        <f t="shared" si="70"/>
        <v>(0,</v>
      </c>
      <c r="C135" t="str">
        <f t="shared" si="71"/>
        <v>0,</v>
      </c>
      <c r="D135" t="str">
        <f t="shared" si="71"/>
        <v>0,</v>
      </c>
      <c r="E135" t="str">
        <f t="shared" si="71"/>
        <v>0,</v>
      </c>
      <c r="F135" t="str">
        <f t="shared" si="71"/>
        <v>0,</v>
      </c>
      <c r="G135" t="str">
        <f t="shared" si="71"/>
        <v>27.3,</v>
      </c>
      <c r="H135" t="str">
        <f t="shared" si="71"/>
        <v>-32.9101756677741,</v>
      </c>
      <c r="I135" t="str">
        <f t="shared" si="71"/>
        <v>6.61614429354078,</v>
      </c>
      <c r="J135" t="str">
        <f t="shared" si="71"/>
        <v>0,</v>
      </c>
      <c r="K135" t="str">
        <f t="shared" si="71"/>
        <v>0,</v>
      </c>
      <c r="L135" t="str">
        <f t="shared" si="71"/>
        <v>0,</v>
      </c>
      <c r="M135" t="str">
        <f t="shared" si="71"/>
        <v>0,</v>
      </c>
      <c r="N135" t="str">
        <f t="shared" si="72"/>
        <v>0),</v>
      </c>
    </row>
    <row r="136" spans="1:21" x14ac:dyDescent="0.25">
      <c r="B136" t="str">
        <f t="shared" si="70"/>
        <v>(0,</v>
      </c>
      <c r="C136" t="str">
        <f t="shared" si="71"/>
        <v>0,</v>
      </c>
      <c r="D136" t="str">
        <f t="shared" si="71"/>
        <v>0,</v>
      </c>
      <c r="E136" t="str">
        <f t="shared" si="71"/>
        <v>0,</v>
      </c>
      <c r="F136" t="str">
        <f t="shared" si="71"/>
        <v>0,</v>
      </c>
      <c r="G136" t="str">
        <f t="shared" si="71"/>
        <v>0,</v>
      </c>
      <c r="H136" t="str">
        <f t="shared" si="71"/>
        <v>27.3,</v>
      </c>
      <c r="I136" t="str">
        <f t="shared" si="71"/>
        <v>-33.9161442935408,</v>
      </c>
      <c r="J136" t="str">
        <f t="shared" si="71"/>
        <v>7.76295219250238,</v>
      </c>
      <c r="K136" t="str">
        <f t="shared" si="71"/>
        <v>0,</v>
      </c>
      <c r="L136" t="str">
        <f t="shared" si="71"/>
        <v>0,</v>
      </c>
      <c r="M136" t="str">
        <f t="shared" si="71"/>
        <v>0,</v>
      </c>
      <c r="N136" t="str">
        <f t="shared" si="72"/>
        <v>0),</v>
      </c>
    </row>
    <row r="137" spans="1:21" x14ac:dyDescent="0.25">
      <c r="B137" t="str">
        <f>CONCATENATE(A125,B112,B125)</f>
        <v>(0,</v>
      </c>
      <c r="C137" t="str">
        <f t="shared" si="71"/>
        <v>0,</v>
      </c>
      <c r="D137" t="str">
        <f t="shared" si="71"/>
        <v>0,</v>
      </c>
      <c r="E137" t="str">
        <f t="shared" si="71"/>
        <v>0,</v>
      </c>
      <c r="F137" t="str">
        <f t="shared" si="71"/>
        <v>0,</v>
      </c>
      <c r="G137" t="str">
        <f t="shared" si="71"/>
        <v>0,</v>
      </c>
      <c r="H137" t="str">
        <f t="shared" si="71"/>
        <v>0,</v>
      </c>
      <c r="I137" t="str">
        <f t="shared" si="71"/>
        <v>27.3,</v>
      </c>
      <c r="J137" t="str">
        <f t="shared" si="71"/>
        <v>-35.0629521925024,</v>
      </c>
      <c r="K137" t="str">
        <f t="shared" si="71"/>
        <v>9.06443709938776,</v>
      </c>
      <c r="L137" t="str">
        <f t="shared" si="71"/>
        <v>0,</v>
      </c>
      <c r="M137" t="str">
        <f t="shared" si="71"/>
        <v>0,</v>
      </c>
      <c r="N137" t="str">
        <f t="shared" si="72"/>
        <v>0),</v>
      </c>
    </row>
    <row r="138" spans="1:21" x14ac:dyDescent="0.25">
      <c r="B138" t="str">
        <f>CONCATENATE(A126,B113,B126)</f>
        <v>(0,</v>
      </c>
      <c r="C138" t="str">
        <f t="shared" si="71"/>
        <v>0,</v>
      </c>
      <c r="D138" t="str">
        <f t="shared" si="71"/>
        <v>0,</v>
      </c>
      <c r="E138" t="str">
        <f t="shared" si="71"/>
        <v>0,</v>
      </c>
      <c r="F138" t="str">
        <f t="shared" si="71"/>
        <v>0,</v>
      </c>
      <c r="G138" t="str">
        <f t="shared" si="71"/>
        <v>0,</v>
      </c>
      <c r="H138" t="str">
        <f t="shared" si="71"/>
        <v>0,</v>
      </c>
      <c r="I138" t="str">
        <f t="shared" si="71"/>
        <v>0,</v>
      </c>
      <c r="J138" t="str">
        <f t="shared" si="71"/>
        <v>27.3,</v>
      </c>
      <c r="K138" t="str">
        <f t="shared" si="71"/>
        <v>-36.3644370993878,</v>
      </c>
      <c r="L138" t="str">
        <f t="shared" si="71"/>
        <v>10.5351211149803,</v>
      </c>
      <c r="M138" t="str">
        <f t="shared" si="71"/>
        <v>0,</v>
      </c>
      <c r="N138" t="str">
        <f t="shared" si="72"/>
        <v>0),</v>
      </c>
    </row>
    <row r="139" spans="1:21" x14ac:dyDescent="0.25">
      <c r="B139" t="str">
        <f>CONCATENATE(A127,B114,B127)</f>
        <v>(0,</v>
      </c>
      <c r="C139" t="str">
        <f t="shared" si="71"/>
        <v>0,</v>
      </c>
      <c r="D139" t="str">
        <f t="shared" si="71"/>
        <v>0,</v>
      </c>
      <c r="E139" t="str">
        <f t="shared" si="71"/>
        <v>0,</v>
      </c>
      <c r="F139" t="str">
        <f t="shared" si="71"/>
        <v>0,</v>
      </c>
      <c r="G139" t="str">
        <f t="shared" si="71"/>
        <v>0,</v>
      </c>
      <c r="H139" t="str">
        <f t="shared" si="71"/>
        <v>0,</v>
      </c>
      <c r="I139" t="str">
        <f t="shared" si="71"/>
        <v>0,</v>
      </c>
      <c r="J139" t="str">
        <f t="shared" si="71"/>
        <v>0,</v>
      </c>
      <c r="K139" t="str">
        <f t="shared" si="71"/>
        <v>27.3,</v>
      </c>
      <c r="L139" t="str">
        <f t="shared" si="71"/>
        <v>-37.8351211149803,</v>
      </c>
      <c r="M139" t="str">
        <f t="shared" si="71"/>
        <v>12.1393959607314,</v>
      </c>
      <c r="N139" t="str">
        <f t="shared" si="72"/>
        <v>0),</v>
      </c>
    </row>
    <row r="140" spans="1:21" x14ac:dyDescent="0.25">
      <c r="B140" t="str">
        <f>CONCATENATE(A128,B115,B128)</f>
        <v>(0,</v>
      </c>
      <c r="C140" t="str">
        <f t="shared" si="71"/>
        <v>0,</v>
      </c>
      <c r="D140" t="str">
        <f t="shared" si="71"/>
        <v>0,</v>
      </c>
      <c r="E140" t="str">
        <f t="shared" si="71"/>
        <v>0,</v>
      </c>
      <c r="F140" t="str">
        <f t="shared" si="71"/>
        <v>0,</v>
      </c>
      <c r="G140" t="str">
        <f t="shared" si="71"/>
        <v>0,</v>
      </c>
      <c r="H140" t="str">
        <f t="shared" si="71"/>
        <v>0,</v>
      </c>
      <c r="I140" t="str">
        <f t="shared" si="71"/>
        <v>0,</v>
      </c>
      <c r="J140" t="str">
        <f t="shared" si="71"/>
        <v>0,</v>
      </c>
      <c r="K140" t="str">
        <f t="shared" si="71"/>
        <v>0,</v>
      </c>
      <c r="L140" t="str">
        <f t="shared" si="71"/>
        <v>27.3,</v>
      </c>
      <c r="M140" t="str">
        <f t="shared" si="71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45" si="73">ABS(C145)</f>
        <v>0</v>
      </c>
      <c r="N145">
        <f t="shared" si="73"/>
        <v>2281023871812.6201</v>
      </c>
      <c r="O145">
        <f t="shared" si="73"/>
        <v>0</v>
      </c>
      <c r="P145">
        <f t="shared" si="73"/>
        <v>8982902.5538867395</v>
      </c>
      <c r="Q145">
        <f t="shared" si="73"/>
        <v>230.912190491839</v>
      </c>
      <c r="R145">
        <f t="shared" si="73"/>
        <v>56.247471779784497</v>
      </c>
      <c r="S145">
        <f t="shared" si="73"/>
        <v>0</v>
      </c>
      <c r="T145">
        <f t="shared" si="73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74">ABS(B146)</f>
        <v>0</v>
      </c>
      <c r="M146">
        <f t="shared" ref="M146:M156" si="75">ABS(C146)</f>
        <v>0</v>
      </c>
      <c r="N146">
        <f t="shared" ref="N146:N156" si="76">ABS(D146)</f>
        <v>173976200911.439</v>
      </c>
      <c r="O146">
        <f t="shared" ref="O146:O156" si="77">ABS(E146)</f>
        <v>0</v>
      </c>
      <c r="P146">
        <f t="shared" ref="P146:P156" si="78">ABS(F146)</f>
        <v>2368041.6102323802</v>
      </c>
      <c r="Q146">
        <f t="shared" ref="Q146:Q156" si="79">ABS(G146)</f>
        <v>154.18629828884801</v>
      </c>
      <c r="R146">
        <f t="shared" ref="R146:R156" si="80">ABS(H146)</f>
        <v>42.749427739671503</v>
      </c>
      <c r="S146">
        <f t="shared" ref="S146:S156" si="81">ABS(I146)</f>
        <v>0</v>
      </c>
      <c r="T146">
        <f t="shared" ref="T146:T156" si="82">ABS(J146)</f>
        <v>0</v>
      </c>
      <c r="U146">
        <f t="shared" ref="U146:U156" si="83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74"/>
        <v>0</v>
      </c>
      <c r="M147">
        <f t="shared" si="75"/>
        <v>0</v>
      </c>
      <c r="N147">
        <f t="shared" si="76"/>
        <v>11866005099.0147</v>
      </c>
      <c r="O147">
        <f t="shared" si="77"/>
        <v>0</v>
      </c>
      <c r="P147">
        <f t="shared" si="78"/>
        <v>545554.60003329802</v>
      </c>
      <c r="Q147">
        <f t="shared" si="79"/>
        <v>88.356274090607997</v>
      </c>
      <c r="R147">
        <f t="shared" si="80"/>
        <v>27.908216217828901</v>
      </c>
      <c r="S147">
        <f t="shared" si="81"/>
        <v>0</v>
      </c>
      <c r="T147">
        <f t="shared" si="82"/>
        <v>0</v>
      </c>
      <c r="U147">
        <f t="shared" si="83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74"/>
        <v>0</v>
      </c>
      <c r="M148">
        <f t="shared" si="75"/>
        <v>0</v>
      </c>
      <c r="N148">
        <f t="shared" si="76"/>
        <v>726456369.85671699</v>
      </c>
      <c r="O148">
        <f t="shared" si="77"/>
        <v>0</v>
      </c>
      <c r="P148">
        <f t="shared" si="78"/>
        <v>110337.775463297</v>
      </c>
      <c r="Q148">
        <f t="shared" si="79"/>
        <v>43.675661641815303</v>
      </c>
      <c r="R148">
        <f t="shared" si="80"/>
        <v>15.7294551894571</v>
      </c>
      <c r="S148">
        <f t="shared" si="81"/>
        <v>0</v>
      </c>
      <c r="T148">
        <f t="shared" si="82"/>
        <v>0</v>
      </c>
      <c r="U148">
        <f t="shared" si="83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74"/>
        <v>0</v>
      </c>
      <c r="M149">
        <f t="shared" si="75"/>
        <v>0</v>
      </c>
      <c r="N149">
        <f t="shared" si="76"/>
        <v>40064663.368662097</v>
      </c>
      <c r="O149">
        <f t="shared" si="77"/>
        <v>0</v>
      </c>
      <c r="P149">
        <f t="shared" si="78"/>
        <v>19674.945747816699</v>
      </c>
      <c r="Q149">
        <f t="shared" si="79"/>
        <v>18.7138380749528</v>
      </c>
      <c r="R149">
        <f t="shared" si="80"/>
        <v>7.6908449107804504</v>
      </c>
      <c r="S149">
        <f t="shared" si="81"/>
        <v>0</v>
      </c>
      <c r="T149">
        <f t="shared" si="82"/>
        <v>0</v>
      </c>
      <c r="U149">
        <f t="shared" si="83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74"/>
        <v>0</v>
      </c>
      <c r="M150">
        <f t="shared" si="75"/>
        <v>0</v>
      </c>
      <c r="N150">
        <f t="shared" si="76"/>
        <v>4038981.99584341</v>
      </c>
      <c r="O150">
        <f t="shared" si="77"/>
        <v>0</v>
      </c>
      <c r="P150">
        <f t="shared" si="78"/>
        <v>6280.7012320918902</v>
      </c>
      <c r="Q150">
        <f t="shared" si="79"/>
        <v>14.0822561379519</v>
      </c>
      <c r="R150">
        <f t="shared" si="80"/>
        <v>6.5838121608262998</v>
      </c>
      <c r="S150">
        <f t="shared" si="81"/>
        <v>0</v>
      </c>
      <c r="T150">
        <f t="shared" si="82"/>
        <v>0</v>
      </c>
      <c r="U150">
        <f t="shared" si="83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74"/>
        <v>0</v>
      </c>
      <c r="M151">
        <f t="shared" si="75"/>
        <v>0</v>
      </c>
      <c r="N151">
        <f t="shared" si="76"/>
        <v>369253.91777445498</v>
      </c>
      <c r="O151">
        <f t="shared" si="77"/>
        <v>0</v>
      </c>
      <c r="P151">
        <f t="shared" si="78"/>
        <v>1781.83894257115</v>
      </c>
      <c r="Q151">
        <f t="shared" si="79"/>
        <v>9.2606804945486907</v>
      </c>
      <c r="R151">
        <f t="shared" si="80"/>
        <v>4.9281190535120203</v>
      </c>
      <c r="S151">
        <f t="shared" si="81"/>
        <v>0</v>
      </c>
      <c r="T151">
        <f t="shared" si="82"/>
        <v>0</v>
      </c>
      <c r="U151">
        <f t="shared" si="83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74"/>
        <v>0</v>
      </c>
      <c r="M152">
        <f t="shared" si="75"/>
        <v>0</v>
      </c>
      <c r="N152">
        <f t="shared" si="76"/>
        <v>30709.230877995698</v>
      </c>
      <c r="O152">
        <f t="shared" si="77"/>
        <v>0</v>
      </c>
      <c r="P152">
        <f t="shared" si="78"/>
        <v>450.90495805045299</v>
      </c>
      <c r="Q152">
        <f t="shared" si="79"/>
        <v>5.3391830552481698</v>
      </c>
      <c r="R152">
        <f t="shared" si="80"/>
        <v>3.2341215169632198</v>
      </c>
      <c r="S152">
        <f t="shared" si="81"/>
        <v>0</v>
      </c>
      <c r="T152">
        <f t="shared" si="82"/>
        <v>0</v>
      </c>
      <c r="U152">
        <f t="shared" si="83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74"/>
        <v>0</v>
      </c>
      <c r="M153">
        <f t="shared" si="75"/>
        <v>0</v>
      </c>
      <c r="N153">
        <f t="shared" si="76"/>
        <v>2330.1711433740002</v>
      </c>
      <c r="O153">
        <f t="shared" si="77"/>
        <v>0</v>
      </c>
      <c r="P153">
        <f t="shared" si="78"/>
        <v>102.115245560362</v>
      </c>
      <c r="Q153">
        <f t="shared" si="79"/>
        <v>2.70379901956382</v>
      </c>
      <c r="R153">
        <f t="shared" si="80"/>
        <v>1.8629656998683699</v>
      </c>
      <c r="S153">
        <f t="shared" si="81"/>
        <v>0</v>
      </c>
      <c r="T153">
        <f t="shared" si="82"/>
        <v>0</v>
      </c>
      <c r="U153">
        <f t="shared" si="83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74"/>
        <v>0</v>
      </c>
      <c r="M154">
        <f t="shared" si="75"/>
        <v>0</v>
      </c>
      <c r="N154">
        <f t="shared" si="76"/>
        <v>161.76284671481901</v>
      </c>
      <c r="O154">
        <f t="shared" si="77"/>
        <v>0</v>
      </c>
      <c r="P154">
        <f t="shared" si="78"/>
        <v>20.741427431102199</v>
      </c>
      <c r="Q154">
        <f t="shared" si="79"/>
        <v>1.20087628853823</v>
      </c>
      <c r="R154">
        <f t="shared" si="80"/>
        <v>0.93960082452307903</v>
      </c>
      <c r="S154">
        <f t="shared" si="81"/>
        <v>0</v>
      </c>
      <c r="T154">
        <f t="shared" si="82"/>
        <v>0</v>
      </c>
      <c r="U154">
        <f t="shared" si="83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74"/>
        <v>0</v>
      </c>
      <c r="M155">
        <f t="shared" si="75"/>
        <v>0</v>
      </c>
      <c r="N155">
        <f t="shared" si="76"/>
        <v>10.2907294663305</v>
      </c>
      <c r="O155">
        <f t="shared" si="77"/>
        <v>0</v>
      </c>
      <c r="P155">
        <f t="shared" si="78"/>
        <v>3.7671290128240198</v>
      </c>
      <c r="Q155">
        <f t="shared" si="79"/>
        <v>0.46262014061172302</v>
      </c>
      <c r="R155">
        <f t="shared" si="80"/>
        <v>0.40981937859697298</v>
      </c>
      <c r="S155">
        <f t="shared" si="81"/>
        <v>0</v>
      </c>
      <c r="T155">
        <f t="shared" si="82"/>
        <v>0</v>
      </c>
      <c r="U155">
        <f t="shared" si="83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74"/>
        <v>0</v>
      </c>
      <c r="M156">
        <f t="shared" si="75"/>
        <v>0</v>
      </c>
      <c r="N156">
        <f t="shared" si="76"/>
        <v>0.59355053303474103</v>
      </c>
      <c r="O156">
        <f t="shared" si="77"/>
        <v>0</v>
      </c>
      <c r="P156">
        <f t="shared" si="78"/>
        <v>0.59354838763375795</v>
      </c>
      <c r="Q156">
        <f t="shared" si="79"/>
        <v>0.14838709677423401</v>
      </c>
      <c r="R156">
        <f t="shared" si="80"/>
        <v>0.148387096774208</v>
      </c>
      <c r="S156">
        <f t="shared" si="81"/>
        <v>0</v>
      </c>
      <c r="T156">
        <f t="shared" si="82"/>
        <v>0</v>
      </c>
      <c r="U156">
        <f t="shared" si="83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 s="16">
        <f>ABS(B145)/$U145</f>
        <v>0</v>
      </c>
      <c r="C161" s="16">
        <f t="shared" ref="C161:J161" si="84">ABS(C145)/$U145</f>
        <v>0</v>
      </c>
      <c r="D161" s="16">
        <f t="shared" si="84"/>
        <v>0.99999606178854739</v>
      </c>
      <c r="E161" s="16">
        <f t="shared" si="84"/>
        <v>0</v>
      </c>
      <c r="F161" s="16">
        <f t="shared" si="84"/>
        <v>3.9380855625060907E-6</v>
      </c>
      <c r="G161" s="16">
        <f t="shared" si="84"/>
        <v>1.0123141803303958E-10</v>
      </c>
      <c r="H161" s="16">
        <f t="shared" si="84"/>
        <v>2.4658773176560385E-11</v>
      </c>
      <c r="I161" s="16">
        <f t="shared" si="84"/>
        <v>0</v>
      </c>
      <c r="J161" s="16">
        <f t="shared" si="84"/>
        <v>0</v>
      </c>
      <c r="K161">
        <f>SUM(B161:J161)</f>
        <v>1.0000000000000002</v>
      </c>
    </row>
    <row r="162" spans="1:11" x14ac:dyDescent="0.25">
      <c r="A162">
        <v>2</v>
      </c>
      <c r="B162" s="16">
        <f t="shared" ref="B162:J162" si="85">ABS(B146)/$U146</f>
        <v>0</v>
      </c>
      <c r="C162" s="16">
        <f t="shared" si="85"/>
        <v>0</v>
      </c>
      <c r="D162" s="16">
        <f t="shared" si="85"/>
        <v>0.99998638775708104</v>
      </c>
      <c r="E162" s="16">
        <f t="shared" si="85"/>
        <v>0</v>
      </c>
      <c r="F162" s="16">
        <f t="shared" si="85"/>
        <v>1.3611110965000054E-5</v>
      </c>
      <c r="G162" s="16">
        <f t="shared" si="85"/>
        <v>8.8623730521617147E-10</v>
      </c>
      <c r="H162" s="16">
        <f t="shared" si="85"/>
        <v>2.4571663020643485E-10</v>
      </c>
      <c r="I162" s="16">
        <f t="shared" si="85"/>
        <v>0</v>
      </c>
      <c r="J162" s="16">
        <f t="shared" si="85"/>
        <v>0</v>
      </c>
      <c r="K162">
        <f t="shared" ref="K162:K172" si="86">SUM(B162:J162)</f>
        <v>1</v>
      </c>
    </row>
    <row r="163" spans="1:11" x14ac:dyDescent="0.25">
      <c r="A163">
        <v>3</v>
      </c>
      <c r="B163" s="16">
        <f t="shared" ref="B163:J163" si="87">ABS(B147)/$U147</f>
        <v>0</v>
      </c>
      <c r="C163" s="16">
        <f t="shared" si="87"/>
        <v>0</v>
      </c>
      <c r="D163" s="16">
        <f t="shared" si="87"/>
        <v>0.99995401605107459</v>
      </c>
      <c r="E163" s="16">
        <f t="shared" si="87"/>
        <v>0</v>
      </c>
      <c r="F163" s="16">
        <f t="shared" si="87"/>
        <v>4.5974151260370891E-5</v>
      </c>
      <c r="G163" s="16">
        <f t="shared" si="87"/>
        <v>7.4458261548825181E-9</v>
      </c>
      <c r="H163" s="16">
        <f t="shared" si="87"/>
        <v>2.3518389428432835E-9</v>
      </c>
      <c r="I163" s="16">
        <f t="shared" si="87"/>
        <v>0</v>
      </c>
      <c r="J163" s="16">
        <f t="shared" si="87"/>
        <v>0</v>
      </c>
      <c r="K163">
        <f t="shared" si="86"/>
        <v>1</v>
      </c>
    </row>
    <row r="164" spans="1:11" x14ac:dyDescent="0.25">
      <c r="A164">
        <v>4</v>
      </c>
      <c r="B164" s="16">
        <f t="shared" ref="B164:J164" si="88">ABS(B148)/$U148</f>
        <v>0</v>
      </c>
      <c r="C164" s="16">
        <f t="shared" si="88"/>
        <v>0</v>
      </c>
      <c r="D164" s="16">
        <f t="shared" si="88"/>
        <v>0.99984805638574636</v>
      </c>
      <c r="E164" s="16">
        <f t="shared" si="88"/>
        <v>0</v>
      </c>
      <c r="F164" s="16">
        <f t="shared" si="88"/>
        <v>1.5186185285244813E-4</v>
      </c>
      <c r="G164" s="16">
        <f t="shared" si="88"/>
        <v>6.0112385569065357E-8</v>
      </c>
      <c r="H164" s="16">
        <f t="shared" si="88"/>
        <v>2.1649015483596503E-8</v>
      </c>
      <c r="I164" s="16">
        <f t="shared" si="88"/>
        <v>0</v>
      </c>
      <c r="J164" s="16">
        <f t="shared" si="88"/>
        <v>0</v>
      </c>
      <c r="K164">
        <f t="shared" si="86"/>
        <v>0.99999999999999978</v>
      </c>
    </row>
    <row r="165" spans="1:11" x14ac:dyDescent="0.25">
      <c r="A165">
        <v>5</v>
      </c>
      <c r="B165" s="16">
        <f t="shared" ref="B165:J165" si="89">ABS(B149)/$U149</f>
        <v>0</v>
      </c>
      <c r="C165" s="16">
        <f t="shared" si="89"/>
        <v>0</v>
      </c>
      <c r="D165" s="16">
        <f t="shared" si="89"/>
        <v>0.99950850286467385</v>
      </c>
      <c r="E165" s="16">
        <f t="shared" si="89"/>
        <v>0</v>
      </c>
      <c r="F165" s="16">
        <f t="shared" si="89"/>
        <v>4.9083840758601751E-4</v>
      </c>
      <c r="G165" s="16">
        <f t="shared" si="89"/>
        <v>4.6686128634188049E-7</v>
      </c>
      <c r="H165" s="16">
        <f t="shared" si="89"/>
        <v>1.9186645378259328E-7</v>
      </c>
      <c r="I165" s="16">
        <f t="shared" si="89"/>
        <v>0</v>
      </c>
      <c r="J165" s="16">
        <f t="shared" si="89"/>
        <v>0</v>
      </c>
      <c r="K165">
        <f t="shared" si="86"/>
        <v>1</v>
      </c>
    </row>
    <row r="166" spans="1:11" x14ac:dyDescent="0.25">
      <c r="A166">
        <v>6</v>
      </c>
      <c r="B166" s="16">
        <f t="shared" ref="B166:J166" si="90">ABS(B150)/$U150</f>
        <v>0</v>
      </c>
      <c r="C166" s="16">
        <f t="shared" si="90"/>
        <v>0</v>
      </c>
      <c r="D166" s="16">
        <f t="shared" si="90"/>
        <v>0.99844229273088703</v>
      </c>
      <c r="E166" s="16">
        <f t="shared" si="90"/>
        <v>0</v>
      </c>
      <c r="F166" s="16">
        <f t="shared" si="90"/>
        <v>1.5525985866193634E-3</v>
      </c>
      <c r="G166" s="16">
        <f t="shared" si="90"/>
        <v>3.4811544393290272E-6</v>
      </c>
      <c r="H166" s="16">
        <f t="shared" si="90"/>
        <v>1.6275280542299701E-6</v>
      </c>
      <c r="I166" s="16">
        <f t="shared" si="90"/>
        <v>0</v>
      </c>
      <c r="J166" s="16">
        <f t="shared" si="90"/>
        <v>0</v>
      </c>
      <c r="K166">
        <f t="shared" si="86"/>
        <v>1</v>
      </c>
    </row>
    <row r="167" spans="1:11" x14ac:dyDescent="0.25">
      <c r="A167">
        <v>7</v>
      </c>
      <c r="B167" s="16">
        <f t="shared" ref="B167:J167" si="91">ABS(B151)/$U151</f>
        <v>0</v>
      </c>
      <c r="C167" s="16">
        <f t="shared" si="91"/>
        <v>0</v>
      </c>
      <c r="D167" s="16">
        <f t="shared" si="91"/>
        <v>0.99515960650629176</v>
      </c>
      <c r="E167" s="16">
        <f t="shared" si="91"/>
        <v>0</v>
      </c>
      <c r="F167" s="16">
        <f t="shared" si="91"/>
        <v>4.8021538989595621E-3</v>
      </c>
      <c r="G167" s="16">
        <f t="shared" si="91"/>
        <v>2.4958042997839576E-5</v>
      </c>
      <c r="H167" s="16">
        <f t="shared" si="91"/>
        <v>1.3281551750805713E-5</v>
      </c>
      <c r="I167" s="16">
        <f t="shared" si="91"/>
        <v>0</v>
      </c>
      <c r="J167" s="16">
        <f t="shared" si="91"/>
        <v>0</v>
      </c>
      <c r="K167">
        <f t="shared" si="86"/>
        <v>1</v>
      </c>
    </row>
    <row r="168" spans="1:11" x14ac:dyDescent="0.25">
      <c r="A168">
        <v>8</v>
      </c>
      <c r="B168" s="16">
        <f t="shared" ref="B168:J168" si="92">ABS(B152)/$U152</f>
        <v>0</v>
      </c>
      <c r="C168" s="16">
        <f t="shared" si="92"/>
        <v>0</v>
      </c>
      <c r="D168" s="16">
        <f t="shared" si="92"/>
        <v>0.98525834802622991</v>
      </c>
      <c r="E168" s="16">
        <f t="shared" si="92"/>
        <v>0</v>
      </c>
      <c r="F168" s="16">
        <f t="shared" si="92"/>
        <v>1.4466590708527091E-2</v>
      </c>
      <c r="G168" s="16">
        <f t="shared" si="92"/>
        <v>1.7129946033890336E-4</v>
      </c>
      <c r="H168" s="16">
        <f t="shared" si="92"/>
        <v>1.0376180490415579E-4</v>
      </c>
      <c r="I168" s="16">
        <f t="shared" si="92"/>
        <v>0</v>
      </c>
      <c r="J168" s="16">
        <f t="shared" si="92"/>
        <v>0</v>
      </c>
      <c r="K168">
        <f t="shared" si="86"/>
        <v>1</v>
      </c>
    </row>
    <row r="169" spans="1:11" x14ac:dyDescent="0.25">
      <c r="A169">
        <v>9</v>
      </c>
      <c r="B169" s="16">
        <f t="shared" ref="B169:J169" si="93">ABS(B153)/$U153</f>
        <v>0</v>
      </c>
      <c r="C169" s="16">
        <f t="shared" si="93"/>
        <v>0</v>
      </c>
      <c r="D169" s="16">
        <f t="shared" si="93"/>
        <v>0.95622140377238729</v>
      </c>
      <c r="E169" s="16">
        <f t="shared" si="93"/>
        <v>0</v>
      </c>
      <c r="F169" s="16">
        <f t="shared" si="93"/>
        <v>4.1904554407495326E-2</v>
      </c>
      <c r="G169" s="16">
        <f t="shared" si="93"/>
        <v>1.109545323036708E-3</v>
      </c>
      <c r="H169" s="16">
        <f t="shared" si="93"/>
        <v>7.6449649708069478E-4</v>
      </c>
      <c r="I169" s="16">
        <f t="shared" si="93"/>
        <v>0</v>
      </c>
      <c r="J169" s="16">
        <f t="shared" si="93"/>
        <v>0</v>
      </c>
      <c r="K169">
        <f t="shared" si="86"/>
        <v>1</v>
      </c>
    </row>
    <row r="170" spans="1:11" x14ac:dyDescent="0.25">
      <c r="A170">
        <v>10</v>
      </c>
      <c r="B170" s="16">
        <f t="shared" ref="B170:J170" si="94">ABS(B154)/$U154</f>
        <v>0</v>
      </c>
      <c r="C170" s="16">
        <f t="shared" si="94"/>
        <v>0</v>
      </c>
      <c r="D170" s="16">
        <f t="shared" si="94"/>
        <v>0.87607606288212669</v>
      </c>
      <c r="E170" s="16">
        <f t="shared" si="94"/>
        <v>0</v>
      </c>
      <c r="F170" s="16">
        <f t="shared" si="94"/>
        <v>0.11233153008508916</v>
      </c>
      <c r="G170" s="16">
        <f t="shared" si="94"/>
        <v>6.5037120218699434E-3</v>
      </c>
      <c r="H170" s="16">
        <f t="shared" si="94"/>
        <v>5.0886950109142069E-3</v>
      </c>
      <c r="I170" s="16">
        <f t="shared" si="94"/>
        <v>0</v>
      </c>
      <c r="J170" s="16">
        <f t="shared" si="94"/>
        <v>0</v>
      </c>
      <c r="K170">
        <f t="shared" si="86"/>
        <v>1</v>
      </c>
    </row>
    <row r="171" spans="1:11" x14ac:dyDescent="0.25">
      <c r="A171">
        <v>11</v>
      </c>
      <c r="B171" s="16">
        <f t="shared" ref="B171:J171" si="95">ABS(B155)/$U155</f>
        <v>0</v>
      </c>
      <c r="C171" s="16">
        <f t="shared" si="95"/>
        <v>0</v>
      </c>
      <c r="D171" s="16">
        <f t="shared" si="95"/>
        <v>0.68925144477750255</v>
      </c>
      <c r="E171" s="16">
        <f t="shared" si="95"/>
        <v>0</v>
      </c>
      <c r="F171" s="16">
        <f t="shared" si="95"/>
        <v>0.25231438871729178</v>
      </c>
      <c r="G171" s="16">
        <f t="shared" si="95"/>
        <v>3.0985325320528719E-2</v>
      </c>
      <c r="H171" s="16">
        <f t="shared" si="95"/>
        <v>2.7448841184677011E-2</v>
      </c>
      <c r="I171" s="16">
        <f t="shared" si="95"/>
        <v>0</v>
      </c>
      <c r="J171" s="16">
        <f t="shared" si="95"/>
        <v>0</v>
      </c>
      <c r="K171">
        <f t="shared" si="86"/>
        <v>1</v>
      </c>
    </row>
    <row r="172" spans="1:11" x14ac:dyDescent="0.25">
      <c r="A172">
        <v>12</v>
      </c>
      <c r="B172" s="16">
        <f t="shared" ref="B172:J172" si="96">ABS(B156)/$U156</f>
        <v>0</v>
      </c>
      <c r="C172" s="16">
        <f t="shared" si="96"/>
        <v>0</v>
      </c>
      <c r="D172" s="16">
        <f t="shared" si="96"/>
        <v>0.4000008675593299</v>
      </c>
      <c r="E172" s="16">
        <f t="shared" si="96"/>
        <v>0</v>
      </c>
      <c r="F172" s="16">
        <f t="shared" si="96"/>
        <v>0.3999994217477153</v>
      </c>
      <c r="G172" s="16">
        <f t="shared" si="96"/>
        <v>9.9999855346486144E-2</v>
      </c>
      <c r="H172" s="16">
        <f t="shared" si="96"/>
        <v>9.9999855346468616E-2</v>
      </c>
      <c r="I172" s="16">
        <f t="shared" si="96"/>
        <v>0</v>
      </c>
      <c r="J172" s="16">
        <f t="shared" si="96"/>
        <v>0</v>
      </c>
      <c r="K172">
        <f t="shared" si="86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158.12745283522509</v>
      </c>
      <c r="C176">
        <f t="shared" ref="C176:J176" si="97">E$5/100*EXP(5.372697*(1+E$8)*(1-(E$2+273.15)/$K176))</f>
        <v>10.853835914553072</v>
      </c>
      <c r="D176">
        <f t="shared" si="97"/>
        <v>1.900473183706676</v>
      </c>
      <c r="E176">
        <f t="shared" si="97"/>
        <v>0.55661378943644579</v>
      </c>
      <c r="F176">
        <f t="shared" si="97"/>
        <v>0.34954393590415606</v>
      </c>
      <c r="G176">
        <f t="shared" si="97"/>
        <v>9.6479074346857457E-2</v>
      </c>
      <c r="H176">
        <f t="shared" si="97"/>
        <v>8.6244713692056246E-2</v>
      </c>
      <c r="I176">
        <f t="shared" si="97"/>
        <v>1.809307132014891E-2</v>
      </c>
      <c r="J176">
        <f t="shared" si="97"/>
        <v>4.7667954959119954E-3</v>
      </c>
      <c r="K176">
        <v>246.24738605227924</v>
      </c>
    </row>
    <row r="177" spans="1:11" x14ac:dyDescent="0.25">
      <c r="A177">
        <v>2</v>
      </c>
      <c r="B177">
        <f t="shared" ref="B177:B187" si="98">D$5/100*EXP(5.372697*(1+D$8)*(1-(D$2+273.15)/$K177))</f>
        <v>158.46259236618855</v>
      </c>
      <c r="C177">
        <f t="shared" ref="C177:C187" si="99">E$5/100*EXP(5.372697*(1+E$8)*(1-(E$2+273.15)/$K177))</f>
        <v>10.893883515258786</v>
      </c>
      <c r="D177">
        <f t="shared" ref="D177:D187" si="100">F$5/100*EXP(5.372697*(1+F$8)*(1-(F$2+273.15)/$K177))</f>
        <v>1.9093858507048278</v>
      </c>
      <c r="E177">
        <f t="shared" ref="E177:E187" si="101">G$5/100*EXP(5.372697*(1+G$8)*(1-(G$2+273.15)/$K177))</f>
        <v>0.55957525815839571</v>
      </c>
      <c r="F177">
        <f t="shared" ref="F177:F187" si="102">H$5/100*EXP(5.372697*(1+H$8)*(1-(H$2+273.15)/$K177))</f>
        <v>0.35150841081320927</v>
      </c>
      <c r="G177">
        <f t="shared" ref="G177:G187" si="103">I$5/100*EXP(5.372697*(1+I$8)*(1-(I$2+273.15)/$K177))</f>
        <v>9.7092275071579845E-2</v>
      </c>
      <c r="H177">
        <f t="shared" ref="H177:H187" si="104">J$5/100*EXP(5.372697*(1+J$8)*(1-(J$2+273.15)/$K177))</f>
        <v>8.6789793223530504E-2</v>
      </c>
      <c r="I177">
        <f t="shared" ref="I177:I187" si="105">K$5/100*EXP(5.372697*(1+K$8)*(1-(K$2+273.15)/$K177))</f>
        <v>1.8224727788575004E-2</v>
      </c>
      <c r="J177">
        <f t="shared" ref="J177:J186" si="106">L$5/100*EXP(5.372697*(1+L$8)*(1-(L$2+273.15)/$K177))</f>
        <v>4.8050948266524958E-3</v>
      </c>
      <c r="K177">
        <v>246.37132603230239</v>
      </c>
    </row>
    <row r="178" spans="1:11" x14ac:dyDescent="0.25">
      <c r="A178">
        <v>3</v>
      </c>
      <c r="B178">
        <f t="shared" si="98"/>
        <v>158.73905405652999</v>
      </c>
      <c r="C178">
        <f t="shared" si="99"/>
        <v>10.926966575506611</v>
      </c>
      <c r="D178">
        <f t="shared" si="100"/>
        <v>1.9167552328858126</v>
      </c>
      <c r="E178">
        <f t="shared" si="101"/>
        <v>0.56202533114359376</v>
      </c>
      <c r="F178">
        <f t="shared" si="102"/>
        <v>0.35313409549656516</v>
      </c>
      <c r="G178">
        <f t="shared" si="103"/>
        <v>9.7600062542249941E-2</v>
      </c>
      <c r="H178">
        <f t="shared" si="104"/>
        <v>8.7241155413340848E-2</v>
      </c>
      <c r="I178">
        <f t="shared" si="105"/>
        <v>1.8333842565090509E-2</v>
      </c>
      <c r="J178">
        <f t="shared" si="106"/>
        <v>4.8368584701281138E-3</v>
      </c>
      <c r="K178">
        <v>246.47346254613916</v>
      </c>
    </row>
    <row r="179" spans="1:11" x14ac:dyDescent="0.25">
      <c r="A179">
        <v>4</v>
      </c>
      <c r="B179">
        <f t="shared" si="98"/>
        <v>159.05821925837861</v>
      </c>
      <c r="C179">
        <f t="shared" si="99"/>
        <v>10.965212818258484</v>
      </c>
      <c r="D179">
        <f t="shared" si="100"/>
        <v>1.9252822552077162</v>
      </c>
      <c r="E179">
        <f t="shared" si="101"/>
        <v>0.56486185790997856</v>
      </c>
      <c r="F179">
        <f t="shared" si="102"/>
        <v>0.35501669893821763</v>
      </c>
      <c r="G179">
        <f t="shared" si="103"/>
        <v>9.8188480544118925E-2</v>
      </c>
      <c r="H179">
        <f t="shared" si="104"/>
        <v>8.7764172065665794E-2</v>
      </c>
      <c r="I179">
        <f t="shared" si="105"/>
        <v>1.8460385971248008E-2</v>
      </c>
      <c r="J179">
        <f t="shared" si="106"/>
        <v>4.8737202043368814E-3</v>
      </c>
      <c r="K179">
        <v>246.59125959929818</v>
      </c>
    </row>
    <row r="180" spans="1:11" x14ac:dyDescent="0.25">
      <c r="A180">
        <v>5</v>
      </c>
      <c r="B180">
        <f t="shared" si="98"/>
        <v>159.39156706430697</v>
      </c>
      <c r="C180">
        <f t="shared" si="99"/>
        <v>11.005219231987233</v>
      </c>
      <c r="D180">
        <f t="shared" si="100"/>
        <v>1.9342103179461736</v>
      </c>
      <c r="E180">
        <f t="shared" si="101"/>
        <v>0.56783359789018284</v>
      </c>
      <c r="F180">
        <f t="shared" si="102"/>
        <v>0.35698961287426528</v>
      </c>
      <c r="G180">
        <f t="shared" si="103"/>
        <v>9.8805562632881497E-2</v>
      </c>
      <c r="H180">
        <f t="shared" si="104"/>
        <v>8.8312648036315791E-2</v>
      </c>
      <c r="I180">
        <f t="shared" si="105"/>
        <v>1.8593211432561929E-2</v>
      </c>
      <c r="J180">
        <f t="shared" si="106"/>
        <v>4.9124400912982308E-3</v>
      </c>
      <c r="K180">
        <v>246.7141589583812</v>
      </c>
    </row>
    <row r="181" spans="1:11" x14ac:dyDescent="0.25">
      <c r="A181">
        <v>6</v>
      </c>
      <c r="B181">
        <f t="shared" si="98"/>
        <v>159.76917533198832</v>
      </c>
      <c r="C181">
        <f t="shared" si="99"/>
        <v>11.050612323382321</v>
      </c>
      <c r="D181">
        <f t="shared" si="100"/>
        <v>1.9443511343158244</v>
      </c>
      <c r="E181">
        <f t="shared" si="101"/>
        <v>0.57121123996042544</v>
      </c>
      <c r="F181">
        <f t="shared" si="102"/>
        <v>0.35923270583033196</v>
      </c>
      <c r="G181">
        <f t="shared" si="103"/>
        <v>9.9507691171830309E-2</v>
      </c>
      <c r="H181">
        <f t="shared" si="104"/>
        <v>8.8936691858998981E-2</v>
      </c>
      <c r="I181">
        <f t="shared" si="105"/>
        <v>1.8744488617251594E-2</v>
      </c>
      <c r="J181">
        <f t="shared" si="106"/>
        <v>4.9565737893502429E-3</v>
      </c>
      <c r="K181">
        <v>246.85321381370844</v>
      </c>
    </row>
    <row r="182" spans="1:11" x14ac:dyDescent="0.25">
      <c r="A182">
        <v>7</v>
      </c>
      <c r="B182">
        <f t="shared" si="98"/>
        <v>160.28112638889561</v>
      </c>
      <c r="C182">
        <f t="shared" si="99"/>
        <v>11.112281852448858</v>
      </c>
      <c r="D182">
        <f t="shared" si="100"/>
        <v>1.9581461556147639</v>
      </c>
      <c r="E182">
        <f t="shared" si="101"/>
        <v>0.57580979593154558</v>
      </c>
      <c r="F182">
        <f t="shared" si="102"/>
        <v>0.36228780470170641</v>
      </c>
      <c r="G182">
        <f t="shared" si="103"/>
        <v>0.10046491219118768</v>
      </c>
      <c r="H182">
        <f t="shared" si="104"/>
        <v>8.9787419346265357E-2</v>
      </c>
      <c r="I182">
        <f t="shared" si="105"/>
        <v>1.895097496136346E-2</v>
      </c>
      <c r="J182">
        <f t="shared" si="106"/>
        <v>5.016873859573022E-3</v>
      </c>
      <c r="K182">
        <v>247.04146610982431</v>
      </c>
    </row>
    <row r="183" spans="1:11" x14ac:dyDescent="0.25">
      <c r="A183">
        <v>8</v>
      </c>
      <c r="B183">
        <f t="shared" si="98"/>
        <v>161.19621726289807</v>
      </c>
      <c r="C183">
        <f t="shared" si="99"/>
        <v>11.222876784157947</v>
      </c>
      <c r="D183">
        <f t="shared" si="100"/>
        <v>1.9829372629647746</v>
      </c>
      <c r="E183">
        <f t="shared" si="101"/>
        <v>0.58408479643696687</v>
      </c>
      <c r="F183">
        <f t="shared" si="102"/>
        <v>0.36778883287181313</v>
      </c>
      <c r="G183">
        <f t="shared" si="103"/>
        <v>0.10219114184967691</v>
      </c>
      <c r="H183">
        <f t="shared" si="104"/>
        <v>9.1321486858717868E-2</v>
      </c>
      <c r="I183">
        <f t="shared" si="105"/>
        <v>1.9324064381126396E-2</v>
      </c>
      <c r="J183">
        <f t="shared" si="106"/>
        <v>5.1259994212679494E-3</v>
      </c>
      <c r="K183">
        <v>247.37717711498669</v>
      </c>
    </row>
    <row r="184" spans="1:11" x14ac:dyDescent="0.25">
      <c r="A184">
        <v>9</v>
      </c>
      <c r="B184">
        <f t="shared" si="98"/>
        <v>163.3145302152451</v>
      </c>
      <c r="C184">
        <f t="shared" si="99"/>
        <v>11.480673284682682</v>
      </c>
      <c r="D184">
        <f t="shared" si="100"/>
        <v>2.0409812531102314</v>
      </c>
      <c r="E184">
        <f t="shared" si="101"/>
        <v>0.60351332029396199</v>
      </c>
      <c r="F184">
        <f t="shared" si="102"/>
        <v>0.38072156953772085</v>
      </c>
      <c r="G184">
        <f t="shared" si="103"/>
        <v>0.10626265888892851</v>
      </c>
      <c r="H184">
        <f t="shared" si="104"/>
        <v>9.4939197309139106E-2</v>
      </c>
      <c r="I184">
        <f t="shared" si="105"/>
        <v>2.0207624818178199E-2</v>
      </c>
      <c r="J184">
        <f t="shared" si="106"/>
        <v>5.3852995298046494E-3</v>
      </c>
      <c r="K184">
        <v>248.15050391881752</v>
      </c>
    </row>
    <row r="185" spans="1:11" x14ac:dyDescent="0.25">
      <c r="A185">
        <v>10</v>
      </c>
      <c r="B185">
        <f t="shared" si="98"/>
        <v>168.98834247333068</v>
      </c>
      <c r="C185">
        <f t="shared" si="99"/>
        <v>12.183388514743502</v>
      </c>
      <c r="D185">
        <f t="shared" si="100"/>
        <v>2.2009792783376687</v>
      </c>
      <c r="E185">
        <f t="shared" si="101"/>
        <v>0.65744716095822453</v>
      </c>
      <c r="F185">
        <f t="shared" si="102"/>
        <v>0.41674356367085441</v>
      </c>
      <c r="G185">
        <f t="shared" si="103"/>
        <v>0.11769695621024109</v>
      </c>
      <c r="H185">
        <f t="shared" si="104"/>
        <v>0.10509498834090096</v>
      </c>
      <c r="I185">
        <f t="shared" si="105"/>
        <v>2.2714702123045351E-2</v>
      </c>
      <c r="J185">
        <f t="shared" si="106"/>
        <v>6.1273311133257661E-3</v>
      </c>
      <c r="K185">
        <v>250.19647974087741</v>
      </c>
    </row>
    <row r="186" spans="1:11" x14ac:dyDescent="0.25">
      <c r="A186">
        <v>11</v>
      </c>
      <c r="B186">
        <f t="shared" si="98"/>
        <v>184.54816047627938</v>
      </c>
      <c r="C186">
        <f t="shared" si="99"/>
        <v>14.200731521500114</v>
      </c>
      <c r="D186">
        <f t="shared" si="100"/>
        <v>2.673935249762478</v>
      </c>
      <c r="E186">
        <f t="shared" si="101"/>
        <v>0.81985344402537552</v>
      </c>
      <c r="F186">
        <f t="shared" si="102"/>
        <v>0.5261722558070262</v>
      </c>
      <c r="G186">
        <f t="shared" si="103"/>
        <v>0.15319244210348595</v>
      </c>
      <c r="H186">
        <f t="shared" si="104"/>
        <v>0.13658853102847701</v>
      </c>
      <c r="I186">
        <f t="shared" si="105"/>
        <v>3.0711710755068143E-2</v>
      </c>
      <c r="J186">
        <f t="shared" si="106"/>
        <v>8.5478995696471466E-3</v>
      </c>
      <c r="K186">
        <v>255.63234865572028</v>
      </c>
    </row>
    <row r="187" spans="1:11" x14ac:dyDescent="0.25">
      <c r="A187">
        <v>12</v>
      </c>
      <c r="B187">
        <f t="shared" si="98"/>
        <v>221.89091035028952</v>
      </c>
      <c r="C187">
        <f t="shared" si="99"/>
        <v>19.567071499304156</v>
      </c>
      <c r="D187">
        <f t="shared" si="100"/>
        <v>4.017982696429546</v>
      </c>
      <c r="E187">
        <f t="shared" si="101"/>
        <v>1.3011247935616868</v>
      </c>
      <c r="F187">
        <f t="shared" si="102"/>
        <v>0.85698645507464444</v>
      </c>
      <c r="G187">
        <f t="shared" si="103"/>
        <v>0.26590509645302757</v>
      </c>
      <c r="H187">
        <f t="shared" si="104"/>
        <v>0.2363550309577778</v>
      </c>
      <c r="I187">
        <f t="shared" si="105"/>
        <v>5.7725180720726008E-2</v>
      </c>
      <c r="J187">
        <f>L$5/100*EXP(5.372697*(1+L$8)*(1-(L$2+273.15)/$K187))</f>
        <v>1.7153585204263612E-2</v>
      </c>
      <c r="K187">
        <v>267.8052276474823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83.224975176434256</v>
      </c>
      <c r="C191">
        <f t="shared" ref="C191:J191" si="107">C176/($R30*10)</f>
        <v>5.7125452181858272</v>
      </c>
      <c r="D191">
        <f t="shared" si="107"/>
        <v>1.0002490440561453</v>
      </c>
      <c r="E191">
        <f t="shared" si="107"/>
        <v>0.29295462601918199</v>
      </c>
      <c r="F191">
        <f t="shared" si="107"/>
        <v>0.18397049258113476</v>
      </c>
      <c r="G191">
        <f t="shared" si="107"/>
        <v>5.0778460182556558E-2</v>
      </c>
      <c r="H191">
        <f t="shared" si="107"/>
        <v>4.5391954574766448E-2</v>
      </c>
      <c r="I191">
        <f t="shared" si="107"/>
        <v>9.5226691158678475E-3</v>
      </c>
      <c r="J191">
        <f t="shared" si="107"/>
        <v>2.5088397346905238E-3</v>
      </c>
    </row>
    <row r="192" spans="1:11" x14ac:dyDescent="0.25">
      <c r="A192">
        <v>2</v>
      </c>
      <c r="B192">
        <f t="shared" ref="B192:J192" si="108">B177/($R31*10)</f>
        <v>83.037166305426311</v>
      </c>
      <c r="C192">
        <f t="shared" si="108"/>
        <v>5.708585248170543</v>
      </c>
      <c r="D192">
        <f t="shared" si="108"/>
        <v>1.000551537487246</v>
      </c>
      <c r="E192">
        <f t="shared" si="108"/>
        <v>0.29322720951531656</v>
      </c>
      <c r="F192">
        <f t="shared" si="108"/>
        <v>0.18419654715102671</v>
      </c>
      <c r="G192">
        <f t="shared" si="108"/>
        <v>5.0878048072443588E-2</v>
      </c>
      <c r="H192">
        <f t="shared" si="108"/>
        <v>4.5479367628050923E-2</v>
      </c>
      <c r="I192">
        <f t="shared" si="108"/>
        <v>9.5500756970698722E-3</v>
      </c>
      <c r="J192">
        <f t="shared" si="108"/>
        <v>2.517953620953273E-3</v>
      </c>
    </row>
    <row r="193" spans="1:11" x14ac:dyDescent="0.25">
      <c r="A193">
        <v>3</v>
      </c>
      <c r="B193">
        <f t="shared" ref="B193:J193" si="109">B178/($R32*10)</f>
        <v>82.820376029493914</v>
      </c>
      <c r="C193">
        <f t="shared" si="109"/>
        <v>5.7010260393947538</v>
      </c>
      <c r="D193">
        <f t="shared" si="109"/>
        <v>1.0000462084621631</v>
      </c>
      <c r="E193">
        <f t="shared" si="109"/>
        <v>0.29323060755317937</v>
      </c>
      <c r="F193">
        <f t="shared" si="109"/>
        <v>0.18424387591125141</v>
      </c>
      <c r="G193">
        <f t="shared" si="109"/>
        <v>5.0921771761173885E-2</v>
      </c>
      <c r="H193">
        <f t="shared" si="109"/>
        <v>4.5517124563482184E-2</v>
      </c>
      <c r="I193">
        <f t="shared" si="109"/>
        <v>9.5654830774385274E-3</v>
      </c>
      <c r="J193">
        <f t="shared" si="109"/>
        <v>2.5235783322407552E-3</v>
      </c>
    </row>
    <row r="194" spans="1:11" x14ac:dyDescent="0.25">
      <c r="A194">
        <v>4</v>
      </c>
      <c r="B194">
        <f t="shared" ref="B194:J194" si="110">B179/($R33*10)</f>
        <v>82.627646367988902</v>
      </c>
      <c r="C194">
        <f t="shared" si="110"/>
        <v>5.6962144510433692</v>
      </c>
      <c r="D194">
        <f t="shared" si="110"/>
        <v>1.0001466260819305</v>
      </c>
      <c r="E194">
        <f t="shared" si="110"/>
        <v>0.29343473138180709</v>
      </c>
      <c r="F194">
        <f t="shared" si="110"/>
        <v>0.18442425918868449</v>
      </c>
      <c r="G194">
        <f t="shared" si="110"/>
        <v>5.1007002880061783E-2</v>
      </c>
      <c r="H194">
        <f t="shared" si="110"/>
        <v>4.5591777696449766E-2</v>
      </c>
      <c r="I194">
        <f t="shared" si="110"/>
        <v>9.5898108941548099E-3</v>
      </c>
      <c r="J194">
        <f t="shared" si="110"/>
        <v>2.5318027035516268E-3</v>
      </c>
    </row>
    <row r="195" spans="1:11" x14ac:dyDescent="0.25">
      <c r="A195">
        <v>5</v>
      </c>
      <c r="B195">
        <f t="shared" ref="B195:J195" si="111">B180/($R34*10)</f>
        <v>82.443913998779479</v>
      </c>
      <c r="C195">
        <f t="shared" si="111"/>
        <v>5.6923547751658106</v>
      </c>
      <c r="D195">
        <f t="shared" si="111"/>
        <v>1.0004536127307795</v>
      </c>
      <c r="E195">
        <f t="shared" si="111"/>
        <v>0.29370703339147392</v>
      </c>
      <c r="F195">
        <f t="shared" si="111"/>
        <v>0.18464979976255103</v>
      </c>
      <c r="G195">
        <f t="shared" si="111"/>
        <v>5.1106325499766299E-2</v>
      </c>
      <c r="H195">
        <f t="shared" si="111"/>
        <v>4.5678955880853002E-2</v>
      </c>
      <c r="I195">
        <f t="shared" si="111"/>
        <v>9.6171783271872049E-3</v>
      </c>
      <c r="J195">
        <f t="shared" si="111"/>
        <v>2.5409172886025335E-3</v>
      </c>
    </row>
    <row r="196" spans="1:11" x14ac:dyDescent="0.25">
      <c r="A196">
        <v>6</v>
      </c>
      <c r="B196">
        <f t="shared" ref="B196:J196" si="112">B181/($R35*10)</f>
        <v>82.284553819049805</v>
      </c>
      <c r="C196">
        <f t="shared" si="112"/>
        <v>5.6913024841454023</v>
      </c>
      <c r="D196">
        <f t="shared" si="112"/>
        <v>1.0013825584459184</v>
      </c>
      <c r="E196">
        <f t="shared" si="112"/>
        <v>0.29418604633154966</v>
      </c>
      <c r="F196">
        <f t="shared" si="112"/>
        <v>0.1850125523589693</v>
      </c>
      <c r="G196">
        <f t="shared" si="112"/>
        <v>5.1248596311672272E-2</v>
      </c>
      <c r="H196">
        <f t="shared" si="112"/>
        <v>4.5804304820085323E-2</v>
      </c>
      <c r="I196">
        <f t="shared" si="112"/>
        <v>9.6538138801295793E-3</v>
      </c>
      <c r="J196">
        <f t="shared" si="112"/>
        <v>2.5527418657597823E-3</v>
      </c>
    </row>
    <row r="197" spans="1:11" x14ac:dyDescent="0.25">
      <c r="A197">
        <v>7</v>
      </c>
      <c r="B197">
        <f t="shared" ref="B197:J197" si="113">B182/($R36*10)</f>
        <v>82.195449430202899</v>
      </c>
      <c r="C197">
        <f t="shared" si="113"/>
        <v>5.6986060781789032</v>
      </c>
      <c r="D197">
        <f t="shared" si="113"/>
        <v>1.0041775156998791</v>
      </c>
      <c r="E197">
        <f t="shared" si="113"/>
        <v>0.29528707483669009</v>
      </c>
      <c r="F197">
        <f t="shared" si="113"/>
        <v>0.18578861779574693</v>
      </c>
      <c r="G197">
        <f t="shared" si="113"/>
        <v>5.1520467790352673E-2</v>
      </c>
      <c r="H197">
        <f t="shared" si="113"/>
        <v>4.6044830433982248E-2</v>
      </c>
      <c r="I197">
        <f t="shared" si="113"/>
        <v>9.7184486981351098E-3</v>
      </c>
      <c r="J197">
        <f t="shared" si="113"/>
        <v>2.5727558254220631E-3</v>
      </c>
    </row>
    <row r="198" spans="1:11" x14ac:dyDescent="0.25">
      <c r="A198">
        <v>8</v>
      </c>
      <c r="B198">
        <f t="shared" ref="B198:J198" si="114">B183/($R37*10)</f>
        <v>82.312962006586275</v>
      </c>
      <c r="C198">
        <f t="shared" si="114"/>
        <v>5.7308306982934214</v>
      </c>
      <c r="D198">
        <f t="shared" si="114"/>
        <v>1.0125637087479702</v>
      </c>
      <c r="E198">
        <f t="shared" si="114"/>
        <v>0.29825606626568529</v>
      </c>
      <c r="F198">
        <f t="shared" si="114"/>
        <v>0.18780706359411739</v>
      </c>
      <c r="G198">
        <f t="shared" si="114"/>
        <v>5.2182710731749925E-2</v>
      </c>
      <c r="H198">
        <f t="shared" si="114"/>
        <v>4.663224860870701E-2</v>
      </c>
      <c r="I198">
        <f t="shared" si="114"/>
        <v>9.8676073435539063E-3</v>
      </c>
      <c r="J198">
        <f t="shared" si="114"/>
        <v>2.6175316193708686E-3</v>
      </c>
    </row>
    <row r="199" spans="1:11" x14ac:dyDescent="0.25">
      <c r="A199">
        <v>9</v>
      </c>
      <c r="B199">
        <f t="shared" ref="B199:J199" si="115">B184/($R38*10)</f>
        <v>83.041286550124653</v>
      </c>
      <c r="C199">
        <f t="shared" si="115"/>
        <v>5.8376304837369597</v>
      </c>
      <c r="D199">
        <f t="shared" si="115"/>
        <v>1.0377870778526603</v>
      </c>
      <c r="E199">
        <f t="shared" si="115"/>
        <v>0.30687117981048928</v>
      </c>
      <c r="F199">
        <f t="shared" si="115"/>
        <v>0.19358723874799372</v>
      </c>
      <c r="G199">
        <f t="shared" si="115"/>
        <v>5.4031860451997565E-2</v>
      </c>
      <c r="H199">
        <f t="shared" si="115"/>
        <v>4.8274168123291092E-2</v>
      </c>
      <c r="I199">
        <f t="shared" si="115"/>
        <v>1.0275063466870274E-2</v>
      </c>
      <c r="J199">
        <f t="shared" si="115"/>
        <v>2.7382878965108398E-3</v>
      </c>
    </row>
    <row r="200" spans="1:11" x14ac:dyDescent="0.25">
      <c r="A200">
        <v>10</v>
      </c>
      <c r="B200">
        <f t="shared" ref="B200:J200" si="116">B185/($R39*10)</f>
        <v>85.56371770801556</v>
      </c>
      <c r="C200">
        <f t="shared" si="116"/>
        <v>6.1688043112625355</v>
      </c>
      <c r="D200">
        <f t="shared" si="116"/>
        <v>1.1144198877659086</v>
      </c>
      <c r="E200">
        <f t="shared" si="116"/>
        <v>0.33288463845986066</v>
      </c>
      <c r="F200">
        <f t="shared" si="116"/>
        <v>0.21100939932701498</v>
      </c>
      <c r="G200">
        <f t="shared" si="116"/>
        <v>5.9593395549489184E-2</v>
      </c>
      <c r="H200">
        <f t="shared" si="116"/>
        <v>5.3212652324506837E-2</v>
      </c>
      <c r="I200">
        <f t="shared" si="116"/>
        <v>1.150111499901031E-2</v>
      </c>
      <c r="J200">
        <f t="shared" si="116"/>
        <v>3.1024461333295028E-3</v>
      </c>
    </row>
    <row r="201" spans="1:11" x14ac:dyDescent="0.25">
      <c r="A201">
        <v>11</v>
      </c>
      <c r="B201">
        <f t="shared" ref="B201:J201" si="117">B186/($R40*10)</f>
        <v>93.049492677115694</v>
      </c>
      <c r="C201">
        <f t="shared" si="117"/>
        <v>7.1600326999160266</v>
      </c>
      <c r="D201">
        <f t="shared" si="117"/>
        <v>1.3482026469390651</v>
      </c>
      <c r="E201">
        <f t="shared" si="117"/>
        <v>0.41337148438254245</v>
      </c>
      <c r="F201">
        <f t="shared" si="117"/>
        <v>0.26529693570102175</v>
      </c>
      <c r="G201">
        <f t="shared" si="117"/>
        <v>7.72398867748669E-2</v>
      </c>
      <c r="H201">
        <f t="shared" si="117"/>
        <v>6.8868166905114492E-2</v>
      </c>
      <c r="I201">
        <f t="shared" si="117"/>
        <v>1.548489617902596E-2</v>
      </c>
      <c r="J201">
        <f t="shared" si="117"/>
        <v>4.3098653292338576E-3</v>
      </c>
    </row>
    <row r="202" spans="1:11" x14ac:dyDescent="0.25">
      <c r="A202">
        <v>12</v>
      </c>
      <c r="B202">
        <f t="shared" ref="B202:J202" si="118">B187/($R41*10)</f>
        <v>110.94545517514476</v>
      </c>
      <c r="C202">
        <f t="shared" si="118"/>
        <v>9.7835357496520778</v>
      </c>
      <c r="D202">
        <f t="shared" si="118"/>
        <v>2.008991348214773</v>
      </c>
      <c r="E202">
        <f t="shared" si="118"/>
        <v>0.65056239678084338</v>
      </c>
      <c r="F202">
        <f t="shared" si="118"/>
        <v>0.42849322753732222</v>
      </c>
      <c r="G202">
        <f t="shared" si="118"/>
        <v>0.13295254822651378</v>
      </c>
      <c r="H202">
        <f t="shared" si="118"/>
        <v>0.1181775154788889</v>
      </c>
      <c r="I202">
        <f t="shared" si="118"/>
        <v>2.8862590360363004E-2</v>
      </c>
      <c r="J202">
        <f t="shared" si="118"/>
        <v>8.576792602131806E-3</v>
      </c>
    </row>
    <row r="204" spans="1:11" x14ac:dyDescent="0.25">
      <c r="B204" t="s">
        <v>82</v>
      </c>
    </row>
    <row r="205" spans="1:11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1" x14ac:dyDescent="0.25">
      <c r="A206">
        <v>1</v>
      </c>
      <c r="B206">
        <f>B191*B161</f>
        <v>0</v>
      </c>
      <c r="C206">
        <f t="shared" ref="C206:J206" si="119">C191*C161</f>
        <v>0</v>
      </c>
      <c r="D206">
        <f t="shared" si="119"/>
        <v>1.0002451048639045</v>
      </c>
      <c r="E206">
        <f t="shared" si="119"/>
        <v>0</v>
      </c>
      <c r="F206">
        <f t="shared" si="119"/>
        <v>7.2449154076090073E-7</v>
      </c>
      <c r="G206">
        <f t="shared" si="119"/>
        <v>5.1403755298144381E-12</v>
      </c>
      <c r="H206">
        <f t="shared" si="119"/>
        <v>1.1193099118998984E-12</v>
      </c>
      <c r="I206">
        <f t="shared" si="119"/>
        <v>0</v>
      </c>
      <c r="J206">
        <f t="shared" si="119"/>
        <v>0</v>
      </c>
      <c r="K206">
        <f>SUM(B206:J206)</f>
        <v>1.0002458293617049</v>
      </c>
    </row>
    <row r="207" spans="1:11" x14ac:dyDescent="0.25">
      <c r="A207">
        <v>2</v>
      </c>
      <c r="B207">
        <f t="shared" ref="B207:J207" si="120">B192*B162</f>
        <v>0</v>
      </c>
      <c r="C207">
        <f t="shared" si="120"/>
        <v>0</v>
      </c>
      <c r="D207">
        <f t="shared" si="120"/>
        <v>1.0005379177366649</v>
      </c>
      <c r="E207">
        <f t="shared" si="120"/>
        <v>0</v>
      </c>
      <c r="F207">
        <f t="shared" si="120"/>
        <v>2.5071196426424889E-6</v>
      </c>
      <c r="G207">
        <f t="shared" si="120"/>
        <v>4.509002421838123E-11</v>
      </c>
      <c r="H207">
        <f t="shared" si="120"/>
        <v>1.1175036957484293E-11</v>
      </c>
      <c r="I207">
        <f t="shared" si="120"/>
        <v>0</v>
      </c>
      <c r="J207">
        <f t="shared" si="120"/>
        <v>0</v>
      </c>
      <c r="K207">
        <f t="shared" ref="K207:K217" si="121">SUM(B207:J207)</f>
        <v>1.0005404249125724</v>
      </c>
    </row>
    <row r="208" spans="1:11" x14ac:dyDescent="0.25">
      <c r="A208">
        <v>3</v>
      </c>
      <c r="B208">
        <f t="shared" ref="B208:J208" si="122">B193*B163</f>
        <v>0</v>
      </c>
      <c r="C208">
        <f t="shared" si="122"/>
        <v>0</v>
      </c>
      <c r="D208">
        <f t="shared" si="122"/>
        <v>1.0000002223883901</v>
      </c>
      <c r="E208">
        <f t="shared" si="122"/>
        <v>0</v>
      </c>
      <c r="F208">
        <f t="shared" si="122"/>
        <v>8.4704558199408778E-6</v>
      </c>
      <c r="G208">
        <f t="shared" si="122"/>
        <v>3.7915466003230653E-10</v>
      </c>
      <c r="H208">
        <f t="shared" si="122"/>
        <v>1.0704894611464599E-10</v>
      </c>
      <c r="I208">
        <f t="shared" si="122"/>
        <v>0</v>
      </c>
      <c r="J208">
        <f t="shared" si="122"/>
        <v>0</v>
      </c>
      <c r="K208">
        <f t="shared" si="121"/>
        <v>1.0000086933304138</v>
      </c>
    </row>
    <row r="209" spans="1:11" x14ac:dyDescent="0.25">
      <c r="A209">
        <v>4</v>
      </c>
      <c r="B209">
        <f t="shared" ref="B209:J209" si="123">B194*B164</f>
        <v>0</v>
      </c>
      <c r="C209">
        <f t="shared" si="123"/>
        <v>0</v>
      </c>
      <c r="D209">
        <f t="shared" si="123"/>
        <v>0.99999466018878003</v>
      </c>
      <c r="E209">
        <f t="shared" si="123"/>
        <v>0</v>
      </c>
      <c r="F209">
        <f t="shared" si="123"/>
        <v>2.8007009711333759E-5</v>
      </c>
      <c r="G209">
        <f t="shared" si="123"/>
        <v>3.0661526238487009E-9</v>
      </c>
      <c r="H209">
        <f t="shared" si="123"/>
        <v>9.8701710127513063E-10</v>
      </c>
      <c r="I209">
        <f t="shared" si="123"/>
        <v>0</v>
      </c>
      <c r="J209">
        <f t="shared" si="123"/>
        <v>0</v>
      </c>
      <c r="K209">
        <f t="shared" si="121"/>
        <v>1.0000226712516611</v>
      </c>
    </row>
    <row r="210" spans="1:11" x14ac:dyDescent="0.25">
      <c r="A210">
        <v>5</v>
      </c>
      <c r="B210">
        <f t="shared" ref="B210:J210" si="124">B195*B165</f>
        <v>0</v>
      </c>
      <c r="C210">
        <f t="shared" si="124"/>
        <v>0</v>
      </c>
      <c r="D210">
        <f t="shared" si="124"/>
        <v>0.99996189264609558</v>
      </c>
      <c r="E210">
        <f t="shared" si="124"/>
        <v>0</v>
      </c>
      <c r="F210">
        <f t="shared" si="124"/>
        <v>9.0633213676527546E-5</v>
      </c>
      <c r="G210">
        <f t="shared" si="124"/>
        <v>2.3859564863027742E-8</v>
      </c>
      <c r="H210">
        <f t="shared" si="124"/>
        <v>8.7642592773508004E-9</v>
      </c>
      <c r="I210">
        <f t="shared" si="124"/>
        <v>0</v>
      </c>
      <c r="J210">
        <f t="shared" si="124"/>
        <v>0</v>
      </c>
      <c r="K210">
        <f t="shared" si="121"/>
        <v>1.0000525584835962</v>
      </c>
    </row>
    <row r="211" spans="1:11" x14ac:dyDescent="0.25">
      <c r="A211">
        <v>6</v>
      </c>
      <c r="B211">
        <f t="shared" ref="B211:J211" si="125">B196*B166</f>
        <v>0</v>
      </c>
      <c r="C211">
        <f t="shared" si="125"/>
        <v>0</v>
      </c>
      <c r="D211">
        <f t="shared" si="125"/>
        <v>0.99982269755546427</v>
      </c>
      <c r="E211">
        <f t="shared" si="125"/>
        <v>0</v>
      </c>
      <c r="F211">
        <f t="shared" si="125"/>
        <v>2.8725022729937671E-4</v>
      </c>
      <c r="G211">
        <f t="shared" si="125"/>
        <v>1.7840427855975915E-7</v>
      </c>
      <c r="H211">
        <f t="shared" si="125"/>
        <v>7.454779109918991E-8</v>
      </c>
      <c r="I211">
        <f t="shared" si="125"/>
        <v>0</v>
      </c>
      <c r="J211">
        <f t="shared" si="125"/>
        <v>0</v>
      </c>
      <c r="K211">
        <f t="shared" si="121"/>
        <v>1.0001102007348333</v>
      </c>
    </row>
    <row r="212" spans="1:11" x14ac:dyDescent="0.25">
      <c r="A212">
        <v>7</v>
      </c>
      <c r="B212">
        <f t="shared" ref="B212:J212" si="126">B197*B167</f>
        <v>0</v>
      </c>
      <c r="C212">
        <f t="shared" si="126"/>
        <v>0</v>
      </c>
      <c r="D212">
        <f t="shared" si="126"/>
        <v>0.99931690138635731</v>
      </c>
      <c r="E212">
        <f t="shared" si="126"/>
        <v>0</v>
      </c>
      <c r="F212">
        <f t="shared" si="126"/>
        <v>8.92185535330154E-4</v>
      </c>
      <c r="G212">
        <f t="shared" si="126"/>
        <v>1.285850050380431E-6</v>
      </c>
      <c r="H212">
        <f t="shared" si="126"/>
        <v>6.1154679826600913E-7</v>
      </c>
      <c r="I212">
        <f t="shared" si="126"/>
        <v>0</v>
      </c>
      <c r="J212">
        <f t="shared" si="126"/>
        <v>0</v>
      </c>
      <c r="K212">
        <f t="shared" si="121"/>
        <v>1.0002109843185363</v>
      </c>
    </row>
    <row r="213" spans="1:11" x14ac:dyDescent="0.25">
      <c r="A213">
        <v>8</v>
      </c>
      <c r="B213">
        <f t="shared" ref="B213:J213" si="127">B198*B168</f>
        <v>0</v>
      </c>
      <c r="C213">
        <f t="shared" si="127"/>
        <v>0</v>
      </c>
      <c r="D213">
        <f t="shared" si="127"/>
        <v>0.99763684695233767</v>
      </c>
      <c r="E213">
        <f t="shared" si="127"/>
        <v>0</v>
      </c>
      <c r="F213">
        <f t="shared" si="127"/>
        <v>2.716927921186415E-3</v>
      </c>
      <c r="G213">
        <f t="shared" si="127"/>
        <v>8.9388701873698625E-6</v>
      </c>
      <c r="H213">
        <f t="shared" si="127"/>
        <v>4.8386462823787471E-6</v>
      </c>
      <c r="I213">
        <f t="shared" si="127"/>
        <v>0</v>
      </c>
      <c r="J213">
        <f t="shared" si="127"/>
        <v>0</v>
      </c>
      <c r="K213">
        <f t="shared" si="121"/>
        <v>1.0003675523899938</v>
      </c>
    </row>
    <row r="214" spans="1:11" x14ac:dyDescent="0.25">
      <c r="A214">
        <v>9</v>
      </c>
      <c r="B214">
        <f t="shared" ref="B214:J214" si="128">B199*B169</f>
        <v>0</v>
      </c>
      <c r="C214">
        <f t="shared" si="128"/>
        <v>0</v>
      </c>
      <c r="D214">
        <f t="shared" si="128"/>
        <v>0.99235421640111465</v>
      </c>
      <c r="E214">
        <f t="shared" si="128"/>
        <v>0</v>
      </c>
      <c r="F214">
        <f t="shared" si="128"/>
        <v>8.1121869787120892E-3</v>
      </c>
      <c r="G214">
        <f t="shared" si="128"/>
        <v>5.9950798059485968E-5</v>
      </c>
      <c r="H214">
        <f t="shared" si="128"/>
        <v>3.6905432429740575E-5</v>
      </c>
      <c r="I214">
        <f t="shared" si="128"/>
        <v>0</v>
      </c>
      <c r="J214">
        <f t="shared" si="128"/>
        <v>0</v>
      </c>
      <c r="K214">
        <f t="shared" si="121"/>
        <v>1.000563259610316</v>
      </c>
    </row>
    <row r="215" spans="1:11" x14ac:dyDescent="0.25">
      <c r="A215">
        <v>10</v>
      </c>
      <c r="B215">
        <f t="shared" ref="B215:J215" si="129">B200*B170</f>
        <v>0</v>
      </c>
      <c r="C215">
        <f t="shared" si="129"/>
        <v>0</v>
      </c>
      <c r="D215">
        <f t="shared" si="129"/>
        <v>0.97631658767149876</v>
      </c>
      <c r="E215">
        <f t="shared" si="129"/>
        <v>0</v>
      </c>
      <c r="F215">
        <f t="shared" si="129"/>
        <v>2.3703008688739174E-2</v>
      </c>
      <c r="G215">
        <f t="shared" si="129"/>
        <v>3.875782830592636E-4</v>
      </c>
      <c r="H215">
        <f t="shared" si="129"/>
        <v>2.7078295840123024E-4</v>
      </c>
      <c r="I215">
        <f t="shared" si="129"/>
        <v>0</v>
      </c>
      <c r="J215">
        <f t="shared" si="129"/>
        <v>0</v>
      </c>
      <c r="K215">
        <f t="shared" si="121"/>
        <v>1.0006779576016984</v>
      </c>
    </row>
    <row r="216" spans="1:11" x14ac:dyDescent="0.25">
      <c r="A216">
        <v>11</v>
      </c>
      <c r="B216">
        <f t="shared" ref="B216:J216" si="130">B201*B171</f>
        <v>0</v>
      </c>
      <c r="C216">
        <f t="shared" si="130"/>
        <v>0</v>
      </c>
      <c r="D216">
        <f t="shared" si="130"/>
        <v>0.92925062225560384</v>
      </c>
      <c r="E216">
        <f t="shared" si="130"/>
        <v>0</v>
      </c>
      <c r="F216">
        <f t="shared" si="130"/>
        <v>6.6938234159973964E-2</v>
      </c>
      <c r="G216">
        <f t="shared" si="130"/>
        <v>2.3933030194400549E-3</v>
      </c>
      <c r="H216">
        <f t="shared" si="130"/>
        <v>1.890351376058317E-3</v>
      </c>
      <c r="I216">
        <f t="shared" si="130"/>
        <v>0</v>
      </c>
      <c r="J216">
        <f t="shared" si="130"/>
        <v>0</v>
      </c>
      <c r="K216">
        <f t="shared" si="121"/>
        <v>1.0004725108110764</v>
      </c>
    </row>
    <row r="217" spans="1:11" x14ac:dyDescent="0.25">
      <c r="A217">
        <v>12</v>
      </c>
      <c r="B217">
        <f t="shared" ref="B217:J217" si="131">B202*B172</f>
        <v>0</v>
      </c>
      <c r="C217">
        <f t="shared" si="131"/>
        <v>0</v>
      </c>
      <c r="D217">
        <f>D202*D172</f>
        <v>0.80359828220509699</v>
      </c>
      <c r="E217">
        <f t="shared" si="131"/>
        <v>0</v>
      </c>
      <c r="F217">
        <f t="shared" si="131"/>
        <v>0.17139704323774108</v>
      </c>
      <c r="G217">
        <f t="shared" si="131"/>
        <v>1.3295235590598101E-2</v>
      </c>
      <c r="H217">
        <f t="shared" si="131"/>
        <v>1.1817734453093946E-2</v>
      </c>
      <c r="I217">
        <f t="shared" si="131"/>
        <v>0</v>
      </c>
      <c r="J217">
        <f t="shared" si="131"/>
        <v>0</v>
      </c>
      <c r="K217">
        <f t="shared" si="121"/>
        <v>1.0001082954865301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0"/>
  <sheetViews>
    <sheetView workbookViewId="0">
      <selection activeCell="D5" sqref="D5:L5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22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U22" si="4">D$5/100*EXP(5.372697*(1+D$8)*(1-(D$2+273.15)/B15))</f>
        <v>1.9088005021908905</v>
      </c>
      <c r="N15">
        <f t="shared" si="4"/>
        <v>1.9087890839605357</v>
      </c>
      <c r="O15">
        <f t="shared" si="4"/>
        <v>1.9087865508471378</v>
      </c>
      <c r="P15">
        <f t="shared" si="4"/>
        <v>1.909012397542337</v>
      </c>
      <c r="Q15">
        <f t="shared" si="4"/>
        <v>1.9088732061830858</v>
      </c>
      <c r="R15">
        <f t="shared" si="4"/>
        <v>2.3087744294108345</v>
      </c>
      <c r="S15">
        <f t="shared" si="4"/>
        <v>1.5780304010209958</v>
      </c>
      <c r="T15">
        <f t="shared" si="4"/>
        <v>1.9080716704463603</v>
      </c>
      <c r="U15">
        <f t="shared" si="4"/>
        <v>1.9084689045661296</v>
      </c>
      <c r="W15">
        <f t="shared" ref="W15:W21" si="5">M15/($L15*10)</f>
        <v>0.13831887697035439</v>
      </c>
      <c r="X15">
        <f t="shared" si="3"/>
        <v>0.13831804956235766</v>
      </c>
      <c r="Y15">
        <f t="shared" si="3"/>
        <v>0.13831786600341578</v>
      </c>
      <c r="Z15">
        <f t="shared" si="3"/>
        <v>0.13833423170596645</v>
      </c>
      <c r="AA15">
        <f t="shared" si="3"/>
        <v>0.13832414537558593</v>
      </c>
      <c r="AB15">
        <f t="shared" si="3"/>
        <v>0.16730249488484308</v>
      </c>
      <c r="AC15">
        <f t="shared" si="3"/>
        <v>0.11435002905949246</v>
      </c>
      <c r="AD15">
        <f t="shared" si="3"/>
        <v>0.13826606307582323</v>
      </c>
      <c r="AE15">
        <f t="shared" si="3"/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4"/>
        <v>1.9181068266303187</v>
      </c>
      <c r="O16">
        <f t="shared" si="4"/>
        <v>1.9183557499422972</v>
      </c>
      <c r="P16">
        <f t="shared" si="4"/>
        <v>1.9172225929499973</v>
      </c>
      <c r="Q16">
        <f t="shared" si="4"/>
        <v>1.9170925663271337</v>
      </c>
      <c r="R16">
        <f t="shared" si="4"/>
        <v>2.3180879318297918</v>
      </c>
      <c r="S16">
        <f t="shared" si="4"/>
        <v>1.5856984255795517</v>
      </c>
      <c r="T16">
        <f t="shared" si="4"/>
        <v>1.9183314825752282</v>
      </c>
      <c r="U16">
        <f t="shared" si="4"/>
        <v>1.9177002653279265</v>
      </c>
      <c r="W16">
        <f t="shared" si="5"/>
        <v>0.1389405814225381</v>
      </c>
      <c r="X16">
        <f t="shared" si="3"/>
        <v>0.13899324830654486</v>
      </c>
      <c r="Y16">
        <f t="shared" si="3"/>
        <v>0.1390112862277027</v>
      </c>
      <c r="Z16">
        <f t="shared" si="3"/>
        <v>0.13892917340217373</v>
      </c>
      <c r="AA16">
        <f t="shared" si="3"/>
        <v>0.13891975118312563</v>
      </c>
      <c r="AB16">
        <f t="shared" si="3"/>
        <v>0.16797738636447768</v>
      </c>
      <c r="AC16">
        <f t="shared" si="3"/>
        <v>0.114905683013011</v>
      </c>
      <c r="AD16">
        <f t="shared" si="3"/>
        <v>0.13900952772284264</v>
      </c>
      <c r="AE16">
        <f t="shared" si="3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4"/>
        <v>1.9272033171777705</v>
      </c>
      <c r="O17">
        <f t="shared" si="4"/>
        <v>1.9274547319764304</v>
      </c>
      <c r="P17">
        <f t="shared" si="4"/>
        <v>1.9263525752930006</v>
      </c>
      <c r="Q17">
        <f t="shared" si="4"/>
        <v>1.9262511464856826</v>
      </c>
      <c r="R17">
        <f t="shared" si="4"/>
        <v>2.3286305003422183</v>
      </c>
      <c r="S17">
        <f t="shared" si="4"/>
        <v>1.5933640217952776</v>
      </c>
      <c r="T17">
        <f t="shared" si="4"/>
        <v>1.9274193913220778</v>
      </c>
      <c r="U17">
        <f t="shared" si="4"/>
        <v>1.9268356774150894</v>
      </c>
      <c r="W17">
        <f t="shared" si="5"/>
        <v>0.13958655525961841</v>
      </c>
      <c r="X17">
        <f t="shared" si="3"/>
        <v>0.13965241428824424</v>
      </c>
      <c r="Y17">
        <f t="shared" si="3"/>
        <v>0.13967063275191524</v>
      </c>
      <c r="Z17">
        <f t="shared" si="3"/>
        <v>0.13959076632557976</v>
      </c>
      <c r="AA17">
        <f t="shared" si="3"/>
        <v>0.139583416412006</v>
      </c>
      <c r="AB17">
        <f t="shared" si="3"/>
        <v>0.16874134060450857</v>
      </c>
      <c r="AC17">
        <f t="shared" si="3"/>
        <v>0.11546116099965781</v>
      </c>
      <c r="AD17">
        <f t="shared" si="3"/>
        <v>0.13966807183493318</v>
      </c>
      <c r="AE17">
        <f t="shared" si="3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4"/>
        <v>1.9362994731272736</v>
      </c>
      <c r="O18">
        <f t="shared" si="4"/>
        <v>1.9365539285956583</v>
      </c>
      <c r="P18">
        <f t="shared" si="4"/>
        <v>1.9354811668183698</v>
      </c>
      <c r="Q18">
        <f t="shared" si="4"/>
        <v>1.9354062648068568</v>
      </c>
      <c r="R18">
        <f t="shared" si="4"/>
        <v>2.3415252011251346</v>
      </c>
      <c r="S18">
        <f t="shared" si="4"/>
        <v>1.6010301931961304</v>
      </c>
      <c r="T18">
        <f t="shared" si="4"/>
        <v>1.9365073208867192</v>
      </c>
      <c r="U18">
        <f t="shared" si="4"/>
        <v>1.9359681812178968</v>
      </c>
      <c r="W18">
        <f t="shared" si="5"/>
        <v>0.14023483281012902</v>
      </c>
      <c r="X18">
        <f t="shared" si="3"/>
        <v>0.14031155602371548</v>
      </c>
      <c r="Y18">
        <f t="shared" si="3"/>
        <v>0.14032999482577235</v>
      </c>
      <c r="Z18">
        <f t="shared" si="3"/>
        <v>0.14025225846509928</v>
      </c>
      <c r="AA18">
        <f t="shared" si="3"/>
        <v>0.14024683078310557</v>
      </c>
      <c r="AB18">
        <f t="shared" si="3"/>
        <v>0.1696757392119663</v>
      </c>
      <c r="AC18">
        <f t="shared" si="3"/>
        <v>0.11601668066638626</v>
      </c>
      <c r="AD18">
        <f t="shared" si="3"/>
        <v>0.14032661745555938</v>
      </c>
      <c r="AE18">
        <f t="shared" si="3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4"/>
        <v>13.80169119598054</v>
      </c>
      <c r="O19" s="2">
        <f>F$5/100*EXP(5.372697*(1+F$8)*(1-(F$2+273.15)/D19))</f>
        <v>13.787969391329069</v>
      </c>
      <c r="P19" s="2">
        <f t="shared" si="4"/>
        <v>13.803998882060073</v>
      </c>
      <c r="Q19" s="2">
        <f t="shared" si="4"/>
        <v>13.790097990761103</v>
      </c>
      <c r="R19" s="2">
        <f t="shared" si="4"/>
        <v>13.788469431157342</v>
      </c>
      <c r="S19" s="2">
        <f t="shared" si="4"/>
        <v>13.796679960883269</v>
      </c>
      <c r="T19" s="2">
        <f t="shared" si="4"/>
        <v>13.811379689656405</v>
      </c>
      <c r="U19" s="2">
        <f t="shared" si="4"/>
        <v>13.799884100091569</v>
      </c>
      <c r="W19" s="2">
        <f t="shared" si="5"/>
        <v>0.9991450940891452</v>
      </c>
      <c r="X19" s="2">
        <f t="shared" si="3"/>
        <v>1.0001225504333726</v>
      </c>
      <c r="Y19" s="2">
        <f>O19/($L19*10)</f>
        <v>0.99912821676297614</v>
      </c>
      <c r="Z19" s="2">
        <f t="shared" si="3"/>
        <v>1.0002897740623242</v>
      </c>
      <c r="AA19" s="2">
        <f t="shared" si="3"/>
        <v>0.99928246309863067</v>
      </c>
      <c r="AB19" s="2">
        <f t="shared" si="3"/>
        <v>0.99916445153314082</v>
      </c>
      <c r="AC19" s="2">
        <f t="shared" si="3"/>
        <v>0.99975941745530938</v>
      </c>
      <c r="AD19" s="2">
        <f t="shared" si="3"/>
        <v>1.0008246151924933</v>
      </c>
      <c r="AE19" s="2">
        <f t="shared" si="3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4"/>
        <v>1.9544908403096652</v>
      </c>
      <c r="O20">
        <f t="shared" si="4"/>
        <v>1.9547529668315435</v>
      </c>
      <c r="P20">
        <f t="shared" si="4"/>
        <v>1.9537343412277306</v>
      </c>
      <c r="Q20">
        <f t="shared" si="4"/>
        <v>1.953706663063727</v>
      </c>
      <c r="R20">
        <f t="shared" si="4"/>
        <v>2.3630660025552968</v>
      </c>
      <c r="S20">
        <f t="shared" si="4"/>
        <v>1.6163642050233764</v>
      </c>
      <c r="T20">
        <f t="shared" si="4"/>
        <v>1.9546832473015108</v>
      </c>
      <c r="U20">
        <f t="shared" si="4"/>
        <v>1.954224889143213</v>
      </c>
      <c r="W20">
        <f t="shared" si="5"/>
        <v>0.14153832045141793</v>
      </c>
      <c r="X20">
        <f t="shared" si="3"/>
        <v>0.14162977103693228</v>
      </c>
      <c r="Y20">
        <f t="shared" si="3"/>
        <v>0.14164876571243071</v>
      </c>
      <c r="Z20">
        <f t="shared" si="3"/>
        <v>0.14157495226287903</v>
      </c>
      <c r="AA20">
        <f t="shared" si="3"/>
        <v>0.1415729465988208</v>
      </c>
      <c r="AB20">
        <f t="shared" si="3"/>
        <v>0.17123666685183311</v>
      </c>
      <c r="AC20">
        <f t="shared" si="3"/>
        <v>0.11712784094372294</v>
      </c>
      <c r="AD20">
        <f t="shared" si="3"/>
        <v>0.14164371357257324</v>
      </c>
      <c r="AE20">
        <f t="shared" si="3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4"/>
        <v>1.9635860800899902</v>
      </c>
      <c r="O21">
        <f t="shared" si="4"/>
        <v>1.963852808767643</v>
      </c>
      <c r="P21">
        <f t="shared" si="4"/>
        <v>1.9628590038123814</v>
      </c>
      <c r="Q21">
        <f t="shared" si="4"/>
        <v>1.9628522071387646</v>
      </c>
      <c r="R21">
        <f t="shared" si="4"/>
        <v>2.3738340953646526</v>
      </c>
      <c r="S21">
        <f t="shared" si="4"/>
        <v>1.6240320158864121</v>
      </c>
      <c r="T21">
        <f t="shared" si="4"/>
        <v>1.963771246437543</v>
      </c>
      <c r="U21">
        <f t="shared" si="4"/>
        <v>1.9633493046509976</v>
      </c>
      <c r="W21">
        <f t="shared" si="5"/>
        <v>0.14219354125093961</v>
      </c>
      <c r="X21">
        <f t="shared" si="3"/>
        <v>0.14228884638333264</v>
      </c>
      <c r="Y21">
        <f t="shared" si="3"/>
        <v>0.14230817454837993</v>
      </c>
      <c r="Z21">
        <f t="shared" si="3"/>
        <v>0.1422361596965494</v>
      </c>
      <c r="AA21">
        <f t="shared" si="3"/>
        <v>0.14223566718396846</v>
      </c>
      <c r="AB21">
        <f t="shared" si="3"/>
        <v>0.17201696343222123</v>
      </c>
      <c r="AC21">
        <f t="shared" si="3"/>
        <v>0.11768347941205885</v>
      </c>
      <c r="AD21">
        <f t="shared" si="3"/>
        <v>0.14230226423460457</v>
      </c>
      <c r="AE21">
        <f t="shared" si="3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4"/>
        <v>1.9726810423675698</v>
      </c>
      <c r="O22">
        <f t="shared" si="4"/>
        <v>1.972952865929603</v>
      </c>
      <c r="P22">
        <f t="shared" si="4"/>
        <v>1.9719824349911539</v>
      </c>
      <c r="Q22">
        <f t="shared" si="4"/>
        <v>1.9719948177458531</v>
      </c>
      <c r="R22">
        <f t="shared" si="4"/>
        <v>2.3846005888949495</v>
      </c>
      <c r="S22">
        <f t="shared" si="4"/>
        <v>1.6317003427734911</v>
      </c>
      <c r="T22">
        <f t="shared" si="4"/>
        <v>1.9728592709641462</v>
      </c>
      <c r="U22">
        <f t="shared" si="4"/>
        <v>1.9724712345100264</v>
      </c>
      <c r="W22">
        <f>M22/($L22*10)</f>
        <v>0.1428510871813434</v>
      </c>
      <c r="X22">
        <f t="shared" si="3"/>
        <v>0.1429479016208384</v>
      </c>
      <c r="Y22">
        <f t="shared" si="3"/>
        <v>0.14296759898040604</v>
      </c>
      <c r="Z22">
        <f t="shared" si="3"/>
        <v>0.14289727789790971</v>
      </c>
      <c r="AA22">
        <f t="shared" si="3"/>
        <v>0.14289817519897488</v>
      </c>
      <c r="AB22">
        <f t="shared" si="3"/>
        <v>0.17279714412282243</v>
      </c>
      <c r="AC22">
        <f t="shared" si="3"/>
        <v>0.11823915527344139</v>
      </c>
      <c r="AD22">
        <f t="shared" si="3"/>
        <v>0.14296081673653235</v>
      </c>
      <c r="AE22">
        <f t="shared" si="3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6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6"/>
        <v>0</v>
      </c>
      <c r="F31" s="1">
        <f t="shared" ref="F31:F38" si="7">SUM(E31)</f>
        <v>0</v>
      </c>
      <c r="G31" s="1">
        <f t="shared" ref="G31:G38" si="8">B31*F31</f>
        <v>0</v>
      </c>
      <c r="K31" s="1">
        <f t="shared" ref="K31:K38" si="9">ABS(B31-$J$30)</f>
        <v>99.591037889379749</v>
      </c>
      <c r="L31" s="1">
        <f t="shared" ref="L31:L38" si="10">K31*F31</f>
        <v>0</v>
      </c>
      <c r="O31" s="4">
        <v>2</v>
      </c>
      <c r="Q31" s="1">
        <f t="shared" ref="Q31:Q41" si="11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6"/>
        <v>5.5200000000000005</v>
      </c>
      <c r="F32" s="1">
        <f t="shared" si="7"/>
        <v>5.5200000000000005</v>
      </c>
      <c r="G32" s="1">
        <f t="shared" si="8"/>
        <v>1727.3335090321741</v>
      </c>
      <c r="K32" s="1">
        <f t="shared" si="9"/>
        <v>41.271645896178313</v>
      </c>
      <c r="L32" s="1">
        <f>K32*F32</f>
        <v>227.81948534690432</v>
      </c>
      <c r="O32" s="4">
        <v>3</v>
      </c>
      <c r="Q32" s="1">
        <f t="shared" si="11"/>
        <v>332.18283856172633</v>
      </c>
      <c r="R32">
        <f t="shared" ref="R32:R40" si="12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6"/>
        <v>0</v>
      </c>
      <c r="F33" s="1">
        <f t="shared" si="7"/>
        <v>0</v>
      </c>
      <c r="G33" s="1">
        <f t="shared" si="8"/>
        <v>0</v>
      </c>
      <c r="K33" s="1">
        <f t="shared" si="9"/>
        <v>0.1889496576297347</v>
      </c>
      <c r="L33" s="1">
        <f t="shared" si="10"/>
        <v>0</v>
      </c>
      <c r="O33" s="4">
        <v>4</v>
      </c>
      <c r="Q33" s="1">
        <f t="shared" si="11"/>
        <v>337.68572468121675</v>
      </c>
      <c r="R33">
        <f t="shared" si="12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6"/>
        <v>5.5200000000000005</v>
      </c>
      <c r="F34" s="1">
        <f t="shared" si="7"/>
        <v>5.5200000000000005</v>
      </c>
      <c r="G34" s="1">
        <f t="shared" si="8"/>
        <v>2028.4315375428232</v>
      </c>
      <c r="K34" s="1">
        <f t="shared" si="9"/>
        <v>13.275098399229137</v>
      </c>
      <c r="L34" s="1">
        <f t="shared" si="10"/>
        <v>73.278543163744843</v>
      </c>
      <c r="O34" s="4">
        <v>5</v>
      </c>
      <c r="Q34" s="1">
        <f t="shared" si="11"/>
        <v>343.18861080070718</v>
      </c>
      <c r="R34">
        <f t="shared" si="12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6"/>
        <v>1.3800000000000001</v>
      </c>
      <c r="F35" s="1">
        <f t="shared" si="7"/>
        <v>1.3800000000000001</v>
      </c>
      <c r="G35" s="1">
        <f t="shared" si="8"/>
        <v>560.77118388749011</v>
      </c>
      <c r="K35" s="1">
        <f t="shared" si="9"/>
        <v>52.161547313565563</v>
      </c>
      <c r="L35" s="1">
        <f t="shared" si="10"/>
        <v>71.982935292720484</v>
      </c>
      <c r="O35" s="4">
        <v>6</v>
      </c>
      <c r="Q35" s="1">
        <f t="shared" si="11"/>
        <v>348.69149692019766</v>
      </c>
      <c r="R35">
        <f t="shared" si="12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6"/>
        <v>1.3800000000000001</v>
      </c>
      <c r="F36" s="1">
        <f t="shared" si="7"/>
        <v>1.3800000000000001</v>
      </c>
      <c r="G36" s="1">
        <f t="shared" si="8"/>
        <v>571.34625548520864</v>
      </c>
      <c r="K36" s="1">
        <f t="shared" si="9"/>
        <v>59.824642674231143</v>
      </c>
      <c r="L36" s="1">
        <f t="shared" si="10"/>
        <v>82.558006890438989</v>
      </c>
      <c r="O36" s="4">
        <v>7</v>
      </c>
      <c r="Q36" s="1">
        <f t="shared" si="11"/>
        <v>354.19438303968809</v>
      </c>
      <c r="R36">
        <f t="shared" si="12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6"/>
        <v>0</v>
      </c>
      <c r="F37" s="1">
        <f t="shared" si="7"/>
        <v>0</v>
      </c>
      <c r="G37" s="1">
        <f t="shared" si="8"/>
        <v>0</v>
      </c>
      <c r="K37" s="1">
        <f t="shared" si="9"/>
        <v>102.29209242179695</v>
      </c>
      <c r="L37" s="1">
        <f t="shared" si="10"/>
        <v>0</v>
      </c>
      <c r="O37" s="4">
        <v>8</v>
      </c>
      <c r="Q37" s="1">
        <f t="shared" si="11"/>
        <v>359.69726915917852</v>
      </c>
      <c r="R37">
        <f t="shared" si="12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6"/>
        <v>0</v>
      </c>
      <c r="F38" s="1">
        <f t="shared" si="7"/>
        <v>0</v>
      </c>
      <c r="G38" s="1">
        <f t="shared" si="8"/>
        <v>0</v>
      </c>
      <c r="K38" s="1">
        <f t="shared" si="9"/>
        <v>139.35177517030826</v>
      </c>
      <c r="L38" s="1">
        <f t="shared" si="10"/>
        <v>0</v>
      </c>
      <c r="O38" s="4">
        <v>9</v>
      </c>
      <c r="Q38" s="1">
        <f t="shared" si="11"/>
        <v>365.200155278669</v>
      </c>
      <c r="R38">
        <f t="shared" si="12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11"/>
        <v>370.70304139815943</v>
      </c>
      <c r="R39">
        <f t="shared" si="12"/>
        <v>0.19749999999999993</v>
      </c>
    </row>
    <row r="40" spans="1:18" x14ac:dyDescent="0.25">
      <c r="O40" s="4">
        <v>11</v>
      </c>
      <c r="Q40" s="1">
        <f t="shared" si="11"/>
        <v>376.20592751764985</v>
      </c>
      <c r="R40">
        <f t="shared" si="12"/>
        <v>0.19833333333333325</v>
      </c>
    </row>
    <row r="41" spans="1:18" x14ac:dyDescent="0.25">
      <c r="O41" s="4">
        <v>12</v>
      </c>
      <c r="Q41" s="1">
        <f t="shared" si="11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13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14">(C44+D44)/(M44+N44)</f>
        <v>0</v>
      </c>
      <c r="M44">
        <f t="shared" ref="M44:M54" si="15">M43+B44-C44</f>
        <v>13.5</v>
      </c>
      <c r="N44">
        <f t="shared" si="13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14"/>
        <v>0</v>
      </c>
      <c r="M45">
        <f t="shared" si="15"/>
        <v>13.5</v>
      </c>
      <c r="N45">
        <f t="shared" si="13"/>
        <v>18</v>
      </c>
      <c r="O45">
        <v>1</v>
      </c>
      <c r="P45" s="12">
        <f t="shared" ref="P45:P52" si="16">((1-O45)*B45+P46)/(1+L45)</f>
        <v>18</v>
      </c>
      <c r="Q45" s="12">
        <f t="shared" ref="Q45:Q53" si="17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14"/>
        <v>0</v>
      </c>
      <c r="M46">
        <f t="shared" si="15"/>
        <v>13.5</v>
      </c>
      <c r="N46">
        <f t="shared" si="13"/>
        <v>18</v>
      </c>
      <c r="O46">
        <v>1</v>
      </c>
      <c r="P46" s="12">
        <f t="shared" si="16"/>
        <v>18</v>
      </c>
      <c r="Q46" s="12">
        <f t="shared" si="17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14"/>
        <v>0</v>
      </c>
      <c r="M47">
        <f t="shared" si="15"/>
        <v>27.3</v>
      </c>
      <c r="N47">
        <f t="shared" si="13"/>
        <v>18</v>
      </c>
      <c r="O47">
        <v>1</v>
      </c>
      <c r="P47" s="12">
        <f t="shared" si="16"/>
        <v>18</v>
      </c>
      <c r="Q47" s="12">
        <f t="shared" si="17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14"/>
        <v>0</v>
      </c>
      <c r="M48">
        <f t="shared" si="15"/>
        <v>27.3</v>
      </c>
      <c r="N48">
        <f t="shared" si="13"/>
        <v>18</v>
      </c>
      <c r="O48">
        <v>1</v>
      </c>
      <c r="P48" s="12">
        <f t="shared" si="16"/>
        <v>18</v>
      </c>
      <c r="Q48" s="12">
        <f t="shared" si="17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14"/>
        <v>0</v>
      </c>
      <c r="M49">
        <f t="shared" si="15"/>
        <v>27.3</v>
      </c>
      <c r="N49">
        <f t="shared" si="13"/>
        <v>18</v>
      </c>
      <c r="O49">
        <v>1</v>
      </c>
      <c r="P49" s="12">
        <f t="shared" si="16"/>
        <v>18</v>
      </c>
      <c r="Q49" s="12">
        <f t="shared" si="17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14"/>
        <v>0</v>
      </c>
      <c r="M50">
        <f t="shared" si="15"/>
        <v>27.3</v>
      </c>
      <c r="N50">
        <f t="shared" si="13"/>
        <v>18</v>
      </c>
      <c r="O50">
        <v>1</v>
      </c>
      <c r="P50" s="12">
        <f t="shared" si="16"/>
        <v>18</v>
      </c>
      <c r="Q50" s="12">
        <f t="shared" si="17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14"/>
        <v>0</v>
      </c>
      <c r="M51">
        <f t="shared" si="15"/>
        <v>27.3</v>
      </c>
      <c r="N51">
        <f t="shared" si="13"/>
        <v>18</v>
      </c>
      <c r="O51">
        <v>1</v>
      </c>
      <c r="P51" s="12">
        <f t="shared" si="16"/>
        <v>18</v>
      </c>
      <c r="Q51" s="12">
        <f t="shared" si="17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14"/>
        <v>0</v>
      </c>
      <c r="M52">
        <f t="shared" si="15"/>
        <v>27.3</v>
      </c>
      <c r="N52">
        <f t="shared" si="13"/>
        <v>18</v>
      </c>
      <c r="O52">
        <v>1</v>
      </c>
      <c r="P52" s="12">
        <f t="shared" si="16"/>
        <v>18</v>
      </c>
      <c r="Q52" s="12">
        <f t="shared" si="17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14"/>
        <v>0</v>
      </c>
      <c r="M53">
        <f t="shared" si="15"/>
        <v>27.3</v>
      </c>
      <c r="N53">
        <f t="shared" si="13"/>
        <v>18</v>
      </c>
      <c r="O53">
        <v>1</v>
      </c>
      <c r="P53" s="12">
        <f>((1-O53)*B53+P54)/(1+L53)</f>
        <v>18</v>
      </c>
      <c r="Q53" s="12">
        <f t="shared" si="17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14"/>
        <v>0</v>
      </c>
      <c r="M54">
        <f t="shared" si="15"/>
        <v>27.3</v>
      </c>
      <c r="N54">
        <f t="shared" si="13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J71" si="18">E$5/100*EXP(5.372697*(1+E$8)*(1-(E$2+273.15)/$Q30))</f>
        <v>59.889007012273737</v>
      </c>
      <c r="D60">
        <f t="shared" si="18"/>
        <v>16.641384717735434</v>
      </c>
      <c r="E60">
        <f t="shared" si="18"/>
        <v>6.5207237166629586</v>
      </c>
      <c r="F60">
        <f t="shared" si="18"/>
        <v>4.7017169326426158</v>
      </c>
      <c r="G60">
        <f t="shared" si="18"/>
        <v>1.8216984631719335</v>
      </c>
      <c r="H60">
        <f t="shared" si="18"/>
        <v>1.6019279543799159</v>
      </c>
      <c r="I60">
        <f t="shared" si="18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19">D$5/100*EXP(5.372697*(1+D$8)*(1-(D$2+273.15)/$Q31))</f>
        <v>445.68342791080278</v>
      </c>
      <c r="C61">
        <f t="shared" si="18"/>
        <v>65.827928189266558</v>
      </c>
      <c r="D61">
        <f t="shared" si="18"/>
        <v>18.765298928407329</v>
      </c>
      <c r="E61">
        <f t="shared" si="18"/>
        <v>7.4723971450142948</v>
      </c>
      <c r="F61">
        <f t="shared" si="18"/>
        <v>5.4292877391579042</v>
      </c>
      <c r="G61">
        <f t="shared" si="18"/>
        <v>2.1434659000782816</v>
      </c>
      <c r="H61">
        <f t="shared" si="18"/>
        <v>1.8831642490060414</v>
      </c>
      <c r="I61">
        <f t="shared" si="18"/>
        <v>0.62892518736778114</v>
      </c>
      <c r="J61">
        <f t="shared" si="18"/>
        <v>0.23944340455518082</v>
      </c>
    </row>
    <row r="62" spans="1:17" x14ac:dyDescent="0.25">
      <c r="A62">
        <v>3</v>
      </c>
      <c r="B62">
        <f t="shared" si="19"/>
        <v>469.73193046119388</v>
      </c>
      <c r="C62">
        <f t="shared" si="18"/>
        <v>72.129475278106611</v>
      </c>
      <c r="D62">
        <f t="shared" si="18"/>
        <v>21.076241474981373</v>
      </c>
      <c r="E62">
        <f t="shared" si="18"/>
        <v>8.5244012712077151</v>
      </c>
      <c r="F62">
        <f t="shared" si="18"/>
        <v>6.2396317701313073</v>
      </c>
      <c r="G62">
        <f t="shared" si="18"/>
        <v>2.5085123390663608</v>
      </c>
      <c r="H62">
        <f t="shared" si="18"/>
        <v>2.2019430369942352</v>
      </c>
      <c r="I62">
        <f t="shared" si="18"/>
        <v>0.75293621767826302</v>
      </c>
      <c r="J62">
        <f t="shared" si="18"/>
        <v>0.29205940334527997</v>
      </c>
    </row>
    <row r="63" spans="1:17" x14ac:dyDescent="0.25">
      <c r="A63">
        <v>4</v>
      </c>
      <c r="B63">
        <f t="shared" si="19"/>
        <v>494.23081341895715</v>
      </c>
      <c r="C63">
        <f t="shared" si="18"/>
        <v>78.799122596257021</v>
      </c>
      <c r="D63">
        <f t="shared" si="18"/>
        <v>23.582345165589743</v>
      </c>
      <c r="E63">
        <f t="shared" si="18"/>
        <v>9.6828554246319349</v>
      </c>
      <c r="F63">
        <f t="shared" si="18"/>
        <v>7.1384840820909998</v>
      </c>
      <c r="G63">
        <f t="shared" si="18"/>
        <v>2.9207198225060087</v>
      </c>
      <c r="H63">
        <f t="shared" si="18"/>
        <v>2.5615945803066986</v>
      </c>
      <c r="I63">
        <f t="shared" si="18"/>
        <v>0.89612798975326524</v>
      </c>
      <c r="J63">
        <f t="shared" si="18"/>
        <v>0.35393855386370165</v>
      </c>
    </row>
    <row r="64" spans="1:17" x14ac:dyDescent="0.25">
      <c r="A64">
        <v>5</v>
      </c>
      <c r="B64">
        <f t="shared" si="19"/>
        <v>519.16030105645893</v>
      </c>
      <c r="C64">
        <f t="shared" si="18"/>
        <v>85.841689908724874</v>
      </c>
      <c r="D64">
        <f t="shared" si="18"/>
        <v>26.291540917230233</v>
      </c>
      <c r="E64">
        <f t="shared" si="18"/>
        <v>10.953888504833669</v>
      </c>
      <c r="F64">
        <f t="shared" si="18"/>
        <v>8.1316500930903057</v>
      </c>
      <c r="G64">
        <f t="shared" si="18"/>
        <v>3.3841112190339335</v>
      </c>
      <c r="H64">
        <f t="shared" si="18"/>
        <v>2.9655662400294514</v>
      </c>
      <c r="I64">
        <f t="shared" si="18"/>
        <v>1.0606133457919775</v>
      </c>
      <c r="J64">
        <f t="shared" si="18"/>
        <v>0.42629296390936905</v>
      </c>
    </row>
    <row r="65" spans="1:10" x14ac:dyDescent="0.25">
      <c r="A65">
        <v>6</v>
      </c>
      <c r="B65">
        <f t="shared" si="19"/>
        <v>544.50086960430031</v>
      </c>
      <c r="C65">
        <f t="shared" si="18"/>
        <v>93.261354659902977</v>
      </c>
      <c r="D65">
        <f t="shared" si="18"/>
        <v>29.211536127198606</v>
      </c>
      <c r="E65">
        <f t="shared" si="18"/>
        <v>12.343619145600849</v>
      </c>
      <c r="F65">
        <f t="shared" si="18"/>
        <v>9.2249869895855205</v>
      </c>
      <c r="G65">
        <f t="shared" si="18"/>
        <v>3.9028400234339986</v>
      </c>
      <c r="H65">
        <f t="shared" si="18"/>
        <v>3.4174135635438896</v>
      </c>
      <c r="I65">
        <f t="shared" si="18"/>
        <v>1.248631035520823</v>
      </c>
      <c r="J65">
        <f t="shared" si="18"/>
        <v>0.51043304609554374</v>
      </c>
    </row>
    <row r="66" spans="1:10" x14ac:dyDescent="0.25">
      <c r="A66">
        <v>7</v>
      </c>
      <c r="B66">
        <f t="shared" si="19"/>
        <v>570.23328669305681</v>
      </c>
      <c r="C66">
        <f t="shared" si="18"/>
        <v>101.06166659601418</v>
      </c>
      <c r="D66">
        <f t="shared" si="18"/>
        <v>32.349795302648722</v>
      </c>
      <c r="E66">
        <f t="shared" si="18"/>
        <v>13.858136662088429</v>
      </c>
      <c r="F66">
        <f t="shared" si="18"/>
        <v>10.424385420103363</v>
      </c>
      <c r="G66">
        <f t="shared" si="18"/>
        <v>4.4811796014797176</v>
      </c>
      <c r="H66">
        <f t="shared" si="18"/>
        <v>3.9207909256725237</v>
      </c>
      <c r="I66">
        <f t="shared" si="18"/>
        <v>1.4625436042298476</v>
      </c>
      <c r="J66">
        <f t="shared" si="18"/>
        <v>0.60776903067553012</v>
      </c>
    </row>
    <row r="67" spans="1:10" x14ac:dyDescent="0.25">
      <c r="A67">
        <v>8</v>
      </c>
      <c r="B67">
        <f t="shared" si="19"/>
        <v>596.33864520188422</v>
      </c>
      <c r="C67">
        <f t="shared" si="18"/>
        <v>109.24556442432159</v>
      </c>
      <c r="D67">
        <f t="shared" si="18"/>
        <v>35.713522909641227</v>
      </c>
      <c r="E67">
        <f t="shared" si="18"/>
        <v>15.503482871809044</v>
      </c>
      <c r="F67">
        <f t="shared" si="18"/>
        <v>11.735751596945283</v>
      </c>
      <c r="G67">
        <f t="shared" si="18"/>
        <v>5.1235119872235622</v>
      </c>
      <c r="H67">
        <f t="shared" si="18"/>
        <v>4.479441815972498</v>
      </c>
      <c r="I67">
        <f t="shared" si="18"/>
        <v>1.7048346315044014</v>
      </c>
      <c r="J67">
        <f t="shared" si="18"/>
        <v>0.71981199489911263</v>
      </c>
    </row>
    <row r="68" spans="1:10" x14ac:dyDescent="0.25">
      <c r="A68">
        <v>9</v>
      </c>
      <c r="B68">
        <f t="shared" si="19"/>
        <v>622.79839202078608</v>
      </c>
      <c r="C68">
        <f t="shared" si="18"/>
        <v>117.81539418099926</v>
      </c>
      <c r="D68">
        <f t="shared" si="18"/>
        <v>39.309648384714897</v>
      </c>
      <c r="E68">
        <f t="shared" si="18"/>
        <v>17.285634862473501</v>
      </c>
      <c r="F68">
        <f t="shared" si="18"/>
        <v>13.164989911877457</v>
      </c>
      <c r="G68">
        <f t="shared" si="18"/>
        <v>5.8343163366665136</v>
      </c>
      <c r="H68">
        <f t="shared" si="18"/>
        <v>5.097188860924267</v>
      </c>
      <c r="I68">
        <f t="shared" si="18"/>
        <v>1.9781053588959705</v>
      </c>
      <c r="J68">
        <f t="shared" si="18"/>
        <v>0.84817440621785234</v>
      </c>
    </row>
    <row r="69" spans="1:10" x14ac:dyDescent="0.25">
      <c r="A69">
        <v>10</v>
      </c>
      <c r="B69">
        <f t="shared" si="19"/>
        <v>649.59435220123271</v>
      </c>
      <c r="C69">
        <f t="shared" si="18"/>
        <v>126.77292900551345</v>
      </c>
      <c r="D69">
        <f t="shared" si="18"/>
        <v>43.144813236971899</v>
      </c>
      <c r="E69">
        <f t="shared" si="18"/>
        <v>19.210488763111965</v>
      </c>
      <c r="F69">
        <f t="shared" si="18"/>
        <v>14.717986156887672</v>
      </c>
      <c r="G69">
        <f t="shared" si="18"/>
        <v>6.6181571371735517</v>
      </c>
      <c r="H69">
        <f t="shared" si="18"/>
        <v>5.7779236655129385</v>
      </c>
      <c r="I69">
        <f t="shared" si="18"/>
        <v>2.2850707487431161</v>
      </c>
      <c r="J69">
        <f t="shared" si="18"/>
        <v>0.99457018173837886</v>
      </c>
    </row>
    <row r="70" spans="1:10" x14ac:dyDescent="0.25">
      <c r="A70">
        <v>11</v>
      </c>
      <c r="B70">
        <f t="shared" si="19"/>
        <v>676.7087489377717</v>
      </c>
      <c r="C70">
        <f t="shared" si="18"/>
        <v>136.11939004507312</v>
      </c>
      <c r="D70">
        <f t="shared" si="18"/>
        <v>47.225360156618294</v>
      </c>
      <c r="E70">
        <f t="shared" si="18"/>
        <v>21.283844559710179</v>
      </c>
      <c r="F70">
        <f t="shared" si="18"/>
        <v>16.400591426836026</v>
      </c>
      <c r="G70">
        <f t="shared" si="18"/>
        <v>7.4796722666273707</v>
      </c>
      <c r="H70">
        <f t="shared" si="18"/>
        <v>6.5255965538068148</v>
      </c>
      <c r="I70">
        <f t="shared" si="18"/>
        <v>2.6285550194190366</v>
      </c>
      <c r="J70">
        <f t="shared" si="18"/>
        <v>1.1608142710024547</v>
      </c>
    </row>
    <row r="71" spans="1:10" x14ac:dyDescent="0.25">
      <c r="A71">
        <v>12</v>
      </c>
      <c r="B71">
        <f t="shared" si="19"/>
        <v>704.12421979172586</v>
      </c>
      <c r="C71">
        <f t="shared" si="18"/>
        <v>145.85546823781081</v>
      </c>
      <c r="D71">
        <f t="shared" si="18"/>
        <v>51.55732403654001</v>
      </c>
      <c r="E71">
        <f t="shared" si="18"/>
        <v>23.511391982794148</v>
      </c>
      <c r="F71">
        <f t="shared" si="18"/>
        <v>18.2186067673229</v>
      </c>
      <c r="G71">
        <f t="shared" si="18"/>
        <v>8.4235609903283564</v>
      </c>
      <c r="H71">
        <f t="shared" si="18"/>
        <v>7.3442062827677228</v>
      </c>
      <c r="I71">
        <f t="shared" si="18"/>
        <v>3.0114867045011784</v>
      </c>
      <c r="J71">
        <f t="shared" si="18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20">C60/($R30*10)</f>
        <v>31.520530006459865</v>
      </c>
      <c r="D75">
        <f t="shared" si="20"/>
        <v>8.7586235356502282</v>
      </c>
      <c r="E75">
        <f t="shared" si="20"/>
        <v>3.4319598508752414</v>
      </c>
      <c r="F75">
        <f t="shared" si="20"/>
        <v>2.4745878592855872</v>
      </c>
      <c r="G75">
        <f t="shared" si="20"/>
        <v>0.95878866482733349</v>
      </c>
      <c r="H75">
        <f t="shared" si="20"/>
        <v>0.84311997598942945</v>
      </c>
      <c r="I75">
        <f t="shared" si="20"/>
        <v>0.27479441761873596</v>
      </c>
      <c r="J75">
        <f t="shared" si="20"/>
        <v>0.10261829806691704</v>
      </c>
    </row>
    <row r="76" spans="1:10" x14ac:dyDescent="0.25">
      <c r="A76">
        <v>2</v>
      </c>
      <c r="B76">
        <f t="shared" ref="B76:J86" si="21">B61/($R31*10)</f>
        <v>233.5459010886303</v>
      </c>
      <c r="C76">
        <f t="shared" si="21"/>
        <v>34.494984203982476</v>
      </c>
      <c r="D76">
        <f t="shared" si="21"/>
        <v>9.8333444166326629</v>
      </c>
      <c r="E76">
        <f t="shared" si="21"/>
        <v>3.9156666262083641</v>
      </c>
      <c r="F76">
        <f t="shared" si="21"/>
        <v>2.8450416100390767</v>
      </c>
      <c r="G76">
        <f t="shared" si="21"/>
        <v>1.1232135720934227</v>
      </c>
      <c r="H76">
        <f t="shared" si="21"/>
        <v>0.98681096017783831</v>
      </c>
      <c r="I76">
        <f t="shared" si="21"/>
        <v>0.32956778377350976</v>
      </c>
      <c r="J76">
        <f t="shared" si="21"/>
        <v>0.12547252640446158</v>
      </c>
    </row>
    <row r="77" spans="1:10" x14ac:dyDescent="0.25">
      <c r="A77">
        <v>3</v>
      </c>
      <c r="B77">
        <f t="shared" si="21"/>
        <v>245.07752893627509</v>
      </c>
      <c r="C77">
        <f t="shared" si="21"/>
        <v>37.632769710316495</v>
      </c>
      <c r="D77">
        <f t="shared" si="21"/>
        <v>10.996299899990282</v>
      </c>
      <c r="E77">
        <f t="shared" si="21"/>
        <v>4.4475137067170687</v>
      </c>
      <c r="F77">
        <f t="shared" si="21"/>
        <v>3.2554600539815519</v>
      </c>
      <c r="G77">
        <f t="shared" si="21"/>
        <v>1.3087890464694059</v>
      </c>
      <c r="H77">
        <f t="shared" si="21"/>
        <v>1.1488398453882966</v>
      </c>
      <c r="I77">
        <f t="shared" si="21"/>
        <v>0.39283628748431115</v>
      </c>
      <c r="J77">
        <f t="shared" si="21"/>
        <v>0.15237881913666781</v>
      </c>
    </row>
    <row r="78" spans="1:10" x14ac:dyDescent="0.25">
      <c r="A78">
        <v>4</v>
      </c>
      <c r="B78">
        <f t="shared" si="21"/>
        <v>256.7432796981596</v>
      </c>
      <c r="C78">
        <f t="shared" si="21"/>
        <v>40.934609140912741</v>
      </c>
      <c r="D78">
        <f t="shared" si="21"/>
        <v>12.250568917189478</v>
      </c>
      <c r="E78">
        <f t="shared" si="21"/>
        <v>5.0300547660425643</v>
      </c>
      <c r="F78">
        <f t="shared" si="21"/>
        <v>3.7083034192680522</v>
      </c>
      <c r="G78">
        <f t="shared" si="21"/>
        <v>1.5172570506524723</v>
      </c>
      <c r="H78">
        <f t="shared" si="21"/>
        <v>1.3306984832762072</v>
      </c>
      <c r="I78">
        <f t="shared" si="21"/>
        <v>0.46552103363805991</v>
      </c>
      <c r="J78">
        <f t="shared" si="21"/>
        <v>0.18386418382529957</v>
      </c>
    </row>
    <row r="79" spans="1:10" x14ac:dyDescent="0.25">
      <c r="A79">
        <v>5</v>
      </c>
      <c r="B79">
        <f t="shared" si="21"/>
        <v>268.53119020161671</v>
      </c>
      <c r="C79">
        <f t="shared" si="21"/>
        <v>44.400874090719768</v>
      </c>
      <c r="D79">
        <f t="shared" si="21"/>
        <v>13.599072888222535</v>
      </c>
      <c r="E79">
        <f t="shared" si="21"/>
        <v>5.6658043990518987</v>
      </c>
      <c r="F79">
        <f t="shared" si="21"/>
        <v>4.2060259102191244</v>
      </c>
      <c r="G79">
        <f t="shared" si="21"/>
        <v>1.7504023546727243</v>
      </c>
      <c r="H79">
        <f t="shared" si="21"/>
        <v>1.5339135724290267</v>
      </c>
      <c r="I79">
        <f t="shared" si="21"/>
        <v>0.54859310989240218</v>
      </c>
      <c r="J79">
        <f t="shared" si="21"/>
        <v>0.22049636064277711</v>
      </c>
    </row>
    <row r="80" spans="1:10" x14ac:dyDescent="0.25">
      <c r="A80">
        <v>6</v>
      </c>
      <c r="B80">
        <f t="shared" si="21"/>
        <v>280.429632414232</v>
      </c>
      <c r="C80">
        <f t="shared" si="21"/>
        <v>48.031598966473645</v>
      </c>
      <c r="D80">
        <f t="shared" si="21"/>
        <v>15.044567962505724</v>
      </c>
      <c r="E80">
        <f t="shared" si="21"/>
        <v>6.3572287445154601</v>
      </c>
      <c r="F80">
        <f t="shared" si="21"/>
        <v>4.7510662607307417</v>
      </c>
      <c r="G80">
        <f t="shared" si="21"/>
        <v>2.0100463640003432</v>
      </c>
      <c r="H80">
        <f t="shared" si="21"/>
        <v>1.7600413202801153</v>
      </c>
      <c r="I80">
        <f t="shared" si="21"/>
        <v>0.64307177795063863</v>
      </c>
      <c r="J80">
        <f t="shared" si="21"/>
        <v>0.26288397223804832</v>
      </c>
    </row>
    <row r="81" spans="1:10" x14ac:dyDescent="0.25">
      <c r="A81">
        <v>7</v>
      </c>
      <c r="B81">
        <f t="shared" si="21"/>
        <v>292.42732650925996</v>
      </c>
      <c r="C81">
        <f t="shared" si="21"/>
        <v>51.826495690263691</v>
      </c>
      <c r="D81">
        <f t="shared" si="21"/>
        <v>16.589638616742938</v>
      </c>
      <c r="E81">
        <f t="shared" si="21"/>
        <v>7.1067367497889391</v>
      </c>
      <c r="F81">
        <f t="shared" si="21"/>
        <v>5.3458386769760846</v>
      </c>
      <c r="G81">
        <f t="shared" si="21"/>
        <v>2.2980408212716505</v>
      </c>
      <c r="H81">
        <f t="shared" si="21"/>
        <v>2.0106620131653972</v>
      </c>
      <c r="I81">
        <f t="shared" si="21"/>
        <v>0.75002236114351184</v>
      </c>
      <c r="J81">
        <f t="shared" si="21"/>
        <v>0.31167642598745143</v>
      </c>
    </row>
    <row r="82" spans="1:10" x14ac:dyDescent="0.25">
      <c r="A82">
        <v>8</v>
      </c>
      <c r="B82">
        <f t="shared" si="21"/>
        <v>304.51335074138774</v>
      </c>
      <c r="C82">
        <f t="shared" si="21"/>
        <v>55.7849690677387</v>
      </c>
      <c r="D82">
        <f t="shared" si="21"/>
        <v>18.236692549604037</v>
      </c>
      <c r="E82">
        <f t="shared" si="21"/>
        <v>7.9166721047535571</v>
      </c>
      <c r="F82">
        <f t="shared" si="21"/>
        <v>5.9927242197167416</v>
      </c>
      <c r="G82">
        <f t="shared" si="21"/>
        <v>2.6162614402843727</v>
      </c>
      <c r="H82">
        <f t="shared" si="21"/>
        <v>2.2873745443263824</v>
      </c>
      <c r="I82">
        <f t="shared" si="21"/>
        <v>0.87055385438522648</v>
      </c>
      <c r="J82">
        <f t="shared" si="21"/>
        <v>0.36756357186337674</v>
      </c>
    </row>
    <row r="83" spans="1:10" x14ac:dyDescent="0.25">
      <c r="A83">
        <v>9</v>
      </c>
      <c r="B83">
        <f t="shared" si="21"/>
        <v>316.67714848514561</v>
      </c>
      <c r="C83">
        <f t="shared" si="21"/>
        <v>59.906132634406426</v>
      </c>
      <c r="D83">
        <f t="shared" si="21"/>
        <v>19.987956805787245</v>
      </c>
      <c r="E83">
        <f t="shared" si="21"/>
        <v>8.7893058622746647</v>
      </c>
      <c r="F83">
        <f t="shared" si="21"/>
        <v>6.694062667056337</v>
      </c>
      <c r="G83">
        <f t="shared" si="21"/>
        <v>2.9666015271185673</v>
      </c>
      <c r="H83">
        <f t="shared" si="21"/>
        <v>2.5917909462326794</v>
      </c>
      <c r="I83">
        <f t="shared" si="21"/>
        <v>1.0058162841843923</v>
      </c>
      <c r="J83">
        <f t="shared" si="21"/>
        <v>0.43127512180568778</v>
      </c>
    </row>
    <row r="84" spans="1:10" x14ac:dyDescent="0.25">
      <c r="A84">
        <v>10</v>
      </c>
      <c r="B84">
        <f t="shared" si="21"/>
        <v>328.90853276011796</v>
      </c>
      <c r="C84">
        <f t="shared" si="21"/>
        <v>64.188824812918227</v>
      </c>
      <c r="D84">
        <f t="shared" si="21"/>
        <v>21.845475056694642</v>
      </c>
      <c r="E84">
        <f t="shared" si="21"/>
        <v>9.7268297534744157</v>
      </c>
      <c r="F84">
        <f t="shared" si="21"/>
        <v>7.4521448895633817</v>
      </c>
      <c r="G84">
        <f t="shared" si="21"/>
        <v>3.3509656390752176</v>
      </c>
      <c r="H84">
        <f t="shared" si="21"/>
        <v>2.9255309698799699</v>
      </c>
      <c r="I84">
        <f t="shared" si="21"/>
        <v>1.1569978474648694</v>
      </c>
      <c r="J84">
        <f t="shared" si="21"/>
        <v>0.50357983885487556</v>
      </c>
    </row>
    <row r="85" spans="1:10" x14ac:dyDescent="0.25">
      <c r="A85">
        <v>11</v>
      </c>
      <c r="B85">
        <f t="shared" si="21"/>
        <v>341.19768854005309</v>
      </c>
      <c r="C85">
        <f t="shared" si="21"/>
        <v>68.631625232810009</v>
      </c>
      <c r="D85">
        <f t="shared" si="21"/>
        <v>23.811105961320159</v>
      </c>
      <c r="E85">
        <f t="shared" si="21"/>
        <v>10.731350198173203</v>
      </c>
      <c r="F85">
        <f t="shared" si="21"/>
        <v>8.2692057614299319</v>
      </c>
      <c r="G85">
        <f t="shared" si="21"/>
        <v>3.771263327711281</v>
      </c>
      <c r="H85">
        <f t="shared" si="21"/>
        <v>3.2902167498185633</v>
      </c>
      <c r="I85">
        <f t="shared" si="21"/>
        <v>1.3253218585306072</v>
      </c>
      <c r="J85">
        <f t="shared" si="21"/>
        <v>0.5852845063877925</v>
      </c>
    </row>
    <row r="86" spans="1:10" x14ac:dyDescent="0.25">
      <c r="A86">
        <v>12</v>
      </c>
      <c r="B86">
        <f t="shared" si="21"/>
        <v>352.06210989586293</v>
      </c>
      <c r="C86">
        <f t="shared" si="21"/>
        <v>72.927734118905406</v>
      </c>
      <c r="D86">
        <f t="shared" si="21"/>
        <v>25.778662018270005</v>
      </c>
      <c r="E86">
        <f t="shared" si="21"/>
        <v>11.755695991397074</v>
      </c>
      <c r="F86">
        <f t="shared" si="21"/>
        <v>9.1093033836614499</v>
      </c>
      <c r="G86">
        <f t="shared" si="21"/>
        <v>4.2117804951641782</v>
      </c>
      <c r="H86">
        <f t="shared" si="21"/>
        <v>3.6721031413838614</v>
      </c>
      <c r="I86">
        <f t="shared" si="21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22">Q43</f>
        <v>13.5</v>
      </c>
      <c r="C91">
        <f t="shared" ref="C91:C101" si="23">-(Q44+C44+(P44+D44)*J76)</f>
        <v>-15.758505475280309</v>
      </c>
      <c r="D91">
        <f t="shared" ref="D91:D100" si="24">P45*J77</f>
        <v>2.7428187444600205</v>
      </c>
      <c r="E91">
        <f t="shared" ref="E91:E101" si="25">-B44*$C$35</f>
        <v>0</v>
      </c>
    </row>
    <row r="92" spans="1:10" x14ac:dyDescent="0.25">
      <c r="A92">
        <v>3</v>
      </c>
      <c r="B92" s="14">
        <f t="shared" si="22"/>
        <v>13.5</v>
      </c>
      <c r="C92">
        <f t="shared" si="23"/>
        <v>-16.24281874446002</v>
      </c>
      <c r="D92">
        <f t="shared" si="24"/>
        <v>3.3095553088553924</v>
      </c>
      <c r="E92">
        <f t="shared" si="25"/>
        <v>0</v>
      </c>
    </row>
    <row r="93" spans="1:10" x14ac:dyDescent="0.25">
      <c r="A93">
        <v>4</v>
      </c>
      <c r="B93" s="14">
        <f t="shared" si="22"/>
        <v>13.5</v>
      </c>
      <c r="C93">
        <f t="shared" si="23"/>
        <v>-16.809555308855394</v>
      </c>
      <c r="D93">
        <f t="shared" si="24"/>
        <v>3.9689344915699882</v>
      </c>
      <c r="E93">
        <f t="shared" si="25"/>
        <v>0</v>
      </c>
    </row>
    <row r="94" spans="1:10" x14ac:dyDescent="0.25">
      <c r="A94">
        <v>5</v>
      </c>
      <c r="B94" s="14">
        <f t="shared" si="22"/>
        <v>13.5</v>
      </c>
      <c r="C94">
        <f t="shared" si="23"/>
        <v>-31.268934491569986</v>
      </c>
      <c r="D94">
        <f t="shared" si="24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22"/>
        <v>27.299999999999997</v>
      </c>
      <c r="C95">
        <f t="shared" si="23"/>
        <v>-32.031911500284863</v>
      </c>
      <c r="D95">
        <f t="shared" si="24"/>
        <v>5.6101756677741257</v>
      </c>
      <c r="E95">
        <f t="shared" si="25"/>
        <v>0</v>
      </c>
    </row>
    <row r="96" spans="1:10" x14ac:dyDescent="0.25">
      <c r="A96">
        <v>7</v>
      </c>
      <c r="B96" s="14">
        <f t="shared" si="22"/>
        <v>27.299999999999997</v>
      </c>
      <c r="C96">
        <f t="shared" si="23"/>
        <v>-32.910175667774126</v>
      </c>
      <c r="D96">
        <f t="shared" si="24"/>
        <v>6.6161442935407813</v>
      </c>
      <c r="E96">
        <f t="shared" si="25"/>
        <v>0</v>
      </c>
    </row>
    <row r="97" spans="1:15" x14ac:dyDescent="0.25">
      <c r="A97">
        <v>8</v>
      </c>
      <c r="B97" s="14">
        <f t="shared" si="22"/>
        <v>27.299999999999997</v>
      </c>
      <c r="C97">
        <f t="shared" si="23"/>
        <v>-33.916144293540782</v>
      </c>
      <c r="D97">
        <f t="shared" si="24"/>
        <v>7.7629521925023797</v>
      </c>
      <c r="E97">
        <f t="shared" si="25"/>
        <v>0</v>
      </c>
    </row>
    <row r="98" spans="1:15" x14ac:dyDescent="0.25">
      <c r="A98">
        <v>9</v>
      </c>
      <c r="B98" s="14">
        <f t="shared" si="22"/>
        <v>27.299999999999997</v>
      </c>
      <c r="C98">
        <f t="shared" si="23"/>
        <v>-35.062952192502379</v>
      </c>
      <c r="D98">
        <f t="shared" si="24"/>
        <v>9.0644370993877601</v>
      </c>
      <c r="E98">
        <f t="shared" si="25"/>
        <v>0</v>
      </c>
    </row>
    <row r="99" spans="1:15" x14ac:dyDescent="0.25">
      <c r="A99">
        <v>10</v>
      </c>
      <c r="B99" s="14">
        <f t="shared" si="22"/>
        <v>27.299999999999997</v>
      </c>
      <c r="C99">
        <f t="shared" si="23"/>
        <v>-36.364437099387757</v>
      </c>
      <c r="D99">
        <f t="shared" si="24"/>
        <v>10.535121114980265</v>
      </c>
      <c r="E99">
        <f t="shared" si="25"/>
        <v>0</v>
      </c>
    </row>
    <row r="100" spans="1:15" x14ac:dyDescent="0.25">
      <c r="A100">
        <v>11</v>
      </c>
      <c r="B100" s="14">
        <f t="shared" si="22"/>
        <v>27.299999999999997</v>
      </c>
      <c r="C100">
        <f t="shared" si="23"/>
        <v>-37.835121114980261</v>
      </c>
      <c r="D100">
        <f t="shared" si="24"/>
        <v>12.139395960731399</v>
      </c>
      <c r="E100">
        <f t="shared" si="25"/>
        <v>0</v>
      </c>
    </row>
    <row r="101" spans="1:15" x14ac:dyDescent="0.25">
      <c r="A101">
        <v>12</v>
      </c>
      <c r="B101" s="14">
        <f t="shared" si="22"/>
        <v>27.299999999999997</v>
      </c>
      <c r="C101">
        <f t="shared" si="23"/>
        <v>-21.4393959607314</v>
      </c>
      <c r="E101">
        <f t="shared" si="25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26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26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26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27">C93</f>
        <v>-16.809555308855394</v>
      </c>
      <c r="F107" s="1">
        <f t="shared" si="27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26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28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26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29">C95</f>
        <v>-32.031911500284863</v>
      </c>
      <c r="H109" s="1">
        <f t="shared" si="29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26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30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26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31">C97</f>
        <v>-33.916144293540782</v>
      </c>
      <c r="J111" s="1">
        <f t="shared" si="31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26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32">C98</f>
        <v>-35.062952192502379</v>
      </c>
      <c r="K112" s="1">
        <f t="shared" si="32"/>
        <v>9.0644370993877601</v>
      </c>
      <c r="L112" s="4">
        <v>0</v>
      </c>
      <c r="M112" s="4">
        <v>0</v>
      </c>
      <c r="N112" t="s">
        <v>72</v>
      </c>
      <c r="O112">
        <f t="shared" si="26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33">C99</f>
        <v>-36.364437099387757</v>
      </c>
      <c r="L113" s="1">
        <f t="shared" si="33"/>
        <v>10.535121114980265</v>
      </c>
      <c r="M113" s="4">
        <v>0</v>
      </c>
      <c r="N113" t="s">
        <v>73</v>
      </c>
      <c r="O113">
        <f t="shared" si="26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34">C100</f>
        <v>-37.835121114980261</v>
      </c>
      <c r="M114" s="1">
        <f>D100</f>
        <v>12.139395960731399</v>
      </c>
      <c r="N114" t="s">
        <v>74</v>
      </c>
      <c r="O114">
        <f t="shared" si="26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26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35">CONCATENATE(D104,D117)</f>
        <v>0,</v>
      </c>
      <c r="E129" t="str">
        <f t="shared" si="35"/>
        <v>0,</v>
      </c>
      <c r="F129" t="str">
        <f t="shared" si="35"/>
        <v>0,</v>
      </c>
      <c r="G129" t="str">
        <f t="shared" si="35"/>
        <v>0,</v>
      </c>
      <c r="H129" t="str">
        <f t="shared" si="35"/>
        <v>0,</v>
      </c>
      <c r="I129" t="str">
        <f t="shared" si="35"/>
        <v>0,</v>
      </c>
      <c r="J129" t="str">
        <f t="shared" si="35"/>
        <v>0,</v>
      </c>
      <c r="K129" t="str">
        <f t="shared" si="35"/>
        <v>0,</v>
      </c>
      <c r="L129" t="str">
        <f t="shared" si="35"/>
        <v>0,</v>
      </c>
      <c r="M129" t="str">
        <f t="shared" si="35"/>
        <v>0,</v>
      </c>
      <c r="N129" t="str">
        <f>CONCATENATE(O104,N117,M117)</f>
        <v>0),</v>
      </c>
    </row>
    <row r="130" spans="1:21" x14ac:dyDescent="0.25">
      <c r="B130" t="str">
        <f t="shared" ref="B130:B136" si="36">CONCATENATE(A118,B105,B118)</f>
        <v>(13.5,</v>
      </c>
      <c r="C130" t="str">
        <f t="shared" ref="C130:M140" si="37">CONCATENATE(C105,C118)</f>
        <v>-15.7585054752803,</v>
      </c>
      <c r="D130" t="str">
        <f t="shared" si="37"/>
        <v>2.74281874446002,</v>
      </c>
      <c r="E130" t="str">
        <f t="shared" si="37"/>
        <v>0,</v>
      </c>
      <c r="F130" t="str">
        <f t="shared" si="37"/>
        <v>0,</v>
      </c>
      <c r="G130" t="str">
        <f t="shared" si="37"/>
        <v>0,</v>
      </c>
      <c r="H130" t="str">
        <f t="shared" si="37"/>
        <v>0,</v>
      </c>
      <c r="I130" t="str">
        <f t="shared" si="37"/>
        <v>0,</v>
      </c>
      <c r="J130" t="str">
        <f t="shared" si="37"/>
        <v>0,</v>
      </c>
      <c r="K130" t="str">
        <f t="shared" si="37"/>
        <v>0,</v>
      </c>
      <c r="L130" t="str">
        <f t="shared" si="37"/>
        <v>0,</v>
      </c>
      <c r="M130" t="str">
        <f t="shared" si="37"/>
        <v>0,</v>
      </c>
      <c r="N130" t="str">
        <f t="shared" ref="N130:N139" si="38">CONCATENATE(O105,N118,M118)</f>
        <v>0),</v>
      </c>
    </row>
    <row r="131" spans="1:21" x14ac:dyDescent="0.25">
      <c r="B131" t="str">
        <f t="shared" si="36"/>
        <v>(0,</v>
      </c>
      <c r="C131" t="str">
        <f t="shared" si="37"/>
        <v>13.5,</v>
      </c>
      <c r="D131" t="str">
        <f t="shared" si="37"/>
        <v>-16.24281874446,</v>
      </c>
      <c r="E131" t="str">
        <f t="shared" si="37"/>
        <v>3.30955530885539,</v>
      </c>
      <c r="F131" t="str">
        <f t="shared" si="37"/>
        <v>0,</v>
      </c>
      <c r="G131" t="str">
        <f t="shared" si="37"/>
        <v>0,</v>
      </c>
      <c r="H131" t="str">
        <f t="shared" si="37"/>
        <v>0,</v>
      </c>
      <c r="I131" t="str">
        <f t="shared" si="37"/>
        <v>0,</v>
      </c>
      <c r="J131" t="str">
        <f t="shared" si="37"/>
        <v>0,</v>
      </c>
      <c r="K131" t="str">
        <f t="shared" si="37"/>
        <v>0,</v>
      </c>
      <c r="L131" t="str">
        <f t="shared" si="37"/>
        <v>0,</v>
      </c>
      <c r="M131" t="str">
        <f t="shared" si="37"/>
        <v>0,</v>
      </c>
      <c r="N131" t="str">
        <f t="shared" si="38"/>
        <v>0),</v>
      </c>
    </row>
    <row r="132" spans="1:21" x14ac:dyDescent="0.25">
      <c r="B132" t="str">
        <f t="shared" si="36"/>
        <v>(0,</v>
      </c>
      <c r="C132" t="str">
        <f t="shared" si="37"/>
        <v>0,</v>
      </c>
      <c r="D132" t="str">
        <f t="shared" si="37"/>
        <v>13.5,</v>
      </c>
      <c r="E132" t="str">
        <f t="shared" si="37"/>
        <v>-16.8095553088554,</v>
      </c>
      <c r="F132" t="str">
        <f t="shared" si="37"/>
        <v>3.96893449156999,</v>
      </c>
      <c r="G132" t="str">
        <f t="shared" si="37"/>
        <v>0,</v>
      </c>
      <c r="H132" t="str">
        <f t="shared" si="37"/>
        <v>0,</v>
      </c>
      <c r="I132" t="str">
        <f t="shared" si="37"/>
        <v>0,</v>
      </c>
      <c r="J132" t="str">
        <f t="shared" si="37"/>
        <v>0,</v>
      </c>
      <c r="K132" t="str">
        <f t="shared" si="37"/>
        <v>0,</v>
      </c>
      <c r="L132" t="str">
        <f t="shared" si="37"/>
        <v>0,</v>
      </c>
      <c r="M132" t="str">
        <f t="shared" si="37"/>
        <v>0,</v>
      </c>
      <c r="N132" t="str">
        <f t="shared" si="38"/>
        <v>0),</v>
      </c>
    </row>
    <row r="133" spans="1:21" x14ac:dyDescent="0.25">
      <c r="B133" t="str">
        <f t="shared" si="36"/>
        <v>(0,</v>
      </c>
      <c r="C133" t="str">
        <f t="shared" si="37"/>
        <v>0,</v>
      </c>
      <c r="D133" t="str">
        <f t="shared" si="37"/>
        <v>0,</v>
      </c>
      <c r="E133" t="str">
        <f t="shared" si="37"/>
        <v>13.5,</v>
      </c>
      <c r="F133" t="str">
        <f t="shared" si="37"/>
        <v>-31.26893449157,</v>
      </c>
      <c r="G133" t="str">
        <f t="shared" si="37"/>
        <v>4.73191150028487,</v>
      </c>
      <c r="H133" t="str">
        <f t="shared" si="37"/>
        <v>0,</v>
      </c>
      <c r="I133" t="str">
        <f t="shared" si="37"/>
        <v>0,</v>
      </c>
      <c r="J133" t="str">
        <f t="shared" si="37"/>
        <v>0,</v>
      </c>
      <c r="K133" t="str">
        <f t="shared" si="37"/>
        <v>0,</v>
      </c>
      <c r="L133" t="str">
        <f t="shared" si="37"/>
        <v>0,</v>
      </c>
      <c r="M133" t="str">
        <f t="shared" si="37"/>
        <v>0,</v>
      </c>
      <c r="N133" t="str">
        <f t="shared" si="38"/>
        <v>0),</v>
      </c>
    </row>
    <row r="134" spans="1:21" x14ac:dyDescent="0.25">
      <c r="B134" t="str">
        <f t="shared" si="36"/>
        <v>(0,</v>
      </c>
      <c r="C134" t="str">
        <f t="shared" si="37"/>
        <v>0,</v>
      </c>
      <c r="D134" t="str">
        <f t="shared" si="37"/>
        <v>0,</v>
      </c>
      <c r="E134" t="str">
        <f t="shared" si="37"/>
        <v>0,</v>
      </c>
      <c r="F134" t="str">
        <f t="shared" si="37"/>
        <v>27.3,</v>
      </c>
      <c r="G134" t="str">
        <f t="shared" si="37"/>
        <v>-32.0319115002849,</v>
      </c>
      <c r="H134" t="str">
        <f t="shared" si="37"/>
        <v>5.61017566777413,</v>
      </c>
      <c r="I134" t="str">
        <f t="shared" si="37"/>
        <v>0,</v>
      </c>
      <c r="J134" t="str">
        <f t="shared" si="37"/>
        <v>0,</v>
      </c>
      <c r="K134" t="str">
        <f t="shared" si="37"/>
        <v>0,</v>
      </c>
      <c r="L134" t="str">
        <f t="shared" si="37"/>
        <v>0,</v>
      </c>
      <c r="M134" t="str">
        <f t="shared" si="37"/>
        <v>0,</v>
      </c>
      <c r="N134" t="str">
        <f t="shared" si="38"/>
        <v>0),</v>
      </c>
    </row>
    <row r="135" spans="1:21" x14ac:dyDescent="0.25">
      <c r="B135" t="str">
        <f t="shared" si="36"/>
        <v>(0,</v>
      </c>
      <c r="C135" t="str">
        <f t="shared" si="37"/>
        <v>0,</v>
      </c>
      <c r="D135" t="str">
        <f t="shared" si="37"/>
        <v>0,</v>
      </c>
      <c r="E135" t="str">
        <f t="shared" si="37"/>
        <v>0,</v>
      </c>
      <c r="F135" t="str">
        <f t="shared" si="37"/>
        <v>0,</v>
      </c>
      <c r="G135" t="str">
        <f t="shared" si="37"/>
        <v>27.3,</v>
      </c>
      <c r="H135" t="str">
        <f t="shared" si="37"/>
        <v>-32.9101756677741,</v>
      </c>
      <c r="I135" t="str">
        <f t="shared" si="37"/>
        <v>6.61614429354078,</v>
      </c>
      <c r="J135" t="str">
        <f t="shared" si="37"/>
        <v>0,</v>
      </c>
      <c r="K135" t="str">
        <f t="shared" si="37"/>
        <v>0,</v>
      </c>
      <c r="L135" t="str">
        <f t="shared" si="37"/>
        <v>0,</v>
      </c>
      <c r="M135" t="str">
        <f t="shared" si="37"/>
        <v>0,</v>
      </c>
      <c r="N135" t="str">
        <f t="shared" si="38"/>
        <v>0),</v>
      </c>
    </row>
    <row r="136" spans="1:21" x14ac:dyDescent="0.25">
      <c r="B136" t="str">
        <f t="shared" si="36"/>
        <v>(0,</v>
      </c>
      <c r="C136" t="str">
        <f t="shared" si="37"/>
        <v>0,</v>
      </c>
      <c r="D136" t="str">
        <f t="shared" si="37"/>
        <v>0,</v>
      </c>
      <c r="E136" t="str">
        <f t="shared" si="37"/>
        <v>0,</v>
      </c>
      <c r="F136" t="str">
        <f t="shared" si="37"/>
        <v>0,</v>
      </c>
      <c r="G136" t="str">
        <f t="shared" si="37"/>
        <v>0,</v>
      </c>
      <c r="H136" t="str">
        <f t="shared" si="37"/>
        <v>27.3,</v>
      </c>
      <c r="I136" t="str">
        <f t="shared" si="37"/>
        <v>-33.9161442935408,</v>
      </c>
      <c r="J136" t="str">
        <f t="shared" si="37"/>
        <v>7.76295219250238,</v>
      </c>
      <c r="K136" t="str">
        <f t="shared" si="37"/>
        <v>0,</v>
      </c>
      <c r="L136" t="str">
        <f t="shared" si="37"/>
        <v>0,</v>
      </c>
      <c r="M136" t="str">
        <f t="shared" si="37"/>
        <v>0,</v>
      </c>
      <c r="N136" t="str">
        <f t="shared" si="38"/>
        <v>0),</v>
      </c>
    </row>
    <row r="137" spans="1:21" x14ac:dyDescent="0.25">
      <c r="B137" t="str">
        <f>CONCATENATE(A125,B112,B125)</f>
        <v>(0,</v>
      </c>
      <c r="C137" t="str">
        <f t="shared" si="37"/>
        <v>0,</v>
      </c>
      <c r="D137" t="str">
        <f t="shared" si="37"/>
        <v>0,</v>
      </c>
      <c r="E137" t="str">
        <f t="shared" si="37"/>
        <v>0,</v>
      </c>
      <c r="F137" t="str">
        <f t="shared" si="37"/>
        <v>0,</v>
      </c>
      <c r="G137" t="str">
        <f t="shared" si="37"/>
        <v>0,</v>
      </c>
      <c r="H137" t="str">
        <f t="shared" si="37"/>
        <v>0,</v>
      </c>
      <c r="I137" t="str">
        <f t="shared" si="37"/>
        <v>27.3,</v>
      </c>
      <c r="J137" t="str">
        <f t="shared" si="37"/>
        <v>-35.0629521925024,</v>
      </c>
      <c r="K137" t="str">
        <f t="shared" si="37"/>
        <v>9.06443709938776,</v>
      </c>
      <c r="L137" t="str">
        <f t="shared" si="37"/>
        <v>0,</v>
      </c>
      <c r="M137" t="str">
        <f t="shared" si="37"/>
        <v>0,</v>
      </c>
      <c r="N137" t="str">
        <f t="shared" si="38"/>
        <v>0),</v>
      </c>
    </row>
    <row r="138" spans="1:21" x14ac:dyDescent="0.25">
      <c r="B138" t="str">
        <f>CONCATENATE(A126,B113,B126)</f>
        <v>(0,</v>
      </c>
      <c r="C138" t="str">
        <f t="shared" si="37"/>
        <v>0,</v>
      </c>
      <c r="D138" t="str">
        <f t="shared" si="37"/>
        <v>0,</v>
      </c>
      <c r="E138" t="str">
        <f t="shared" si="37"/>
        <v>0,</v>
      </c>
      <c r="F138" t="str">
        <f t="shared" si="37"/>
        <v>0,</v>
      </c>
      <c r="G138" t="str">
        <f t="shared" si="37"/>
        <v>0,</v>
      </c>
      <c r="H138" t="str">
        <f t="shared" si="37"/>
        <v>0,</v>
      </c>
      <c r="I138" t="str">
        <f t="shared" si="37"/>
        <v>0,</v>
      </c>
      <c r="J138" t="str">
        <f t="shared" si="37"/>
        <v>27.3,</v>
      </c>
      <c r="K138" t="str">
        <f t="shared" si="37"/>
        <v>-36.3644370993878,</v>
      </c>
      <c r="L138" t="str">
        <f t="shared" si="37"/>
        <v>10.5351211149803,</v>
      </c>
      <c r="M138" t="str">
        <f t="shared" si="37"/>
        <v>0,</v>
      </c>
      <c r="N138" t="str">
        <f t="shared" si="38"/>
        <v>0),</v>
      </c>
    </row>
    <row r="139" spans="1:21" x14ac:dyDescent="0.25">
      <c r="B139" t="str">
        <f>CONCATENATE(A127,B114,B127)</f>
        <v>(0,</v>
      </c>
      <c r="C139" t="str">
        <f t="shared" si="37"/>
        <v>0,</v>
      </c>
      <c r="D139" t="str">
        <f t="shared" si="37"/>
        <v>0,</v>
      </c>
      <c r="E139" t="str">
        <f t="shared" si="37"/>
        <v>0,</v>
      </c>
      <c r="F139" t="str">
        <f t="shared" si="37"/>
        <v>0,</v>
      </c>
      <c r="G139" t="str">
        <f t="shared" si="37"/>
        <v>0,</v>
      </c>
      <c r="H139" t="str">
        <f t="shared" si="37"/>
        <v>0,</v>
      </c>
      <c r="I139" t="str">
        <f t="shared" si="37"/>
        <v>0,</v>
      </c>
      <c r="J139" t="str">
        <f t="shared" si="37"/>
        <v>0,</v>
      </c>
      <c r="K139" t="str">
        <f t="shared" si="37"/>
        <v>27.3,</v>
      </c>
      <c r="L139" t="str">
        <f t="shared" si="37"/>
        <v>-37.8351211149803,</v>
      </c>
      <c r="M139" t="str">
        <f t="shared" si="37"/>
        <v>12.1393959607314,</v>
      </c>
      <c r="N139" t="str">
        <f t="shared" si="38"/>
        <v>0),</v>
      </c>
    </row>
    <row r="140" spans="1:21" x14ac:dyDescent="0.25">
      <c r="B140" t="str">
        <f>CONCATENATE(A128,B115,B128)</f>
        <v>(0,</v>
      </c>
      <c r="C140" t="str">
        <f t="shared" si="37"/>
        <v>0,</v>
      </c>
      <c r="D140" t="str">
        <f t="shared" si="37"/>
        <v>0,</v>
      </c>
      <c r="E140" t="str">
        <f t="shared" si="37"/>
        <v>0,</v>
      </c>
      <c r="F140" t="str">
        <f t="shared" si="37"/>
        <v>0,</v>
      </c>
      <c r="G140" t="str">
        <f t="shared" si="37"/>
        <v>0,</v>
      </c>
      <c r="H140" t="str">
        <f t="shared" si="37"/>
        <v>0,</v>
      </c>
      <c r="I140" t="str">
        <f t="shared" si="37"/>
        <v>0,</v>
      </c>
      <c r="J140" t="str">
        <f t="shared" si="37"/>
        <v>0,</v>
      </c>
      <c r="K140" t="str">
        <f t="shared" si="37"/>
        <v>0,</v>
      </c>
      <c r="L140" t="str">
        <f t="shared" si="37"/>
        <v>27.3,</v>
      </c>
      <c r="M140" t="str">
        <f t="shared" si="37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56" si="39">ABS(C145)</f>
        <v>0</v>
      </c>
      <c r="N145">
        <f t="shared" si="39"/>
        <v>2281023871812.6201</v>
      </c>
      <c r="O145">
        <f t="shared" si="39"/>
        <v>0</v>
      </c>
      <c r="P145">
        <f t="shared" si="39"/>
        <v>8982902.5538867395</v>
      </c>
      <c r="Q145">
        <f t="shared" si="39"/>
        <v>230.912190491839</v>
      </c>
      <c r="R145">
        <f t="shared" si="39"/>
        <v>56.247471779784497</v>
      </c>
      <c r="S145">
        <f t="shared" si="39"/>
        <v>0</v>
      </c>
      <c r="T145">
        <f t="shared" si="39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40">ABS(B146)</f>
        <v>0</v>
      </c>
      <c r="M146">
        <f t="shared" si="39"/>
        <v>0</v>
      </c>
      <c r="N146">
        <f t="shared" si="39"/>
        <v>173976200911.439</v>
      </c>
      <c r="O146">
        <f t="shared" si="39"/>
        <v>0</v>
      </c>
      <c r="P146">
        <f t="shared" si="39"/>
        <v>2368041.6102323802</v>
      </c>
      <c r="Q146">
        <f t="shared" si="39"/>
        <v>154.18629828884801</v>
      </c>
      <c r="R146">
        <f t="shared" si="39"/>
        <v>42.749427739671503</v>
      </c>
      <c r="S146">
        <f t="shared" si="39"/>
        <v>0</v>
      </c>
      <c r="T146">
        <f t="shared" si="39"/>
        <v>0</v>
      </c>
      <c r="U146">
        <f t="shared" ref="U146:U156" si="41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40"/>
        <v>0</v>
      </c>
      <c r="M147">
        <f t="shared" si="39"/>
        <v>0</v>
      </c>
      <c r="N147">
        <f t="shared" si="39"/>
        <v>11866005099.0147</v>
      </c>
      <c r="O147">
        <f t="shared" si="39"/>
        <v>0</v>
      </c>
      <c r="P147">
        <f t="shared" si="39"/>
        <v>545554.60003329802</v>
      </c>
      <c r="Q147">
        <f t="shared" si="39"/>
        <v>88.356274090607997</v>
      </c>
      <c r="R147">
        <f t="shared" si="39"/>
        <v>27.908216217828901</v>
      </c>
      <c r="S147">
        <f t="shared" si="39"/>
        <v>0</v>
      </c>
      <c r="T147">
        <f t="shared" si="39"/>
        <v>0</v>
      </c>
      <c r="U147">
        <f t="shared" si="41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40"/>
        <v>0</v>
      </c>
      <c r="M148">
        <f t="shared" si="39"/>
        <v>0</v>
      </c>
      <c r="N148">
        <f t="shared" si="39"/>
        <v>726456369.85671699</v>
      </c>
      <c r="O148">
        <f t="shared" si="39"/>
        <v>0</v>
      </c>
      <c r="P148">
        <f t="shared" si="39"/>
        <v>110337.775463297</v>
      </c>
      <c r="Q148">
        <f t="shared" si="39"/>
        <v>43.675661641815303</v>
      </c>
      <c r="R148">
        <f t="shared" si="39"/>
        <v>15.7294551894571</v>
      </c>
      <c r="S148">
        <f t="shared" si="39"/>
        <v>0</v>
      </c>
      <c r="T148">
        <f t="shared" si="39"/>
        <v>0</v>
      </c>
      <c r="U148">
        <f t="shared" si="41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40"/>
        <v>0</v>
      </c>
      <c r="M149">
        <f t="shared" si="39"/>
        <v>0</v>
      </c>
      <c r="N149">
        <f t="shared" si="39"/>
        <v>40064663.368662097</v>
      </c>
      <c r="O149">
        <f t="shared" si="39"/>
        <v>0</v>
      </c>
      <c r="P149">
        <f t="shared" si="39"/>
        <v>19674.945747816699</v>
      </c>
      <c r="Q149">
        <f t="shared" si="39"/>
        <v>18.7138380749528</v>
      </c>
      <c r="R149">
        <f t="shared" si="39"/>
        <v>7.6908449107804504</v>
      </c>
      <c r="S149">
        <f t="shared" si="39"/>
        <v>0</v>
      </c>
      <c r="T149">
        <f t="shared" si="39"/>
        <v>0</v>
      </c>
      <c r="U149">
        <f t="shared" si="41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40"/>
        <v>0</v>
      </c>
      <c r="M150">
        <f t="shared" si="39"/>
        <v>0</v>
      </c>
      <c r="N150">
        <f t="shared" si="39"/>
        <v>4038981.99584341</v>
      </c>
      <c r="O150">
        <f t="shared" si="39"/>
        <v>0</v>
      </c>
      <c r="P150">
        <f t="shared" si="39"/>
        <v>6280.7012320918902</v>
      </c>
      <c r="Q150">
        <f t="shared" si="39"/>
        <v>14.0822561379519</v>
      </c>
      <c r="R150">
        <f t="shared" si="39"/>
        <v>6.5838121608262998</v>
      </c>
      <c r="S150">
        <f t="shared" si="39"/>
        <v>0</v>
      </c>
      <c r="T150">
        <f t="shared" si="39"/>
        <v>0</v>
      </c>
      <c r="U150">
        <f t="shared" si="41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40"/>
        <v>0</v>
      </c>
      <c r="M151">
        <f t="shared" si="39"/>
        <v>0</v>
      </c>
      <c r="N151">
        <f t="shared" si="39"/>
        <v>369253.91777445498</v>
      </c>
      <c r="O151">
        <f t="shared" si="39"/>
        <v>0</v>
      </c>
      <c r="P151">
        <f t="shared" si="39"/>
        <v>1781.83894257115</v>
      </c>
      <c r="Q151">
        <f t="shared" si="39"/>
        <v>9.2606804945486907</v>
      </c>
      <c r="R151">
        <f t="shared" si="39"/>
        <v>4.9281190535120203</v>
      </c>
      <c r="S151">
        <f t="shared" si="39"/>
        <v>0</v>
      </c>
      <c r="T151">
        <f t="shared" si="39"/>
        <v>0</v>
      </c>
      <c r="U151">
        <f t="shared" si="41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40"/>
        <v>0</v>
      </c>
      <c r="M152">
        <f t="shared" si="39"/>
        <v>0</v>
      </c>
      <c r="N152">
        <f t="shared" si="39"/>
        <v>30709.230877995698</v>
      </c>
      <c r="O152">
        <f t="shared" si="39"/>
        <v>0</v>
      </c>
      <c r="P152">
        <f t="shared" si="39"/>
        <v>450.90495805045299</v>
      </c>
      <c r="Q152">
        <f t="shared" si="39"/>
        <v>5.3391830552481698</v>
      </c>
      <c r="R152">
        <f t="shared" si="39"/>
        <v>3.2341215169632198</v>
      </c>
      <c r="S152">
        <f t="shared" si="39"/>
        <v>0</v>
      </c>
      <c r="T152">
        <f t="shared" si="39"/>
        <v>0</v>
      </c>
      <c r="U152">
        <f t="shared" si="41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40"/>
        <v>0</v>
      </c>
      <c r="M153">
        <f t="shared" si="39"/>
        <v>0</v>
      </c>
      <c r="N153">
        <f t="shared" si="39"/>
        <v>2330.1711433740002</v>
      </c>
      <c r="O153">
        <f t="shared" si="39"/>
        <v>0</v>
      </c>
      <c r="P153">
        <f t="shared" si="39"/>
        <v>102.115245560362</v>
      </c>
      <c r="Q153">
        <f t="shared" si="39"/>
        <v>2.70379901956382</v>
      </c>
      <c r="R153">
        <f t="shared" si="39"/>
        <v>1.8629656998683699</v>
      </c>
      <c r="S153">
        <f t="shared" si="39"/>
        <v>0</v>
      </c>
      <c r="T153">
        <f t="shared" si="39"/>
        <v>0</v>
      </c>
      <c r="U153">
        <f t="shared" si="41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40"/>
        <v>0</v>
      </c>
      <c r="M154">
        <f t="shared" si="39"/>
        <v>0</v>
      </c>
      <c r="N154">
        <f t="shared" si="39"/>
        <v>161.76284671481901</v>
      </c>
      <c r="O154">
        <f t="shared" si="39"/>
        <v>0</v>
      </c>
      <c r="P154">
        <f t="shared" si="39"/>
        <v>20.741427431102199</v>
      </c>
      <c r="Q154">
        <f t="shared" si="39"/>
        <v>1.20087628853823</v>
      </c>
      <c r="R154">
        <f t="shared" si="39"/>
        <v>0.93960082452307903</v>
      </c>
      <c r="S154">
        <f t="shared" si="39"/>
        <v>0</v>
      </c>
      <c r="T154">
        <f t="shared" si="39"/>
        <v>0</v>
      </c>
      <c r="U154">
        <f t="shared" si="41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40"/>
        <v>0</v>
      </c>
      <c r="M155">
        <f t="shared" si="39"/>
        <v>0</v>
      </c>
      <c r="N155">
        <f t="shared" si="39"/>
        <v>10.2907294663305</v>
      </c>
      <c r="O155">
        <f t="shared" si="39"/>
        <v>0</v>
      </c>
      <c r="P155">
        <f t="shared" si="39"/>
        <v>3.7671290128240198</v>
      </c>
      <c r="Q155">
        <f t="shared" si="39"/>
        <v>0.46262014061172302</v>
      </c>
      <c r="R155">
        <f t="shared" si="39"/>
        <v>0.40981937859697298</v>
      </c>
      <c r="S155">
        <f t="shared" si="39"/>
        <v>0</v>
      </c>
      <c r="T155">
        <f t="shared" si="39"/>
        <v>0</v>
      </c>
      <c r="U155">
        <f t="shared" si="41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40"/>
        <v>0</v>
      </c>
      <c r="M156">
        <f t="shared" si="39"/>
        <v>0</v>
      </c>
      <c r="N156">
        <f t="shared" si="39"/>
        <v>0.59355053303474103</v>
      </c>
      <c r="O156">
        <f t="shared" si="39"/>
        <v>0</v>
      </c>
      <c r="P156">
        <f t="shared" si="39"/>
        <v>0.59354838763375795</v>
      </c>
      <c r="Q156">
        <f t="shared" si="39"/>
        <v>0.14838709677423401</v>
      </c>
      <c r="R156">
        <f t="shared" si="39"/>
        <v>0.148387096774208</v>
      </c>
      <c r="S156">
        <f t="shared" si="39"/>
        <v>0</v>
      </c>
      <c r="T156">
        <f t="shared" si="39"/>
        <v>0</v>
      </c>
      <c r="U156">
        <f t="shared" si="41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>
        <v>5.1061363948979297E-4</v>
      </c>
      <c r="C161">
        <v>1.04085436416424E-2</v>
      </c>
      <c r="D161">
        <v>7.1043222861402994E-2</v>
      </c>
      <c r="E161">
        <v>0.28020163200411302</v>
      </c>
      <c r="F161">
        <v>0.51923218376132096</v>
      </c>
      <c r="G161">
        <v>7.7371112184274005E-2</v>
      </c>
      <c r="H161">
        <v>4.1047833175598999E-2</v>
      </c>
      <c r="I161">
        <v>1.8229284713287101E-4</v>
      </c>
      <c r="J161">
        <v>2.5658850253229199E-6</v>
      </c>
      <c r="K161">
        <f>SUM(B161:J161)</f>
        <v>1.0000000000000004</v>
      </c>
    </row>
    <row r="162" spans="1:11" x14ac:dyDescent="0.25">
      <c r="A162">
        <v>2</v>
      </c>
      <c r="B162">
        <v>2.6838870926042398E-4</v>
      </c>
      <c r="C162">
        <v>5.3464033877469296E-3</v>
      </c>
      <c r="D162">
        <v>4.1478774335046098E-2</v>
      </c>
      <c r="E162">
        <v>0.22270341454977999</v>
      </c>
      <c r="F162">
        <v>0.49292671309735703</v>
      </c>
      <c r="G162">
        <v>0.148989898340359</v>
      </c>
      <c r="H162">
        <v>8.7029986006012194E-2</v>
      </c>
      <c r="I162">
        <v>1.20624413971925E-3</v>
      </c>
      <c r="J162">
        <v>5.0177434719480199E-5</v>
      </c>
      <c r="K162">
        <f t="shared" ref="K162:K172" si="42">SUM(B162:J162)</f>
        <v>1.0000000000000004</v>
      </c>
    </row>
    <row r="163" spans="1:11" x14ac:dyDescent="0.25">
      <c r="A163">
        <v>3</v>
      </c>
      <c r="B163">
        <v>1.8792093720979499E-4</v>
      </c>
      <c r="C163">
        <v>3.47622195828801E-3</v>
      </c>
      <c r="D163">
        <v>2.6050544357679999E-2</v>
      </c>
      <c r="E163">
        <v>0.15814142175874199</v>
      </c>
      <c r="F163">
        <v>0.399110044955577</v>
      </c>
      <c r="G163">
        <v>0.24522677802972401</v>
      </c>
      <c r="H163">
        <v>0.15957213269602299</v>
      </c>
      <c r="I163">
        <v>7.3289636915942003E-3</v>
      </c>
      <c r="J163">
        <v>9.0597161516168395E-4</v>
      </c>
      <c r="K163">
        <f t="shared" si="42"/>
        <v>0.99999999999999978</v>
      </c>
    </row>
    <row r="164" spans="1:11" x14ac:dyDescent="0.25">
      <c r="A164">
        <v>4</v>
      </c>
      <c r="B164">
        <v>1.4308078156148699E-4</v>
      </c>
      <c r="C164">
        <v>2.4621890943719799E-3</v>
      </c>
      <c r="D164">
        <v>1.7163930529238699E-2</v>
      </c>
      <c r="E164">
        <v>0.101509760926175</v>
      </c>
      <c r="F164">
        <v>0.27267519681065</v>
      </c>
      <c r="G164">
        <v>0.32250086790057703</v>
      </c>
      <c r="H164">
        <v>0.23524853335493301</v>
      </c>
      <c r="I164">
        <v>3.5575952645799498E-2</v>
      </c>
      <c r="J164">
        <v>1.2720487956693101E-2</v>
      </c>
      <c r="K164">
        <f t="shared" si="42"/>
        <v>0.99999999999999978</v>
      </c>
    </row>
    <row r="165" spans="1:11" x14ac:dyDescent="0.25">
      <c r="A165">
        <v>5</v>
      </c>
      <c r="B165">
        <v>1.0045168653596101E-4</v>
      </c>
      <c r="C165">
        <v>1.6152002126668999E-3</v>
      </c>
      <c r="D165">
        <v>1.0493151563262901E-2</v>
      </c>
      <c r="E165">
        <v>5.5804071059881E-2</v>
      </c>
      <c r="F165">
        <v>0.14727388230323901</v>
      </c>
      <c r="G165">
        <v>0.29970538213854497</v>
      </c>
      <c r="H165">
        <v>0.24589566535513499</v>
      </c>
      <c r="I165">
        <v>0.119295936412285</v>
      </c>
      <c r="J165">
        <v>0.11981625926844899</v>
      </c>
      <c r="K165">
        <f t="shared" si="42"/>
        <v>0.99999999999999967</v>
      </c>
    </row>
    <row r="166" spans="1:11" x14ac:dyDescent="0.25">
      <c r="A166">
        <v>6</v>
      </c>
      <c r="B166">
        <v>6.3599011751648498E-7</v>
      </c>
      <c r="C166">
        <v>7.5054918197599703E-5</v>
      </c>
      <c r="D166">
        <v>1.8005323325930101E-3</v>
      </c>
      <c r="E166">
        <v>2.4832082732603501E-2</v>
      </c>
      <c r="F166">
        <v>9.1463584610422102E-2</v>
      </c>
      <c r="G166">
        <v>0.37182629502790698</v>
      </c>
      <c r="H166">
        <v>0.29603739194121298</v>
      </c>
      <c r="I166">
        <v>0.10896758900303199</v>
      </c>
      <c r="J166">
        <v>0.104996833443915</v>
      </c>
      <c r="K166">
        <f t="shared" si="42"/>
        <v>1.0000000000000007</v>
      </c>
    </row>
    <row r="167" spans="1:11" x14ac:dyDescent="0.25">
      <c r="A167">
        <v>7</v>
      </c>
      <c r="B167">
        <v>3.8054415672454296E-9</v>
      </c>
      <c r="C167">
        <v>3.1149857860239398E-6</v>
      </c>
      <c r="D167">
        <v>2.66203224685723E-4</v>
      </c>
      <c r="E167">
        <v>9.3058789880881808E-3</v>
      </c>
      <c r="F167">
        <v>4.7305709985197002E-2</v>
      </c>
      <c r="G167">
        <v>0.411101363972603</v>
      </c>
      <c r="H167">
        <v>0.33475741365436001</v>
      </c>
      <c r="I167">
        <v>0.10323474648717899</v>
      </c>
      <c r="J167">
        <v>9.4025564896659503E-2</v>
      </c>
      <c r="K167">
        <f t="shared" si="42"/>
        <v>1</v>
      </c>
    </row>
    <row r="168" spans="1:11" x14ac:dyDescent="0.25">
      <c r="A168">
        <v>8</v>
      </c>
      <c r="B168">
        <v>2.3114258769459E-11</v>
      </c>
      <c r="C168">
        <v>1.24346135890643E-7</v>
      </c>
      <c r="D168">
        <v>3.65783590271044E-5</v>
      </c>
      <c r="E168">
        <v>3.1701680845230501E-3</v>
      </c>
      <c r="F168">
        <v>2.1992149483579599E-2</v>
      </c>
      <c r="G168">
        <v>0.415905628128034</v>
      </c>
      <c r="H168">
        <v>0.35821837010257901</v>
      </c>
      <c r="I168">
        <v>0.108422598609246</v>
      </c>
      <c r="J168">
        <v>9.2254382863761003E-2</v>
      </c>
      <c r="K168">
        <f t="shared" si="42"/>
        <v>0.99999999999999978</v>
      </c>
    </row>
    <row r="169" spans="1:11" x14ac:dyDescent="0.25">
      <c r="A169">
        <v>9</v>
      </c>
      <c r="B169">
        <v>1.4908223480494001E-13</v>
      </c>
      <c r="C169">
        <v>5.0061083484433504E-9</v>
      </c>
      <c r="D169">
        <v>4.9052186089562704E-6</v>
      </c>
      <c r="E169">
        <v>1.0307696536559199E-3</v>
      </c>
      <c r="F169">
        <v>9.6413265992894293E-3</v>
      </c>
      <c r="G169">
        <v>0.39256015518877402</v>
      </c>
      <c r="H169">
        <v>0.36436653774307498</v>
      </c>
      <c r="I169">
        <v>0.12892316902450601</v>
      </c>
      <c r="J169">
        <v>0.103473131565833</v>
      </c>
      <c r="K169">
        <f t="shared" si="42"/>
        <v>0.99999999999999978</v>
      </c>
    </row>
    <row r="170" spans="1:11" x14ac:dyDescent="0.25">
      <c r="A170">
        <v>10</v>
      </c>
      <c r="B170">
        <v>1.04362644462048E-15</v>
      </c>
      <c r="C170">
        <v>2.0822145695039999E-10</v>
      </c>
      <c r="D170">
        <v>6.5819233447887997E-7</v>
      </c>
      <c r="E170">
        <v>3.2701140071411802E-4</v>
      </c>
      <c r="F170">
        <v>4.0642791139048704E-3</v>
      </c>
      <c r="G170">
        <v>0.34518985517296003</v>
      </c>
      <c r="H170">
        <v>0.34841338096310098</v>
      </c>
      <c r="I170">
        <v>0.16782044440372099</v>
      </c>
      <c r="J170">
        <v>0.13418437054504201</v>
      </c>
      <c r="K170">
        <f t="shared" si="42"/>
        <v>1</v>
      </c>
    </row>
    <row r="171" spans="1:11" x14ac:dyDescent="0.25">
      <c r="A171">
        <v>11</v>
      </c>
      <c r="B171">
        <v>8.1024627000077296E-18</v>
      </c>
      <c r="C171">
        <v>9.1555989012040903E-12</v>
      </c>
      <c r="D171">
        <v>9.0093762439220395E-8</v>
      </c>
      <c r="E171">
        <v>1.0184007426588701E-4</v>
      </c>
      <c r="F171">
        <v>1.64649533293614E-3</v>
      </c>
      <c r="G171">
        <v>0.27631297477862599</v>
      </c>
      <c r="H171">
        <v>0.30403111936919802</v>
      </c>
      <c r="I171">
        <v>0.221527852265233</v>
      </c>
      <c r="J171">
        <v>0.19637962807682299</v>
      </c>
      <c r="K171">
        <f t="shared" si="42"/>
        <v>1</v>
      </c>
    </row>
    <row r="172" spans="1:11" x14ac:dyDescent="0.25">
      <c r="A172">
        <v>12</v>
      </c>
      <c r="B172">
        <v>7.81773652225201E-20</v>
      </c>
      <c r="C172">
        <v>4.6820020125103402E-13</v>
      </c>
      <c r="D172">
        <v>1.3303228644360001E-8</v>
      </c>
      <c r="E172">
        <v>3.1412738639530701E-5</v>
      </c>
      <c r="F172">
        <v>6.3736833890555501E-4</v>
      </c>
      <c r="G172">
        <v>0.19410655648022199</v>
      </c>
      <c r="H172">
        <v>0.23213921028701401</v>
      </c>
      <c r="I172">
        <v>0.26968492269260502</v>
      </c>
      <c r="J172">
        <v>0.303400516158917</v>
      </c>
      <c r="K172">
        <f t="shared" si="42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250.29476665354412</v>
      </c>
      <c r="C176">
        <f t="shared" ref="C176:J187" si="43">E$5/100*EXP(5.372697*(1+E$8)*(1-(E$2+273.15)/$K176))</f>
        <v>24.12821288496087</v>
      </c>
      <c r="D176">
        <f t="shared" si="43"/>
        <v>5.2433939400363929</v>
      </c>
      <c r="E176">
        <f t="shared" si="43"/>
        <v>1.7596723809685502</v>
      </c>
      <c r="F176">
        <f t="shared" si="43"/>
        <v>1.1788245720340749</v>
      </c>
      <c r="G176">
        <f t="shared" si="43"/>
        <v>0.38130386109427616</v>
      </c>
      <c r="H176">
        <f t="shared" si="43"/>
        <v>0.33824729710097412</v>
      </c>
      <c r="I176">
        <f t="shared" si="43"/>
        <v>8.7198326522147526E-2</v>
      </c>
      <c r="J176">
        <f t="shared" si="43"/>
        <v>2.7044816991196912E-2</v>
      </c>
      <c r="K176">
        <v>276.40884744035799</v>
      </c>
    </row>
    <row r="177" spans="1:11" x14ac:dyDescent="0.25">
      <c r="A177">
        <v>2</v>
      </c>
      <c r="B177">
        <f t="shared" ref="B177:B187" si="44">D$5/100*EXP(5.372697*(1+D$8)*(1-(D$2+273.15)/$K177))</f>
        <v>278.56421423477781</v>
      </c>
      <c r="C177">
        <f t="shared" si="43"/>
        <v>29.064832004598298</v>
      </c>
      <c r="D177">
        <f t="shared" si="43"/>
        <v>6.6422315830224896</v>
      </c>
      <c r="E177">
        <f t="shared" si="43"/>
        <v>2.3009694179847346</v>
      </c>
      <c r="F177">
        <f t="shared" si="43"/>
        <v>1.5648360219273234</v>
      </c>
      <c r="G177">
        <f t="shared" si="43"/>
        <v>0.52522261222597111</v>
      </c>
      <c r="H177">
        <f t="shared" si="43"/>
        <v>0.465081598938964</v>
      </c>
      <c r="I177">
        <f t="shared" si="43"/>
        <v>0.12579298303238137</v>
      </c>
      <c r="J177">
        <f t="shared" si="43"/>
        <v>4.0526970831364868E-2</v>
      </c>
      <c r="K177">
        <v>284.52951856861102</v>
      </c>
    </row>
    <row r="178" spans="1:11" x14ac:dyDescent="0.25">
      <c r="A178">
        <v>3</v>
      </c>
      <c r="B178">
        <f t="shared" si="44"/>
        <v>305.73498473521863</v>
      </c>
      <c r="C178">
        <f t="shared" si="43"/>
        <v>34.172735514212079</v>
      </c>
      <c r="D178">
        <f t="shared" si="43"/>
        <v>8.1590092395531535</v>
      </c>
      <c r="E178">
        <f t="shared" si="43"/>
        <v>2.9054745482112749</v>
      </c>
      <c r="F178">
        <f t="shared" si="43"/>
        <v>2.0019982530938156</v>
      </c>
      <c r="G178">
        <f t="shared" si="43"/>
        <v>0.69390464183294109</v>
      </c>
      <c r="H178">
        <f t="shared" si="43"/>
        <v>0.6134927126519365</v>
      </c>
      <c r="I178">
        <f t="shared" si="43"/>
        <v>0.17301099286133212</v>
      </c>
      <c r="J178">
        <f t="shared" si="43"/>
        <v>5.7613252271801071E-2</v>
      </c>
      <c r="K178">
        <v>291.99052032730702</v>
      </c>
    </row>
    <row r="179" spans="1:11" x14ac:dyDescent="0.25">
      <c r="A179">
        <v>4</v>
      </c>
      <c r="B179">
        <f t="shared" si="44"/>
        <v>338.27397718581256</v>
      </c>
      <c r="C179">
        <f t="shared" si="43"/>
        <v>40.746132980269778</v>
      </c>
      <c r="D179">
        <f t="shared" si="43"/>
        <v>10.202427096556839</v>
      </c>
      <c r="E179">
        <f t="shared" si="43"/>
        <v>3.7437311514397567</v>
      </c>
      <c r="F179">
        <f t="shared" si="43"/>
        <v>2.6165738693853764</v>
      </c>
      <c r="G179">
        <f t="shared" si="43"/>
        <v>0.93916266187375774</v>
      </c>
      <c r="H179">
        <f t="shared" si="43"/>
        <v>0.82892588270022605</v>
      </c>
      <c r="I179">
        <f t="shared" si="43"/>
        <v>0.24461842279754917</v>
      </c>
      <c r="J179">
        <f t="shared" si="43"/>
        <v>8.4439109971510412E-2</v>
      </c>
      <c r="K179">
        <v>300.554897590964</v>
      </c>
    </row>
    <row r="180" spans="1:11" x14ac:dyDescent="0.25">
      <c r="A180">
        <v>5</v>
      </c>
      <c r="B180">
        <f t="shared" si="44"/>
        <v>389.71416557455058</v>
      </c>
      <c r="C180">
        <f t="shared" si="43"/>
        <v>52.122977618437581</v>
      </c>
      <c r="D180">
        <f t="shared" si="43"/>
        <v>13.94961902283967</v>
      </c>
      <c r="E180">
        <f t="shared" si="43"/>
        <v>5.3381292895625503</v>
      </c>
      <c r="F180">
        <f t="shared" si="43"/>
        <v>3.8060081204700973</v>
      </c>
      <c r="G180">
        <f t="shared" si="43"/>
        <v>1.4345400422446033</v>
      </c>
      <c r="H180">
        <f t="shared" si="43"/>
        <v>1.2631623882025309</v>
      </c>
      <c r="I180">
        <f t="shared" si="43"/>
        <v>0.39720860856931162</v>
      </c>
      <c r="J180">
        <f t="shared" si="43"/>
        <v>0.14418358998667616</v>
      </c>
      <c r="K180">
        <v>313.42188296291602</v>
      </c>
    </row>
    <row r="181" spans="1:11" x14ac:dyDescent="0.25">
      <c r="A181">
        <v>6</v>
      </c>
      <c r="B181">
        <f t="shared" si="44"/>
        <v>428.81827568676994</v>
      </c>
      <c r="C181">
        <f t="shared" si="43"/>
        <v>61.555562823137372</v>
      </c>
      <c r="D181">
        <f t="shared" si="43"/>
        <v>17.23188268985098</v>
      </c>
      <c r="E181">
        <f t="shared" si="43"/>
        <v>6.7837611974001666</v>
      </c>
      <c r="F181">
        <f t="shared" si="43"/>
        <v>4.9022521031342281</v>
      </c>
      <c r="G181">
        <f t="shared" si="43"/>
        <v>1.9097767114095388</v>
      </c>
      <c r="H181">
        <f t="shared" si="43"/>
        <v>1.6789372143923524</v>
      </c>
      <c r="I181">
        <f t="shared" si="43"/>
        <v>0.55109669702979291</v>
      </c>
      <c r="J181">
        <f t="shared" si="43"/>
        <v>0.20695664139813491</v>
      </c>
      <c r="K181">
        <v>322.75530726017899</v>
      </c>
    </row>
    <row r="182" spans="1:11" x14ac:dyDescent="0.25">
      <c r="A182">
        <v>7</v>
      </c>
      <c r="B182">
        <f t="shared" si="44"/>
        <v>447.1989299606301</v>
      </c>
      <c r="C182">
        <f t="shared" si="43"/>
        <v>66.217798801315567</v>
      </c>
      <c r="D182">
        <f t="shared" si="43"/>
        <v>18.906601216214948</v>
      </c>
      <c r="E182">
        <f t="shared" si="43"/>
        <v>7.5362445603553834</v>
      </c>
      <c r="F182">
        <f t="shared" si="43"/>
        <v>5.4782946008119335</v>
      </c>
      <c r="G182">
        <f t="shared" si="43"/>
        <v>2.1653511491046471</v>
      </c>
      <c r="H182">
        <f t="shared" si="43"/>
        <v>1.9022837397060932</v>
      </c>
      <c r="I182">
        <f t="shared" si="43"/>
        <v>0.63627903218350901</v>
      </c>
      <c r="J182">
        <f t="shared" si="43"/>
        <v>0.24253549361038584</v>
      </c>
      <c r="K182">
        <v>327.02989253721699</v>
      </c>
    </row>
    <row r="183" spans="1:11" x14ac:dyDescent="0.25">
      <c r="A183">
        <v>8</v>
      </c>
      <c r="B183">
        <f t="shared" si="44"/>
        <v>458.44826756293094</v>
      </c>
      <c r="C183">
        <f t="shared" si="43"/>
        <v>69.142273973000144</v>
      </c>
      <c r="D183">
        <f t="shared" si="43"/>
        <v>19.973642312863131</v>
      </c>
      <c r="E183">
        <f t="shared" si="43"/>
        <v>8.0204263617605918</v>
      </c>
      <c r="F183">
        <f t="shared" si="43"/>
        <v>5.8506802881485607</v>
      </c>
      <c r="G183">
        <f t="shared" si="43"/>
        <v>2.3324705905871035</v>
      </c>
      <c r="H183">
        <f t="shared" si="43"/>
        <v>2.0482485394862833</v>
      </c>
      <c r="I183">
        <f t="shared" si="43"/>
        <v>0.69278173805711496</v>
      </c>
      <c r="J183">
        <f t="shared" si="43"/>
        <v>0.26641434724586383</v>
      </c>
      <c r="K183">
        <v>329.613963045486</v>
      </c>
    </row>
    <row r="184" spans="1:11" x14ac:dyDescent="0.25">
      <c r="A184">
        <v>9</v>
      </c>
      <c r="B184">
        <f t="shared" si="44"/>
        <v>468.41020555171895</v>
      </c>
      <c r="C184">
        <f t="shared" si="43"/>
        <v>71.776790868684145</v>
      </c>
      <c r="D184">
        <f t="shared" si="43"/>
        <v>20.945409040168293</v>
      </c>
      <c r="E184">
        <f t="shared" si="43"/>
        <v>8.4644116945192653</v>
      </c>
      <c r="F184">
        <f t="shared" si="43"/>
        <v>6.1932644894013427</v>
      </c>
      <c r="G184">
        <f t="shared" si="43"/>
        <v>2.4874491706606223</v>
      </c>
      <c r="H184">
        <f t="shared" si="43"/>
        <v>2.1835569498080889</v>
      </c>
      <c r="I184">
        <f t="shared" si="43"/>
        <v>0.7457058018906173</v>
      </c>
      <c r="J184">
        <f t="shared" si="43"/>
        <v>0.28896533103342048</v>
      </c>
      <c r="K184">
        <v>331.88309069264898</v>
      </c>
    </row>
    <row r="185" spans="1:11" x14ac:dyDescent="0.25">
      <c r="A185">
        <v>10</v>
      </c>
      <c r="B185">
        <f t="shared" si="44"/>
        <v>481.99277611208657</v>
      </c>
      <c r="C185">
        <f t="shared" si="43"/>
        <v>75.436063088192569</v>
      </c>
      <c r="D185">
        <f t="shared" si="43"/>
        <v>22.311195474599572</v>
      </c>
      <c r="E185">
        <f t="shared" si="43"/>
        <v>9.0930811976349695</v>
      </c>
      <c r="F185">
        <f t="shared" si="43"/>
        <v>6.6800709189254928</v>
      </c>
      <c r="G185">
        <f t="shared" si="43"/>
        <v>2.7095905986746036</v>
      </c>
      <c r="H185">
        <f t="shared" si="43"/>
        <v>2.3774222662140452</v>
      </c>
      <c r="I185">
        <f t="shared" si="43"/>
        <v>0.82239369175666632</v>
      </c>
      <c r="J185">
        <f t="shared" si="43"/>
        <v>0.32193536561288261</v>
      </c>
      <c r="K185">
        <v>334.94920893260701</v>
      </c>
    </row>
    <row r="186" spans="1:11" x14ac:dyDescent="0.25">
      <c r="A186">
        <v>11</v>
      </c>
      <c r="B186">
        <f t="shared" si="44"/>
        <v>504.12990129006556</v>
      </c>
      <c r="C186">
        <f t="shared" si="43"/>
        <v>81.564921294905261</v>
      </c>
      <c r="D186">
        <f t="shared" si="43"/>
        <v>24.638824901959847</v>
      </c>
      <c r="E186">
        <f t="shared" si="43"/>
        <v>10.176296241724133</v>
      </c>
      <c r="F186">
        <f t="shared" si="43"/>
        <v>7.5232314073837712</v>
      </c>
      <c r="G186">
        <f t="shared" si="43"/>
        <v>3.0992973029312627</v>
      </c>
      <c r="H186">
        <f t="shared" si="43"/>
        <v>2.7173130044739175</v>
      </c>
      <c r="I186">
        <f t="shared" si="43"/>
        <v>0.95910012081301366</v>
      </c>
      <c r="J186">
        <f t="shared" si="43"/>
        <v>0.3814888110130652</v>
      </c>
      <c r="K186">
        <v>339.88198514567603</v>
      </c>
    </row>
    <row r="187" spans="1:11" x14ac:dyDescent="0.25">
      <c r="A187">
        <v>12</v>
      </c>
      <c r="B187">
        <f t="shared" si="44"/>
        <v>540.30748982248281</v>
      </c>
      <c r="C187">
        <f t="shared" si="43"/>
        <v>92.015513431610557</v>
      </c>
      <c r="D187">
        <f t="shared" si="43"/>
        <v>28.716696973072658</v>
      </c>
      <c r="E187">
        <f t="shared" si="43"/>
        <v>12.106739994034841</v>
      </c>
      <c r="F187">
        <f t="shared" si="43"/>
        <v>9.0381162243574842</v>
      </c>
      <c r="G187">
        <f t="shared" si="43"/>
        <v>3.8135825805862504</v>
      </c>
      <c r="H187">
        <f t="shared" si="43"/>
        <v>3.339689632162969</v>
      </c>
      <c r="I187">
        <f t="shared" si="43"/>
        <v>1.2160070406088062</v>
      </c>
      <c r="J187">
        <f>L$5/100*EXP(5.372697*(1+L$8)*(1-(L$2+273.15)/$K187))</f>
        <v>0.49573297935327787</v>
      </c>
      <c r="K187">
        <v>347.78682962085298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131.73408771239164</v>
      </c>
      <c r="C191">
        <f t="shared" ref="C191:J191" si="45">C176/($R30*10)</f>
        <v>12.6990594131373</v>
      </c>
      <c r="D191">
        <f t="shared" si="45"/>
        <v>2.7596810210717857</v>
      </c>
      <c r="E191">
        <f t="shared" si="45"/>
        <v>0.92614335840450013</v>
      </c>
      <c r="F191">
        <f t="shared" si="45"/>
        <v>0.62043398528109206</v>
      </c>
      <c r="G191">
        <f t="shared" si="45"/>
        <v>0.200686242681198</v>
      </c>
      <c r="H191">
        <f t="shared" si="45"/>
        <v>0.17802489321103901</v>
      </c>
      <c r="I191">
        <f t="shared" si="45"/>
        <v>4.5893856064288176E-2</v>
      </c>
      <c r="J191">
        <f t="shared" si="45"/>
        <v>1.4234114205893112E-2</v>
      </c>
    </row>
    <row r="192" spans="1:11" x14ac:dyDescent="0.25">
      <c r="A192">
        <v>2</v>
      </c>
      <c r="B192">
        <f t="shared" ref="B192:J202" si="46">B177/($R31*10)</f>
        <v>145.97251400949057</v>
      </c>
      <c r="C192">
        <f t="shared" si="46"/>
        <v>15.230479653064611</v>
      </c>
      <c r="D192">
        <f t="shared" si="46"/>
        <v>3.480645371016152</v>
      </c>
      <c r="E192">
        <f t="shared" si="46"/>
        <v>1.2057481666295553</v>
      </c>
      <c r="F192">
        <f t="shared" si="46"/>
        <v>0.82000140887021322</v>
      </c>
      <c r="G192">
        <f t="shared" si="46"/>
        <v>0.27522582300050891</v>
      </c>
      <c r="H192">
        <f t="shared" si="46"/>
        <v>0.24371088154006848</v>
      </c>
      <c r="I192">
        <f t="shared" si="46"/>
        <v>6.5917720366313381E-2</v>
      </c>
      <c r="J192">
        <f t="shared" si="46"/>
        <v>2.1236840610322202E-2</v>
      </c>
    </row>
    <row r="193" spans="1:12" x14ac:dyDescent="0.25">
      <c r="A193">
        <v>3</v>
      </c>
      <c r="B193">
        <f t="shared" si="46"/>
        <v>159.51390507924452</v>
      </c>
      <c r="C193">
        <f t="shared" si="46"/>
        <v>17.829253311762827</v>
      </c>
      <c r="D193">
        <f t="shared" si="46"/>
        <v>4.2568743858538198</v>
      </c>
      <c r="E193">
        <f t="shared" si="46"/>
        <v>1.5158997642841436</v>
      </c>
      <c r="F193">
        <f t="shared" si="46"/>
        <v>1.0445208277011213</v>
      </c>
      <c r="G193">
        <f t="shared" si="46"/>
        <v>0.36203720443457799</v>
      </c>
      <c r="H193">
        <f t="shared" si="46"/>
        <v>0.32008315442709734</v>
      </c>
      <c r="I193">
        <f t="shared" si="46"/>
        <v>9.0266604971129802E-2</v>
      </c>
      <c r="J193">
        <f t="shared" si="46"/>
        <v>3.0059088141809256E-2</v>
      </c>
    </row>
    <row r="194" spans="1:12" x14ac:dyDescent="0.25">
      <c r="A194">
        <v>4</v>
      </c>
      <c r="B194">
        <f t="shared" si="46"/>
        <v>175.72674139522732</v>
      </c>
      <c r="C194">
        <f t="shared" si="46"/>
        <v>21.166822327412874</v>
      </c>
      <c r="D194">
        <f t="shared" si="46"/>
        <v>5.299962128081475</v>
      </c>
      <c r="E194">
        <f t="shared" si="46"/>
        <v>1.9447954033453283</v>
      </c>
      <c r="F194">
        <f t="shared" si="46"/>
        <v>1.3592591529274685</v>
      </c>
      <c r="G194">
        <f t="shared" si="46"/>
        <v>0.48787670746688716</v>
      </c>
      <c r="H194">
        <f t="shared" si="46"/>
        <v>0.43061084815596162</v>
      </c>
      <c r="I194">
        <f t="shared" si="46"/>
        <v>0.1270745053493762</v>
      </c>
      <c r="J194">
        <f t="shared" si="46"/>
        <v>4.3864472712472943E-2</v>
      </c>
    </row>
    <row r="195" spans="1:12" x14ac:dyDescent="0.25">
      <c r="A195">
        <v>5</v>
      </c>
      <c r="B195">
        <f t="shared" si="46"/>
        <v>201.57629253856066</v>
      </c>
      <c r="C195">
        <f t="shared" si="46"/>
        <v>26.960160837122888</v>
      </c>
      <c r="D195">
        <f t="shared" si="46"/>
        <v>7.2153201842274166</v>
      </c>
      <c r="E195">
        <f t="shared" si="46"/>
        <v>2.7611013566702849</v>
      </c>
      <c r="F195">
        <f t="shared" si="46"/>
        <v>1.9686248898983263</v>
      </c>
      <c r="G195">
        <f t="shared" si="46"/>
        <v>0.74200347012651902</v>
      </c>
      <c r="H195">
        <f t="shared" si="46"/>
        <v>0.65335985596682644</v>
      </c>
      <c r="I195">
        <f t="shared" si="46"/>
        <v>0.20545272857033361</v>
      </c>
      <c r="J195">
        <f t="shared" si="46"/>
        <v>7.4577718958625611E-2</v>
      </c>
    </row>
    <row r="196" spans="1:12" x14ac:dyDescent="0.25">
      <c r="A196">
        <v>6</v>
      </c>
      <c r="B196">
        <f t="shared" si="46"/>
        <v>220.85061408760689</v>
      </c>
      <c r="C196">
        <f t="shared" si="46"/>
        <v>31.702435788740285</v>
      </c>
      <c r="D196">
        <f t="shared" si="46"/>
        <v>8.8747893681635972</v>
      </c>
      <c r="E196">
        <f t="shared" si="46"/>
        <v>3.4937825909357088</v>
      </c>
      <c r="F196">
        <f t="shared" si="46"/>
        <v>2.5247650316571137</v>
      </c>
      <c r="G196">
        <f t="shared" si="46"/>
        <v>0.98357598870877561</v>
      </c>
      <c r="H196">
        <f t="shared" si="46"/>
        <v>0.86468869410764948</v>
      </c>
      <c r="I196">
        <f t="shared" si="46"/>
        <v>0.28382662507972173</v>
      </c>
      <c r="J196">
        <f t="shared" si="46"/>
        <v>0.10658711144968325</v>
      </c>
    </row>
    <row r="197" spans="1:12" x14ac:dyDescent="0.25">
      <c r="A197">
        <v>7</v>
      </c>
      <c r="B197">
        <f t="shared" si="46"/>
        <v>229.33278459519497</v>
      </c>
      <c r="C197">
        <f t="shared" si="46"/>
        <v>33.957845539136194</v>
      </c>
      <c r="D197">
        <f t="shared" si="46"/>
        <v>9.6956929313922835</v>
      </c>
      <c r="E197">
        <f t="shared" si="46"/>
        <v>3.8647408001822487</v>
      </c>
      <c r="F197">
        <f t="shared" si="46"/>
        <v>2.8093818465702229</v>
      </c>
      <c r="G197">
        <f t="shared" si="46"/>
        <v>1.110436486720332</v>
      </c>
      <c r="H197">
        <f t="shared" si="46"/>
        <v>0.97553012292620189</v>
      </c>
      <c r="I197">
        <f t="shared" si="46"/>
        <v>0.32629693958128675</v>
      </c>
      <c r="J197">
        <f t="shared" si="46"/>
        <v>0.12437717621045431</v>
      </c>
    </row>
    <row r="198" spans="1:12" x14ac:dyDescent="0.25">
      <c r="A198">
        <v>8</v>
      </c>
      <c r="B198">
        <f t="shared" si="46"/>
        <v>234.10124301085841</v>
      </c>
      <c r="C198">
        <f t="shared" si="46"/>
        <v>35.306693092595829</v>
      </c>
      <c r="D198">
        <f t="shared" si="46"/>
        <v>10.199306712951389</v>
      </c>
      <c r="E198">
        <f t="shared" si="46"/>
        <v>4.0955368655798781</v>
      </c>
      <c r="F198">
        <f t="shared" si="46"/>
        <v>2.9875814237354361</v>
      </c>
      <c r="G198">
        <f t="shared" si="46"/>
        <v>1.1910488122146914</v>
      </c>
      <c r="H198">
        <f t="shared" si="46"/>
        <v>1.0459141478227831</v>
      </c>
      <c r="I198">
        <f t="shared" si="46"/>
        <v>0.35376088751852686</v>
      </c>
      <c r="J198">
        <f t="shared" si="46"/>
        <v>0.13604136880639858</v>
      </c>
    </row>
    <row r="199" spans="1:12" x14ac:dyDescent="0.25">
      <c r="A199">
        <v>9</v>
      </c>
      <c r="B199">
        <f t="shared" si="46"/>
        <v>238.17468078900973</v>
      </c>
      <c r="C199">
        <f t="shared" si="46"/>
        <v>36.496673323059753</v>
      </c>
      <c r="D199">
        <f t="shared" si="46"/>
        <v>10.650207986526254</v>
      </c>
      <c r="E199">
        <f t="shared" si="46"/>
        <v>4.3039381497555604</v>
      </c>
      <c r="F199">
        <f t="shared" si="46"/>
        <v>3.1491175369837348</v>
      </c>
      <c r="G199">
        <f t="shared" si="46"/>
        <v>1.2648046630477745</v>
      </c>
      <c r="H199">
        <f t="shared" si="46"/>
        <v>1.1102831948176728</v>
      </c>
      <c r="I199">
        <f t="shared" si="46"/>
        <v>0.37917244163929709</v>
      </c>
      <c r="J199">
        <f t="shared" si="46"/>
        <v>0.14693152425428166</v>
      </c>
    </row>
    <row r="200" spans="1:12" x14ac:dyDescent="0.25">
      <c r="A200">
        <v>10</v>
      </c>
      <c r="B200">
        <f t="shared" si="46"/>
        <v>244.0469752466262</v>
      </c>
      <c r="C200">
        <f t="shared" si="46"/>
        <v>38.19547498136334</v>
      </c>
      <c r="D200">
        <f t="shared" si="46"/>
        <v>11.296807835240294</v>
      </c>
      <c r="E200">
        <f t="shared" si="46"/>
        <v>4.6040917456379615</v>
      </c>
      <c r="F200">
        <f t="shared" si="46"/>
        <v>3.3823143893293648</v>
      </c>
      <c r="G200">
        <f t="shared" si="46"/>
        <v>1.3719446069238506</v>
      </c>
      <c r="H200">
        <f t="shared" si="46"/>
        <v>1.2037581094754664</v>
      </c>
      <c r="I200">
        <f t="shared" si="46"/>
        <v>0.41640186924388184</v>
      </c>
      <c r="J200">
        <f t="shared" si="46"/>
        <v>0.1630052484115862</v>
      </c>
    </row>
    <row r="201" spans="1:12" x14ac:dyDescent="0.25">
      <c r="A201">
        <v>11</v>
      </c>
      <c r="B201">
        <f t="shared" si="46"/>
        <v>254.18314350759618</v>
      </c>
      <c r="C201">
        <f t="shared" si="46"/>
        <v>41.125170400792584</v>
      </c>
      <c r="D201">
        <f t="shared" si="46"/>
        <v>12.422936925357911</v>
      </c>
      <c r="E201">
        <f t="shared" si="46"/>
        <v>5.1309056680962035</v>
      </c>
      <c r="F201">
        <f t="shared" si="46"/>
        <v>3.7932259196892981</v>
      </c>
      <c r="G201">
        <f t="shared" si="46"/>
        <v>1.5626709090409734</v>
      </c>
      <c r="H201">
        <f t="shared" si="46"/>
        <v>1.3700737837683623</v>
      </c>
      <c r="I201">
        <f t="shared" si="46"/>
        <v>0.48357989284689784</v>
      </c>
      <c r="J201">
        <f t="shared" si="46"/>
        <v>0.19234729967045311</v>
      </c>
    </row>
    <row r="202" spans="1:12" x14ac:dyDescent="0.25">
      <c r="A202">
        <v>12</v>
      </c>
      <c r="B202">
        <f t="shared" si="46"/>
        <v>270.1537449112414</v>
      </c>
      <c r="C202">
        <f t="shared" si="46"/>
        <v>46.007756715805279</v>
      </c>
      <c r="D202">
        <f t="shared" si="46"/>
        <v>14.358348486536329</v>
      </c>
      <c r="E202">
        <f t="shared" si="46"/>
        <v>6.0533699970174206</v>
      </c>
      <c r="F202">
        <f t="shared" si="46"/>
        <v>4.5190581121787421</v>
      </c>
      <c r="G202">
        <f t="shared" si="46"/>
        <v>1.9067912902931252</v>
      </c>
      <c r="H202">
        <f t="shared" si="46"/>
        <v>1.6698448160814845</v>
      </c>
      <c r="I202">
        <f t="shared" si="46"/>
        <v>0.60800352030440308</v>
      </c>
      <c r="J202">
        <f t="shared" si="46"/>
        <v>0.24786648967663893</v>
      </c>
    </row>
    <row r="204" spans="1:12" x14ac:dyDescent="0.25">
      <c r="B204" t="s">
        <v>82</v>
      </c>
    </row>
    <row r="205" spans="1:12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2" x14ac:dyDescent="0.25">
      <c r="A206">
        <v>1</v>
      </c>
      <c r="B206">
        <f>B191*B161</f>
        <v>6.7265221971691908E-2</v>
      </c>
      <c r="C206">
        <f t="shared" ref="C206:J206" si="47">C191*C161</f>
        <v>0.13217871410944931</v>
      </c>
      <c r="D206">
        <f t="shared" si="47"/>
        <v>0.19605663380638705</v>
      </c>
      <c r="E206">
        <f t="shared" si="47"/>
        <v>0.2595068804947111</v>
      </c>
      <c r="F206">
        <f t="shared" si="47"/>
        <v>0.32214929305724072</v>
      </c>
      <c r="G206">
        <f t="shared" si="47"/>
        <v>1.5527317796327409E-2</v>
      </c>
      <c r="H206">
        <f t="shared" si="47"/>
        <v>7.3075361176305562E-3</v>
      </c>
      <c r="I206">
        <f t="shared" si="47"/>
        <v>8.3661216878652702E-6</v>
      </c>
      <c r="J206">
        <f t="shared" si="47"/>
        <v>3.6523100489637382E-8</v>
      </c>
      <c r="K206">
        <f>SUM(B206:J206)</f>
        <v>0.99999999999822653</v>
      </c>
      <c r="L206" s="18">
        <f>1-K206</f>
        <v>1.7734702595362251E-12</v>
      </c>
    </row>
    <row r="207" spans="1:12" x14ac:dyDescent="0.25">
      <c r="A207">
        <v>2</v>
      </c>
      <c r="B207">
        <f t="shared" ref="B207:J217" si="48">B192*B162</f>
        <v>3.9177374622506332E-2</v>
      </c>
      <c r="C207">
        <f t="shared" si="48"/>
        <v>8.1428288014155317E-2</v>
      </c>
      <c r="D207">
        <f t="shared" si="48"/>
        <v>0.14437290388470178</v>
      </c>
      <c r="E207">
        <f t="shared" si="48"/>
        <v>0.26852423379553908</v>
      </c>
      <c r="F207">
        <f t="shared" si="48"/>
        <v>0.40420059920959617</v>
      </c>
      <c r="G207">
        <f t="shared" si="48"/>
        <v>4.1005867389487465E-2</v>
      </c>
      <c r="H207">
        <f t="shared" si="48"/>
        <v>2.1210154609945055E-2</v>
      </c>
      <c r="I207">
        <f t="shared" si="48"/>
        <v>7.9512863895517778E-5</v>
      </c>
      <c r="J207">
        <f t="shared" si="48"/>
        <v>1.0656101833724482E-6</v>
      </c>
      <c r="K207">
        <f t="shared" ref="K207:K217" si="49">SUM(B207:J207)</f>
        <v>1.00000000000001</v>
      </c>
      <c r="L207" s="18">
        <f t="shared" ref="L207:L217" si="50">1-K207</f>
        <v>-9.9920072216264089E-15</v>
      </c>
    </row>
    <row r="208" spans="1:12" x14ac:dyDescent="0.25">
      <c r="A208">
        <v>3</v>
      </c>
      <c r="B208">
        <f t="shared" si="48"/>
        <v>2.9976002540485908E-2</v>
      </c>
      <c r="C208">
        <f t="shared" si="48"/>
        <v>6.1978441862229158E-2</v>
      </c>
      <c r="D208">
        <f t="shared" si="48"/>
        <v>0.11089389501375674</v>
      </c>
      <c r="E208">
        <f t="shared" si="48"/>
        <v>0.23972654396763632</v>
      </c>
      <c r="F208">
        <f t="shared" si="48"/>
        <v>0.41687875450083101</v>
      </c>
      <c r="G208">
        <f t="shared" si="48"/>
        <v>8.8781217170380067E-2</v>
      </c>
      <c r="H208">
        <f t="shared" si="48"/>
        <v>5.1076351592002397E-2</v>
      </c>
      <c r="I208">
        <f t="shared" si="48"/>
        <v>6.6156067039688682E-4</v>
      </c>
      <c r="J208">
        <f t="shared" si="48"/>
        <v>2.7232680634122352E-5</v>
      </c>
      <c r="K208">
        <f t="shared" si="49"/>
        <v>0.99999999999835265</v>
      </c>
      <c r="L208" s="18">
        <f t="shared" si="50"/>
        <v>1.6473489239388073E-12</v>
      </c>
    </row>
    <row r="209" spans="1:13" x14ac:dyDescent="0.25">
      <c r="A209">
        <v>4</v>
      </c>
      <c r="B209">
        <f t="shared" si="48"/>
        <v>2.5143119500082432E-2</v>
      </c>
      <c r="C209">
        <f t="shared" si="48"/>
        <v>5.2116719097065306E-2</v>
      </c>
      <c r="D209">
        <f t="shared" si="48"/>
        <v>9.0968181773986537E-2</v>
      </c>
      <c r="E209">
        <f t="shared" si="48"/>
        <v>0.19741571644390837</v>
      </c>
      <c r="F209">
        <f t="shared" si="48"/>
        <v>0.37063625704117487</v>
      </c>
      <c r="G209">
        <f t="shared" si="48"/>
        <v>0.15734066158654703</v>
      </c>
      <c r="H209">
        <f t="shared" si="48"/>
        <v>0.10130057047541373</v>
      </c>
      <c r="I209">
        <f t="shared" si="48"/>
        <v>4.5207965847978027E-3</v>
      </c>
      <c r="J209">
        <f t="shared" si="48"/>
        <v>5.5797749686570524E-4</v>
      </c>
      <c r="K209">
        <f t="shared" si="49"/>
        <v>0.99999999999984168</v>
      </c>
      <c r="L209" s="18">
        <f t="shared" si="50"/>
        <v>1.5831780331154732E-13</v>
      </c>
    </row>
    <row r="210" spans="1:13" x14ac:dyDescent="0.25">
      <c r="A210">
        <v>5</v>
      </c>
      <c r="B210">
        <f t="shared" si="48"/>
        <v>2.0248678551164672E-2</v>
      </c>
      <c r="C210">
        <f t="shared" si="48"/>
        <v>4.3546057517654717E-2</v>
      </c>
      <c r="D210">
        <f t="shared" si="48"/>
        <v>7.5711448270568277E-2</v>
      </c>
      <c r="E210">
        <f t="shared" si="48"/>
        <v>0.15408069631116242</v>
      </c>
      <c r="F210">
        <f t="shared" si="48"/>
        <v>0.28992703033411299</v>
      </c>
      <c r="G210">
        <f t="shared" si="48"/>
        <v>0.22238243356239482</v>
      </c>
      <c r="H210">
        <f t="shared" si="48"/>
        <v>0.16065835649929794</v>
      </c>
      <c r="I210">
        <f t="shared" si="48"/>
        <v>2.450967564325697E-2</v>
      </c>
      <c r="J210">
        <f t="shared" si="48"/>
        <v>8.9356233103962106E-3</v>
      </c>
      <c r="K210">
        <f t="shared" si="49"/>
        <v>1.0000000000000089</v>
      </c>
      <c r="L210" s="18">
        <f t="shared" si="50"/>
        <v>-8.8817841970012523E-15</v>
      </c>
    </row>
    <row r="211" spans="1:13" x14ac:dyDescent="0.25">
      <c r="A211">
        <v>6</v>
      </c>
      <c r="B211">
        <f t="shared" si="48"/>
        <v>1.4045880800716496E-4</v>
      </c>
      <c r="C211">
        <f t="shared" si="48"/>
        <v>2.3794237247885593E-3</v>
      </c>
      <c r="D211">
        <f t="shared" si="48"/>
        <v>1.5979345202331248E-2</v>
      </c>
      <c r="E211">
        <f t="shared" si="48"/>
        <v>8.6757898347845336E-2</v>
      </c>
      <c r="F211">
        <f t="shared" si="48"/>
        <v>0.23092406009440547</v>
      </c>
      <c r="G211">
        <f t="shared" si="48"/>
        <v>0.3657194157599945</v>
      </c>
      <c r="H211">
        <f t="shared" si="48"/>
        <v>0.25598018584468185</v>
      </c>
      <c r="I211">
        <f t="shared" si="48"/>
        <v>3.0927903029804769E-2</v>
      </c>
      <c r="J211">
        <f t="shared" si="48"/>
        <v>1.1191309188150398E-2</v>
      </c>
      <c r="K211">
        <f t="shared" si="49"/>
        <v>1.0000000000000093</v>
      </c>
      <c r="L211" s="18">
        <f t="shared" si="50"/>
        <v>-9.3258734068513149E-15</v>
      </c>
    </row>
    <row r="212" spans="1:13" x14ac:dyDescent="0.25">
      <c r="A212">
        <v>7</v>
      </c>
      <c r="B212">
        <f t="shared" si="48"/>
        <v>8.7271251123069725E-7</v>
      </c>
      <c r="C212">
        <f t="shared" si="48"/>
        <v>1.0577820617840569E-4</v>
      </c>
      <c r="D212">
        <f t="shared" si="48"/>
        <v>2.5810247238991961E-3</v>
      </c>
      <c r="E212">
        <f t="shared" si="48"/>
        <v>3.5964810206823093E-2</v>
      </c>
      <c r="F212">
        <f t="shared" si="48"/>
        <v>0.13289980287152819</v>
      </c>
      <c r="G212">
        <f t="shared" si="48"/>
        <v>0.45650195429567375</v>
      </c>
      <c r="H212">
        <f t="shared" si="48"/>
        <v>0.32656594089269525</v>
      </c>
      <c r="I212">
        <f t="shared" si="48"/>
        <v>3.3685181837216499E-2</v>
      </c>
      <c r="J212">
        <f t="shared" si="48"/>
        <v>1.1694634253439326E-2</v>
      </c>
      <c r="K212">
        <f t="shared" si="49"/>
        <v>0.99999999999996492</v>
      </c>
      <c r="L212" s="18">
        <f t="shared" si="50"/>
        <v>3.5083047578154947E-14</v>
      </c>
    </row>
    <row r="213" spans="1:13" x14ac:dyDescent="0.25">
      <c r="A213">
        <v>8</v>
      </c>
      <c r="B213">
        <f t="shared" si="48"/>
        <v>5.4110767092049867E-9</v>
      </c>
      <c r="C213">
        <f t="shared" si="48"/>
        <v>4.3902508571411479E-6</v>
      </c>
      <c r="D213">
        <f t="shared" si="48"/>
        <v>3.7307390277389191E-4</v>
      </c>
      <c r="E213">
        <f t="shared" si="48"/>
        <v>1.2983540260248899E-2</v>
      </c>
      <c r="F213">
        <f t="shared" si="48"/>
        <v>6.5703337265155273E-2</v>
      </c>
      <c r="G213">
        <f t="shared" si="48"/>
        <v>0.49536390437530003</v>
      </c>
      <c r="H213">
        <f t="shared" si="48"/>
        <v>0.37466566130030526</v>
      </c>
      <c r="I213">
        <f t="shared" si="48"/>
        <v>3.835567471107186E-2</v>
      </c>
      <c r="J213">
        <f t="shared" si="48"/>
        <v>1.2550412523175607E-2</v>
      </c>
      <c r="K213">
        <f t="shared" si="49"/>
        <v>0.99999999999996458</v>
      </c>
      <c r="L213" s="18">
        <f t="shared" si="50"/>
        <v>3.5416114485542494E-14</v>
      </c>
    </row>
    <row r="214" spans="1:13" x14ac:dyDescent="0.25">
      <c r="A214">
        <v>9</v>
      </c>
      <c r="B214">
        <f t="shared" si="48"/>
        <v>3.5507613685978782E-11</v>
      </c>
      <c r="C214">
        <f t="shared" si="48"/>
        <v>1.8270630101297914E-7</v>
      </c>
      <c r="D214">
        <f t="shared" si="48"/>
        <v>5.2241598404763272E-5</v>
      </c>
      <c r="E214">
        <f t="shared" si="48"/>
        <v>4.43636883598004E-3</v>
      </c>
      <c r="F214">
        <f t="shared" si="48"/>
        <v>3.0361670673610095E-2</v>
      </c>
      <c r="G214">
        <f t="shared" si="48"/>
        <v>0.49651191480951939</v>
      </c>
      <c r="H214">
        <f t="shared" si="48"/>
        <v>0.40455004361003544</v>
      </c>
      <c r="I214">
        <f t="shared" si="48"/>
        <v>4.888411278289774E-2</v>
      </c>
      <c r="J214">
        <f t="shared" si="48"/>
        <v>1.5203464940331668E-2</v>
      </c>
      <c r="K214">
        <f t="shared" si="49"/>
        <v>0.99999999999258771</v>
      </c>
      <c r="L214" s="18">
        <f t="shared" si="50"/>
        <v>7.4122930016073951E-12</v>
      </c>
    </row>
    <row r="215" spans="1:13" x14ac:dyDescent="0.25">
      <c r="A215">
        <v>10</v>
      </c>
      <c r="B215">
        <f t="shared" si="48"/>
        <v>2.5469387709701878E-13</v>
      </c>
      <c r="C215">
        <f t="shared" si="48"/>
        <v>7.9531174495320262E-9</v>
      </c>
      <c r="D215">
        <f t="shared" si="48"/>
        <v>7.4354723212361114E-6</v>
      </c>
      <c r="E215">
        <f t="shared" si="48"/>
        <v>1.5055904907573785E-3</v>
      </c>
      <c r="F215">
        <f t="shared" si="48"/>
        <v>1.3746669729211243E-2</v>
      </c>
      <c r="G215">
        <f t="shared" si="48"/>
        <v>0.47358136016936753</v>
      </c>
      <c r="H215">
        <f t="shared" si="48"/>
        <v>0.41940543278409786</v>
      </c>
      <c r="I215">
        <f t="shared" si="48"/>
        <v>6.9880746747048361E-2</v>
      </c>
      <c r="J215">
        <f t="shared" si="48"/>
        <v>2.1872756653646904E-2</v>
      </c>
      <c r="K215">
        <f t="shared" si="49"/>
        <v>0.99999999999982259</v>
      </c>
      <c r="L215" s="18">
        <f t="shared" si="50"/>
        <v>1.7741363933510002E-13</v>
      </c>
    </row>
    <row r="216" spans="1:13" x14ac:dyDescent="0.25">
      <c r="A216">
        <v>11</v>
      </c>
      <c r="B216">
        <f t="shared" si="48"/>
        <v>2.05950943924101E-15</v>
      </c>
      <c r="C216">
        <f t="shared" si="48"/>
        <v>3.7652556493332757E-10</v>
      </c>
      <c r="D216">
        <f t="shared" si="48"/>
        <v>1.1192291281506148E-6</v>
      </c>
      <c r="E216">
        <f t="shared" si="48"/>
        <v>5.2253181429017794E-4</v>
      </c>
      <c r="F216">
        <f t="shared" si="48"/>
        <v>6.2455287735408271E-3</v>
      </c>
      <c r="G216">
        <f t="shared" si="48"/>
        <v>0.43178624747713101</v>
      </c>
      <c r="H216">
        <f t="shared" si="48"/>
        <v>0.41654506609748776</v>
      </c>
      <c r="I216">
        <f t="shared" si="48"/>
        <v>0.10712641506102479</v>
      </c>
      <c r="J216">
        <f t="shared" si="48"/>
        <v>3.7773091170864796E-2</v>
      </c>
      <c r="K216">
        <f t="shared" si="49"/>
        <v>0.99999999999999512</v>
      </c>
      <c r="L216" s="18">
        <f t="shared" si="50"/>
        <v>4.8849813083506888E-15</v>
      </c>
    </row>
    <row r="217" spans="1:13" x14ac:dyDescent="0.25">
      <c r="A217">
        <v>12</v>
      </c>
      <c r="B217">
        <f t="shared" si="48"/>
        <v>2.1119907982157649E-17</v>
      </c>
      <c r="C217">
        <f t="shared" si="48"/>
        <v>2.1540840953448642E-11</v>
      </c>
      <c r="D217">
        <f>D202*D172</f>
        <v>1.9101239287179316E-7</v>
      </c>
      <c r="E217">
        <f t="shared" si="48"/>
        <v>1.9015292960468497E-4</v>
      </c>
      <c r="F217">
        <f t="shared" si="48"/>
        <v>2.8803045623770379E-3</v>
      </c>
      <c r="G217">
        <f t="shared" si="48"/>
        <v>0.37012069128527786</v>
      </c>
      <c r="H217">
        <f t="shared" si="48"/>
        <v>0.38763645690701998</v>
      </c>
      <c r="I217">
        <f t="shared" si="48"/>
        <v>0.16396938237012465</v>
      </c>
      <c r="J217">
        <f t="shared" si="48"/>
        <v>7.5202820906391118E-2</v>
      </c>
      <c r="K217">
        <f t="shared" si="49"/>
        <v>0.99999999999472911</v>
      </c>
      <c r="L217" s="18">
        <f t="shared" si="50"/>
        <v>5.2708948317103932E-12</v>
      </c>
    </row>
    <row r="220" spans="1:13" x14ac:dyDescent="0.25">
      <c r="B220">
        <v>276.40884744035799</v>
      </c>
      <c r="C220">
        <v>284.52951856861102</v>
      </c>
      <c r="D220">
        <v>291.99052032730702</v>
      </c>
      <c r="E220">
        <v>300.554897590964</v>
      </c>
      <c r="F220">
        <v>313.42188296291602</v>
      </c>
      <c r="G220">
        <v>322.75530726017899</v>
      </c>
      <c r="H220">
        <v>327.02989253721699</v>
      </c>
      <c r="I220">
        <v>329.613963045486</v>
      </c>
      <c r="J220">
        <v>331.88309069264898</v>
      </c>
      <c r="K220">
        <v>334.94920893260701</v>
      </c>
      <c r="L220">
        <v>339.88198514567603</v>
      </c>
      <c r="M220">
        <v>347.78682962085298</v>
      </c>
    </row>
    <row r="222" spans="1:13" x14ac:dyDescent="0.25">
      <c r="A222" t="s">
        <v>90</v>
      </c>
    </row>
    <row r="224" spans="1:13" x14ac:dyDescent="0.25">
      <c r="A224">
        <v>278.17811854183702</v>
      </c>
      <c r="B224">
        <v>285.70608703792101</v>
      </c>
      <c r="C224">
        <v>293.23405553400499</v>
      </c>
      <c r="D224">
        <v>300.76202403008898</v>
      </c>
      <c r="E224">
        <v>308.28999252617399</v>
      </c>
      <c r="F224">
        <v>315.81796102225798</v>
      </c>
      <c r="G224">
        <v>323.34592951834202</v>
      </c>
      <c r="H224">
        <v>330.873898014426</v>
      </c>
      <c r="I224">
        <v>338.40186651050999</v>
      </c>
      <c r="J224">
        <v>345.929835006595</v>
      </c>
      <c r="K224">
        <v>353.45780350267898</v>
      </c>
      <c r="L224">
        <v>360.98577199876303</v>
      </c>
    </row>
    <row r="226" spans="1:12" x14ac:dyDescent="0.25">
      <c r="A226">
        <v>278.17811854183702</v>
      </c>
      <c r="B226">
        <v>285.70608703792101</v>
      </c>
      <c r="C226">
        <v>293.23405553400499</v>
      </c>
      <c r="D226">
        <v>300.76202403008898</v>
      </c>
      <c r="E226">
        <v>308.28999252617399</v>
      </c>
      <c r="F226">
        <v>315.81796102225798</v>
      </c>
      <c r="G226">
        <v>323.34592951834202</v>
      </c>
      <c r="H226">
        <v>330.873898014426</v>
      </c>
      <c r="I226">
        <v>338.40186651050999</v>
      </c>
      <c r="J226">
        <v>345.929835006595</v>
      </c>
      <c r="K226">
        <v>353.45780350267898</v>
      </c>
      <c r="L226">
        <v>360.98577199876303</v>
      </c>
    </row>
    <row r="228" spans="1:12" x14ac:dyDescent="0.25">
      <c r="A228" t="s">
        <v>91</v>
      </c>
    </row>
    <row r="229" spans="1:12" x14ac:dyDescent="0.25">
      <c r="A229">
        <v>1</v>
      </c>
      <c r="B229">
        <v>6.7265221971692102E-2</v>
      </c>
      <c r="C229">
        <v>0.13217871410945001</v>
      </c>
      <c r="D229">
        <v>0.19605663380638799</v>
      </c>
      <c r="E229">
        <v>0.25950688049471299</v>
      </c>
      <c r="F229">
        <v>0.32214929305724399</v>
      </c>
      <c r="G229">
        <v>1.55273177963276E-2</v>
      </c>
      <c r="H229">
        <v>7.3075361176306404E-3</v>
      </c>
      <c r="I229" s="17">
        <v>8.36612168786536E-6</v>
      </c>
      <c r="J229" s="17">
        <v>3.6523100489637898E-8</v>
      </c>
      <c r="K229">
        <f t="shared" ref="K229:K240" si="51">SUM(B229:J229)</f>
        <v>0.99999999999823386</v>
      </c>
      <c r="L229" s="17"/>
    </row>
    <row r="230" spans="1:12" x14ac:dyDescent="0.25">
      <c r="A230">
        <v>2</v>
      </c>
      <c r="B230">
        <v>3.9177374622506103E-2</v>
      </c>
      <c r="C230">
        <v>8.1428288014154596E-2</v>
      </c>
      <c r="D230">
        <v>0.1443729038847</v>
      </c>
      <c r="E230">
        <v>0.26852423379553497</v>
      </c>
      <c r="F230">
        <v>0.404200599209591</v>
      </c>
      <c r="G230">
        <v>4.1005867389486701E-2</v>
      </c>
      <c r="H230">
        <v>2.1210154609944701E-2</v>
      </c>
      <c r="I230" s="17">
        <v>7.9512863895516098E-5</v>
      </c>
      <c r="J230" s="17">
        <v>1.06561018337243E-6</v>
      </c>
      <c r="K230">
        <f t="shared" si="51"/>
        <v>0.99999999999999711</v>
      </c>
      <c r="L230" s="17"/>
    </row>
    <row r="231" spans="1:12" x14ac:dyDescent="0.25">
      <c r="A231">
        <v>3</v>
      </c>
      <c r="B231">
        <v>2.99760025404858E-2</v>
      </c>
      <c r="C231">
        <v>6.1978441862228902E-2</v>
      </c>
      <c r="D231">
        <v>0.110893895013756</v>
      </c>
      <c r="E231">
        <v>0.23972654396763499</v>
      </c>
      <c r="F231">
        <v>0.41687875450082801</v>
      </c>
      <c r="G231">
        <v>8.8781217170379401E-2</v>
      </c>
      <c r="H231">
        <v>5.1076351592002203E-2</v>
      </c>
      <c r="I231">
        <v>6.6156067039688205E-4</v>
      </c>
      <c r="J231" s="17">
        <v>2.7232680634122102E-5</v>
      </c>
      <c r="K231">
        <f t="shared" si="51"/>
        <v>0.99999999999834621</v>
      </c>
      <c r="L231" s="17"/>
    </row>
    <row r="232" spans="1:12" x14ac:dyDescent="0.25">
      <c r="A232">
        <v>4</v>
      </c>
      <c r="B232">
        <v>2.51431195000823E-2</v>
      </c>
      <c r="C232">
        <v>5.2116719097064799E-2</v>
      </c>
      <c r="D232">
        <v>9.0968181773985898E-2</v>
      </c>
      <c r="E232">
        <v>0.19741571644390599</v>
      </c>
      <c r="F232">
        <v>0.37063625704116998</v>
      </c>
      <c r="G232">
        <v>0.157340661586545</v>
      </c>
      <c r="H232">
        <v>0.10130057047541299</v>
      </c>
      <c r="I232">
        <v>4.5207965847977403E-3</v>
      </c>
      <c r="J232">
        <v>5.5797749686569797E-4</v>
      </c>
      <c r="K232">
        <f t="shared" si="51"/>
        <v>0.99999999999983047</v>
      </c>
    </row>
    <row r="233" spans="1:12" x14ac:dyDescent="0.25">
      <c r="A233">
        <v>5</v>
      </c>
      <c r="B233">
        <v>2.02486785511647E-2</v>
      </c>
      <c r="C233">
        <v>4.3546057517654502E-2</v>
      </c>
      <c r="D233">
        <v>7.5711448270567805E-2</v>
      </c>
      <c r="E233">
        <v>0.154080696311161</v>
      </c>
      <c r="F233">
        <v>0.28992703033411099</v>
      </c>
      <c r="G233">
        <v>0.22238243356239201</v>
      </c>
      <c r="H233">
        <v>0.160658356499296</v>
      </c>
      <c r="I233">
        <v>2.45096756432567E-2</v>
      </c>
      <c r="J233">
        <v>8.9356233103960892E-3</v>
      </c>
      <c r="K233">
        <f t="shared" si="51"/>
        <v>0.99999999999999989</v>
      </c>
    </row>
    <row r="234" spans="1:12" x14ac:dyDescent="0.25">
      <c r="A234">
        <v>6</v>
      </c>
      <c r="B234">
        <v>1.4045880800716499E-4</v>
      </c>
      <c r="C234">
        <v>2.3794237247885498E-3</v>
      </c>
      <c r="D234">
        <v>1.5979345202331099E-2</v>
      </c>
      <c r="E234">
        <v>8.6757898347844697E-2</v>
      </c>
      <c r="F234">
        <v>0.230924060094404</v>
      </c>
      <c r="G234">
        <v>0.36571941575999101</v>
      </c>
      <c r="H234">
        <v>0.25598018584468002</v>
      </c>
      <c r="I234">
        <v>3.0927903029804402E-2</v>
      </c>
      <c r="J234">
        <v>1.1191309188150299E-2</v>
      </c>
      <c r="K234">
        <f t="shared" si="51"/>
        <v>1.0000000000000013</v>
      </c>
    </row>
    <row r="235" spans="1:12" x14ac:dyDescent="0.25">
      <c r="A235">
        <v>7</v>
      </c>
      <c r="B235" s="17">
        <v>8.7271251123069905E-7</v>
      </c>
      <c r="C235">
        <v>1.05778206178406E-4</v>
      </c>
      <c r="D235">
        <v>2.58102472389921E-3</v>
      </c>
      <c r="E235">
        <v>3.5964810206823197E-2</v>
      </c>
      <c r="F235">
        <v>0.132899802871529</v>
      </c>
      <c r="G235">
        <v>0.45650195429567603</v>
      </c>
      <c r="H235">
        <v>0.32656594089269703</v>
      </c>
      <c r="I235">
        <v>3.3685181837216797E-2</v>
      </c>
      <c r="J235">
        <v>1.16946342534394E-2</v>
      </c>
      <c r="K235">
        <f t="shared" si="51"/>
        <v>0.99999999999997025</v>
      </c>
    </row>
    <row r="236" spans="1:12" x14ac:dyDescent="0.25">
      <c r="A236">
        <v>8</v>
      </c>
      <c r="B236" s="17">
        <v>5.4110767092049999E-9</v>
      </c>
      <c r="C236" s="17">
        <v>4.39025085714117E-6</v>
      </c>
      <c r="D236">
        <v>3.7307390277389299E-4</v>
      </c>
      <c r="E236">
        <v>1.2983540260248901E-2</v>
      </c>
      <c r="F236">
        <v>6.5703337265155495E-2</v>
      </c>
      <c r="G236">
        <v>0.49536390437530198</v>
      </c>
      <c r="H236">
        <v>0.37466566130030698</v>
      </c>
      <c r="I236">
        <v>3.83556747110722E-2</v>
      </c>
      <c r="J236">
        <v>1.2550412523175699E-2</v>
      </c>
      <c r="K236">
        <f t="shared" si="51"/>
        <v>0.99999999999996891</v>
      </c>
    </row>
    <row r="237" spans="1:12" x14ac:dyDescent="0.25">
      <c r="A237">
        <v>9</v>
      </c>
      <c r="B237" s="17">
        <v>3.5507613685978899E-11</v>
      </c>
      <c r="C237" s="17">
        <v>1.8270630101297901E-7</v>
      </c>
      <c r="D237" s="17">
        <v>5.2241598404763401E-5</v>
      </c>
      <c r="E237">
        <v>4.4363688359800703E-3</v>
      </c>
      <c r="F237">
        <v>3.0361670673610199E-2</v>
      </c>
      <c r="G237">
        <v>0.496511914809521</v>
      </c>
      <c r="H237">
        <v>0.40455004361003599</v>
      </c>
      <c r="I237">
        <v>4.88841127828979E-2</v>
      </c>
      <c r="J237">
        <v>1.52034649403317E-2</v>
      </c>
      <c r="K237">
        <f t="shared" si="51"/>
        <v>0.99999999999259026</v>
      </c>
    </row>
    <row r="238" spans="1:12" x14ac:dyDescent="0.25">
      <c r="A238">
        <v>10</v>
      </c>
      <c r="B238" s="17">
        <v>2.5469387709701702E-13</v>
      </c>
      <c r="C238" s="17">
        <v>7.95311744953197E-9</v>
      </c>
      <c r="D238" s="17">
        <v>7.4354723212360699E-6</v>
      </c>
      <c r="E238">
        <v>1.5055904907573701E-3</v>
      </c>
      <c r="F238">
        <v>1.37466697292112E-2</v>
      </c>
      <c r="G238">
        <v>0.47358136016936397</v>
      </c>
      <c r="H238">
        <v>0.41940543278409498</v>
      </c>
      <c r="I238">
        <v>6.9880746747047598E-2</v>
      </c>
      <c r="J238">
        <v>2.18727566536468E-2</v>
      </c>
      <c r="K238">
        <f t="shared" si="51"/>
        <v>0.99999999999981526</v>
      </c>
    </row>
    <row r="239" spans="1:12" x14ac:dyDescent="0.25">
      <c r="A239">
        <v>11</v>
      </c>
      <c r="B239" s="17">
        <v>2.05950943924101E-15</v>
      </c>
      <c r="C239" s="17">
        <v>3.76525564933327E-10</v>
      </c>
      <c r="D239" s="17">
        <v>1.1192291281506101E-6</v>
      </c>
      <c r="E239">
        <v>5.2253181429017697E-4</v>
      </c>
      <c r="F239">
        <v>6.2455287735408201E-3</v>
      </c>
      <c r="G239">
        <v>0.43178624747713001</v>
      </c>
      <c r="H239">
        <v>0.41654506609748598</v>
      </c>
      <c r="I239">
        <v>0.10712641506102499</v>
      </c>
      <c r="J239">
        <v>3.7773091170864699E-2</v>
      </c>
      <c r="K239">
        <f t="shared" si="51"/>
        <v>0.99999999999999245</v>
      </c>
    </row>
    <row r="240" spans="1:12" x14ac:dyDescent="0.25">
      <c r="A240">
        <v>12</v>
      </c>
      <c r="B240" s="17">
        <v>2.1119907982157702E-17</v>
      </c>
      <c r="C240" s="17">
        <v>2.15408409534488E-11</v>
      </c>
      <c r="D240" s="17">
        <v>1.9101239287179501E-7</v>
      </c>
      <c r="E240">
        <v>1.90152929604687E-4</v>
      </c>
      <c r="F240">
        <v>2.88030456237707E-3</v>
      </c>
      <c r="G240">
        <v>0.37012069128528202</v>
      </c>
      <c r="H240">
        <v>0.38763645690702497</v>
      </c>
      <c r="I240">
        <v>0.16396938237012601</v>
      </c>
      <c r="J240">
        <v>7.5202820906392104E-2</v>
      </c>
      <c r="K240">
        <f t="shared" si="51"/>
        <v>0.99999999999474054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A3" sqref="A3:A11"/>
    </sheetView>
  </sheetViews>
  <sheetFormatPr defaultRowHeight="15" x14ac:dyDescent="0.25"/>
  <cols>
    <col min="1" max="1" width="23" bestFit="1" customWidth="1"/>
    <col min="2" max="3" width="21.5703125" bestFit="1" customWidth="1"/>
    <col min="4" max="4" width="20.42578125" bestFit="1" customWidth="1"/>
    <col min="5" max="6" width="21.42578125" bestFit="1" customWidth="1"/>
    <col min="7" max="7" width="21.5703125" bestFit="1" customWidth="1"/>
    <col min="8" max="9" width="21.42578125" bestFit="1" customWidth="1"/>
    <col min="10" max="10" width="21.5703125" bestFit="1" customWidth="1"/>
    <col min="11" max="11" width="21.42578125" bestFit="1" customWidth="1"/>
    <col min="12" max="12" width="22.28515625" bestFit="1" customWidth="1"/>
    <col min="13" max="13" width="12" bestFit="1" customWidth="1"/>
    <col min="14" max="16" width="2.5703125" bestFit="1" customWidth="1"/>
    <col min="17" max="17" width="20.42578125" bestFit="1" customWidth="1"/>
    <col min="18" max="18" width="21.5703125" bestFit="1" customWidth="1"/>
    <col min="19" max="19" width="20.28515625" bestFit="1" customWidth="1"/>
    <col min="20" max="20" width="21.42578125" bestFit="1" customWidth="1"/>
    <col min="21" max="21" width="20.28515625" bestFit="1" customWidth="1"/>
    <col min="22" max="22" width="21.42578125" bestFit="1" customWidth="1"/>
    <col min="23" max="23" width="20.28515625" bestFit="1" customWidth="1"/>
    <col min="24" max="24" width="22.140625" bestFit="1" customWidth="1"/>
    <col min="25" max="25" width="3.28515625" bestFit="1" customWidth="1"/>
    <col min="26" max="28" width="2.5703125" bestFit="1" customWidth="1"/>
    <col min="29" max="29" width="19.42578125" bestFit="1" customWidth="1"/>
    <col min="30" max="30" width="20.42578125" bestFit="1" customWidth="1"/>
    <col min="31" max="32" width="21.5703125" bestFit="1" customWidth="1"/>
    <col min="33" max="34" width="21.42578125" bestFit="1" customWidth="1"/>
    <col min="35" max="35" width="20.28515625" bestFit="1" customWidth="1"/>
    <col min="36" max="36" width="20" bestFit="1" customWidth="1"/>
    <col min="37" max="37" width="3.28515625" bestFit="1" customWidth="1"/>
    <col min="38" max="40" width="2.5703125" bestFit="1" customWidth="1"/>
    <col min="41" max="43" width="19.42578125" bestFit="1" customWidth="1"/>
    <col min="44" max="45" width="20.42578125" bestFit="1" customWidth="1"/>
    <col min="46" max="47" width="21.5703125" bestFit="1" customWidth="1"/>
    <col min="48" max="48" width="22.140625" bestFit="1" customWidth="1"/>
    <col min="49" max="49" width="3.28515625" bestFit="1" customWidth="1"/>
    <col min="50" max="52" width="2.5703125" bestFit="1" customWidth="1"/>
    <col min="53" max="55" width="19.42578125" bestFit="1" customWidth="1"/>
    <col min="56" max="56" width="17.42578125" bestFit="1" customWidth="1"/>
    <col min="57" max="57" width="19.42578125" bestFit="1" customWidth="1"/>
    <col min="58" max="59" width="20.42578125" bestFit="1" customWidth="1"/>
    <col min="60" max="60" width="22.28515625" bestFit="1" customWidth="1"/>
    <col min="61" max="61" width="3.28515625" bestFit="1" customWidth="1"/>
    <col min="62" max="64" width="2.5703125" bestFit="1" customWidth="1"/>
    <col min="65" max="69" width="18.42578125" bestFit="1" customWidth="1"/>
    <col min="70" max="70" width="17.42578125" bestFit="1" customWidth="1"/>
    <col min="71" max="71" width="18.42578125" bestFit="1" customWidth="1"/>
    <col min="72" max="72" width="19.140625" bestFit="1" customWidth="1"/>
    <col min="73" max="73" width="3.28515625" bestFit="1" customWidth="1"/>
    <col min="74" max="76" width="2.5703125" bestFit="1" customWidth="1"/>
    <col min="77" max="83" width="18.42578125" bestFit="1" customWidth="1"/>
    <col min="84" max="84" width="19.140625" bestFit="1" customWidth="1"/>
    <col min="85" max="85" width="3.28515625" bestFit="1" customWidth="1"/>
    <col min="86" max="88" width="2.5703125" bestFit="1" customWidth="1"/>
    <col min="89" max="91" width="18.42578125" bestFit="1" customWidth="1"/>
    <col min="92" max="92" width="17.42578125" bestFit="1" customWidth="1"/>
    <col min="93" max="94" width="18.42578125" bestFit="1" customWidth="1"/>
    <col min="95" max="95" width="16.28515625" bestFit="1" customWidth="1"/>
    <col min="96" max="96" width="19.140625" bestFit="1" customWidth="1"/>
    <col min="97" max="97" width="3.28515625" bestFit="1" customWidth="1"/>
    <col min="98" max="100" width="2.5703125" bestFit="1" customWidth="1"/>
    <col min="101" max="107" width="18.42578125" bestFit="1" customWidth="1"/>
    <col min="108" max="108" width="19.28515625" bestFit="1" customWidth="1"/>
  </cols>
  <sheetData>
    <row r="1" spans="1:13" x14ac:dyDescent="0.25">
      <c r="A1" t="s">
        <v>84</v>
      </c>
    </row>
    <row r="2" spans="1:1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3" x14ac:dyDescent="0.25">
      <c r="A3" s="4" t="s">
        <v>28</v>
      </c>
      <c r="B3">
        <v>5.1061363948979297E-4</v>
      </c>
      <c r="C3">
        <v>2.6838870926042398E-4</v>
      </c>
      <c r="D3">
        <v>1.8792093720979499E-4</v>
      </c>
      <c r="E3">
        <v>1.4308078156148699E-4</v>
      </c>
      <c r="F3">
        <v>1.0045168653596101E-4</v>
      </c>
      <c r="G3" s="17">
        <v>6.3599011751648498E-7</v>
      </c>
      <c r="H3" s="17">
        <v>3.8054415672454296E-9</v>
      </c>
      <c r="I3" s="17">
        <v>2.3114258769459E-11</v>
      </c>
      <c r="J3" s="17">
        <v>1.4908223480494001E-13</v>
      </c>
      <c r="K3" s="17">
        <v>1.04362644462048E-15</v>
      </c>
      <c r="L3" s="17">
        <v>8.1024627000077296E-18</v>
      </c>
      <c r="M3" s="17">
        <v>7.81773652225201E-20</v>
      </c>
    </row>
    <row r="4" spans="1:13" x14ac:dyDescent="0.25">
      <c r="A4" s="4" t="s">
        <v>29</v>
      </c>
      <c r="B4">
        <v>1.04085436416424E-2</v>
      </c>
      <c r="C4">
        <v>5.3464033877469296E-3</v>
      </c>
      <c r="D4">
        <v>3.47622195828801E-3</v>
      </c>
      <c r="E4">
        <v>2.4621890943719799E-3</v>
      </c>
      <c r="F4">
        <v>1.6152002126668999E-3</v>
      </c>
      <c r="G4" s="17">
        <v>7.5054918197599703E-5</v>
      </c>
      <c r="H4" s="17">
        <v>3.1149857860239398E-6</v>
      </c>
      <c r="I4" s="17">
        <v>1.24346135890643E-7</v>
      </c>
      <c r="J4" s="17">
        <v>5.0061083484433504E-9</v>
      </c>
      <c r="K4" s="17">
        <v>2.0822145695039999E-10</v>
      </c>
      <c r="L4" s="17">
        <v>9.1555989012040903E-12</v>
      </c>
      <c r="M4" s="17">
        <v>4.6820020125103402E-13</v>
      </c>
    </row>
    <row r="5" spans="1:13" x14ac:dyDescent="0.25">
      <c r="A5" s="4" t="s">
        <v>30</v>
      </c>
      <c r="B5">
        <v>7.1043222861402994E-2</v>
      </c>
      <c r="C5">
        <v>4.1478774335046098E-2</v>
      </c>
      <c r="D5">
        <v>2.6050544357679999E-2</v>
      </c>
      <c r="E5">
        <v>1.7163930529238699E-2</v>
      </c>
      <c r="F5">
        <v>1.0493151563262901E-2</v>
      </c>
      <c r="G5">
        <v>1.8005323325930101E-3</v>
      </c>
      <c r="H5">
        <v>2.66203224685723E-4</v>
      </c>
      <c r="I5" s="17">
        <v>3.65783590271044E-5</v>
      </c>
      <c r="J5" s="17">
        <v>4.9052186089562704E-6</v>
      </c>
      <c r="K5" s="17">
        <v>6.5819233447887997E-7</v>
      </c>
      <c r="L5" s="17">
        <v>9.0093762439220395E-8</v>
      </c>
      <c r="M5" s="17">
        <v>1.3303228644360001E-8</v>
      </c>
    </row>
    <row r="6" spans="1:13" x14ac:dyDescent="0.25">
      <c r="A6" s="4" t="s">
        <v>31</v>
      </c>
      <c r="B6">
        <v>0.28020163200411302</v>
      </c>
      <c r="C6">
        <v>0.22270341454977999</v>
      </c>
      <c r="D6">
        <v>0.15814142175874199</v>
      </c>
      <c r="E6">
        <v>0.101509760926175</v>
      </c>
      <c r="F6">
        <v>5.5804071059881E-2</v>
      </c>
      <c r="G6">
        <v>2.4832082732603501E-2</v>
      </c>
      <c r="H6">
        <v>9.3058789880881808E-3</v>
      </c>
      <c r="I6">
        <v>3.1701680845230501E-3</v>
      </c>
      <c r="J6">
        <v>1.0307696536559199E-3</v>
      </c>
      <c r="K6">
        <v>3.2701140071411802E-4</v>
      </c>
      <c r="L6">
        <v>1.0184007426588701E-4</v>
      </c>
      <c r="M6" s="17">
        <v>3.1412738639530701E-5</v>
      </c>
    </row>
    <row r="7" spans="1:13" x14ac:dyDescent="0.25">
      <c r="A7" s="4" t="s">
        <v>32</v>
      </c>
      <c r="B7">
        <v>0.51923218376132096</v>
      </c>
      <c r="C7">
        <v>0.49292671309735703</v>
      </c>
      <c r="D7">
        <v>0.399110044955577</v>
      </c>
      <c r="E7">
        <v>0.27267519681065</v>
      </c>
      <c r="F7">
        <v>0.14727388230323901</v>
      </c>
      <c r="G7">
        <v>9.1463584610422102E-2</v>
      </c>
      <c r="H7">
        <v>4.7305709985197002E-2</v>
      </c>
      <c r="I7">
        <v>2.1992149483579599E-2</v>
      </c>
      <c r="J7">
        <v>9.6413265992894293E-3</v>
      </c>
      <c r="K7">
        <v>4.0642791139048704E-3</v>
      </c>
      <c r="L7">
        <v>1.64649533293614E-3</v>
      </c>
      <c r="M7">
        <v>6.3736833890555501E-4</v>
      </c>
    </row>
    <row r="8" spans="1:13" x14ac:dyDescent="0.25">
      <c r="A8" s="4" t="s">
        <v>33</v>
      </c>
      <c r="B8">
        <v>7.7371112184274005E-2</v>
      </c>
      <c r="C8">
        <v>0.148989898340359</v>
      </c>
      <c r="D8">
        <v>0.24522677802972401</v>
      </c>
      <c r="E8">
        <v>0.32250086790057703</v>
      </c>
      <c r="F8">
        <v>0.29970538213854497</v>
      </c>
      <c r="G8">
        <v>0.37182629502790698</v>
      </c>
      <c r="H8">
        <v>0.411101363972603</v>
      </c>
      <c r="I8">
        <v>0.415905628128034</v>
      </c>
      <c r="J8">
        <v>0.39256015518877402</v>
      </c>
      <c r="K8">
        <v>0.34518985517296003</v>
      </c>
      <c r="L8">
        <v>0.27631297477862599</v>
      </c>
      <c r="M8">
        <v>0.19410655648022199</v>
      </c>
    </row>
    <row r="9" spans="1:13" x14ac:dyDescent="0.25">
      <c r="A9" s="4" t="s">
        <v>34</v>
      </c>
      <c r="B9">
        <v>4.1047833175598999E-2</v>
      </c>
      <c r="C9">
        <v>8.7029986006012194E-2</v>
      </c>
      <c r="D9">
        <v>0.15957213269602299</v>
      </c>
      <c r="E9">
        <v>0.23524853335493301</v>
      </c>
      <c r="F9">
        <v>0.24589566535513499</v>
      </c>
      <c r="G9">
        <v>0.29603739194121298</v>
      </c>
      <c r="H9">
        <v>0.33475741365436001</v>
      </c>
      <c r="I9">
        <v>0.35821837010257901</v>
      </c>
      <c r="J9">
        <v>0.36436653774307498</v>
      </c>
      <c r="K9">
        <v>0.34841338096310098</v>
      </c>
      <c r="L9">
        <v>0.30403111936919802</v>
      </c>
      <c r="M9">
        <v>0.23213921028701401</v>
      </c>
    </row>
    <row r="10" spans="1:13" x14ac:dyDescent="0.25">
      <c r="A10" s="4" t="s">
        <v>35</v>
      </c>
      <c r="B10">
        <v>1.8229284713287101E-4</v>
      </c>
      <c r="C10">
        <v>1.20624413971925E-3</v>
      </c>
      <c r="D10">
        <v>7.3289636915942003E-3</v>
      </c>
      <c r="E10">
        <v>3.5575952645799498E-2</v>
      </c>
      <c r="F10">
        <v>0.119295936412285</v>
      </c>
      <c r="G10">
        <v>0.10896758900303199</v>
      </c>
      <c r="H10">
        <v>0.10323474648717899</v>
      </c>
      <c r="I10">
        <v>0.108422598609246</v>
      </c>
      <c r="J10">
        <v>0.12892316902450601</v>
      </c>
      <c r="K10">
        <v>0.16782044440372099</v>
      </c>
      <c r="L10">
        <v>0.221527852265233</v>
      </c>
      <c r="M10">
        <v>0.26968492269260502</v>
      </c>
    </row>
    <row r="11" spans="1:13" x14ac:dyDescent="0.25">
      <c r="A11" s="4" t="s">
        <v>36</v>
      </c>
      <c r="B11" s="17">
        <v>2.5658850253229199E-6</v>
      </c>
      <c r="C11" s="17">
        <v>5.0177434719480199E-5</v>
      </c>
      <c r="D11">
        <v>9.0597161516168395E-4</v>
      </c>
      <c r="E11">
        <v>1.2720487956693101E-2</v>
      </c>
      <c r="F11">
        <v>0.11981625926844899</v>
      </c>
      <c r="G11">
        <v>0.104996833443915</v>
      </c>
      <c r="H11">
        <v>9.4025564896659503E-2</v>
      </c>
      <c r="I11">
        <v>9.2254382863761003E-2</v>
      </c>
      <c r="J11">
        <v>0.103473131565833</v>
      </c>
      <c r="K11">
        <v>0.13418437054504201</v>
      </c>
      <c r="L11">
        <v>0.19637962807682299</v>
      </c>
      <c r="M11">
        <v>0.303400516158917</v>
      </c>
    </row>
    <row r="12" spans="1:13" x14ac:dyDescent="0.25">
      <c r="A12" s="15" t="s">
        <v>20</v>
      </c>
      <c r="B12">
        <f>SUM(B3:B11)</f>
        <v>1.0000000000000004</v>
      </c>
      <c r="C12">
        <f t="shared" ref="C12:M12" si="0">SUM(C3:C11)</f>
        <v>1.0000000000000004</v>
      </c>
      <c r="D12">
        <f t="shared" si="0"/>
        <v>0.99999999999999978</v>
      </c>
      <c r="E12">
        <f t="shared" si="0"/>
        <v>0.99999999999999978</v>
      </c>
      <c r="F12">
        <f t="shared" si="0"/>
        <v>0.99999999999999967</v>
      </c>
      <c r="G12">
        <f t="shared" si="0"/>
        <v>1.0000000000000007</v>
      </c>
      <c r="H12">
        <f t="shared" si="0"/>
        <v>1</v>
      </c>
      <c r="I12">
        <f t="shared" si="0"/>
        <v>0.99999999999999978</v>
      </c>
      <c r="J12">
        <f t="shared" si="0"/>
        <v>0.99999999999999978</v>
      </c>
      <c r="K12">
        <f t="shared" si="0"/>
        <v>1</v>
      </c>
      <c r="L12">
        <f t="shared" si="0"/>
        <v>1</v>
      </c>
      <c r="M12">
        <f t="shared" si="0"/>
        <v>1</v>
      </c>
    </row>
    <row r="33" spans="1:12" x14ac:dyDescent="0.25">
      <c r="F33" s="17"/>
      <c r="G33" s="17"/>
      <c r="H33" s="17"/>
      <c r="I33" s="17"/>
      <c r="J33" s="17"/>
      <c r="K33" s="17"/>
      <c r="L33" s="17"/>
    </row>
    <row r="34" spans="1:12" x14ac:dyDescent="0.25">
      <c r="F34" s="17"/>
      <c r="G34" s="17"/>
      <c r="H34" s="17"/>
      <c r="I34" s="17"/>
      <c r="J34" s="17"/>
      <c r="K34" s="17"/>
      <c r="L34" s="17"/>
    </row>
    <row r="35" spans="1:12" x14ac:dyDescent="0.25">
      <c r="H35" s="17"/>
      <c r="I35" s="17"/>
      <c r="J35" s="17"/>
      <c r="K35" s="17"/>
      <c r="L35" s="17"/>
    </row>
    <row r="36" spans="1:12" x14ac:dyDescent="0.25">
      <c r="L36" s="17"/>
    </row>
    <row r="41" spans="1:12" x14ac:dyDescent="0.25">
      <c r="A41" s="17"/>
      <c r="B41" s="17"/>
    </row>
    <row r="44" spans="1:12" x14ac:dyDescent="0.25">
      <c r="A44" t="s">
        <v>77</v>
      </c>
      <c r="B44" t="s">
        <v>76</v>
      </c>
      <c r="C44" t="s">
        <v>78</v>
      </c>
      <c r="D44" t="s">
        <v>76</v>
      </c>
    </row>
    <row r="45" spans="1:12" x14ac:dyDescent="0.25">
      <c r="A45" t="s">
        <v>77</v>
      </c>
      <c r="B45" t="s">
        <v>76</v>
      </c>
      <c r="C45" t="s">
        <v>78</v>
      </c>
      <c r="D45" t="s">
        <v>76</v>
      </c>
    </row>
    <row r="46" spans="1:12" x14ac:dyDescent="0.25">
      <c r="A46" t="s">
        <v>77</v>
      </c>
      <c r="B46" t="s">
        <v>76</v>
      </c>
      <c r="C46" t="s">
        <v>78</v>
      </c>
      <c r="D46" t="s">
        <v>76</v>
      </c>
    </row>
    <row r="47" spans="1:12" x14ac:dyDescent="0.25">
      <c r="A47" t="s">
        <v>77</v>
      </c>
      <c r="B47" t="s">
        <v>76</v>
      </c>
      <c r="C47" t="s">
        <v>78</v>
      </c>
      <c r="D47" t="s">
        <v>76</v>
      </c>
    </row>
    <row r="48" spans="1:12" x14ac:dyDescent="0.25">
      <c r="A48" t="s">
        <v>77</v>
      </c>
      <c r="B48" t="s">
        <v>76</v>
      </c>
      <c r="C48" t="s">
        <v>78</v>
      </c>
      <c r="D48" t="s">
        <v>76</v>
      </c>
    </row>
    <row r="49" spans="1:12" x14ac:dyDescent="0.25">
      <c r="A49" t="s">
        <v>77</v>
      </c>
      <c r="B49" t="s">
        <v>76</v>
      </c>
      <c r="C49" t="s">
        <v>78</v>
      </c>
      <c r="D49" t="s">
        <v>76</v>
      </c>
    </row>
    <row r="50" spans="1:12" x14ac:dyDescent="0.25">
      <c r="A50" t="s">
        <v>77</v>
      </c>
      <c r="B50" t="s">
        <v>76</v>
      </c>
      <c r="C50" t="s">
        <v>78</v>
      </c>
      <c r="D50" t="s">
        <v>76</v>
      </c>
    </row>
    <row r="51" spans="1:12" x14ac:dyDescent="0.25">
      <c r="A51" t="s">
        <v>77</v>
      </c>
      <c r="B51" t="s">
        <v>76</v>
      </c>
      <c r="C51" t="s">
        <v>78</v>
      </c>
      <c r="D51" t="s">
        <v>76</v>
      </c>
    </row>
    <row r="52" spans="1:12" x14ac:dyDescent="0.25">
      <c r="A52" t="s">
        <v>77</v>
      </c>
      <c r="B52" t="s">
        <v>76</v>
      </c>
      <c r="C52" t="s">
        <v>78</v>
      </c>
    </row>
    <row r="53" spans="1:12" x14ac:dyDescent="0.25">
      <c r="A53" t="str">
        <f>CONCATENATE(A44,B3,B44)</f>
        <v>(0.000510613639489793,</v>
      </c>
      <c r="B53" t="str">
        <f>CONCATENATE(C3,$B$44)</f>
        <v>0.000268388709260424,</v>
      </c>
      <c r="C53" t="str">
        <f t="shared" ref="C53:K53" si="1">CONCATENATE(D3,$B$44)</f>
        <v>0.000187920937209795,</v>
      </c>
      <c r="D53" t="str">
        <f t="shared" si="1"/>
        <v>0.000143080781561487,</v>
      </c>
      <c r="E53" t="str">
        <f t="shared" si="1"/>
        <v>0.000100451686535961,</v>
      </c>
      <c r="F53" t="str">
        <f t="shared" si="1"/>
        <v>6.35990117516485E-07,</v>
      </c>
      <c r="G53" t="str">
        <f t="shared" si="1"/>
        <v>3.80544156724543E-09,</v>
      </c>
      <c r="H53" t="str">
        <f t="shared" si="1"/>
        <v>2.3114258769459E-11,</v>
      </c>
      <c r="I53" t="str">
        <f t="shared" si="1"/>
        <v>1.4908223480494E-13,</v>
      </c>
      <c r="J53" t="str">
        <f t="shared" si="1"/>
        <v>1.04362644462048E-15,</v>
      </c>
      <c r="K53" t="str">
        <f t="shared" si="1"/>
        <v>8.10246270000773E-18,</v>
      </c>
      <c r="L53" t="str">
        <f>CONCATENATE(M3,C44,D44)</f>
        <v>7.81773652225201E-20),</v>
      </c>
    </row>
    <row r="54" spans="1:12" x14ac:dyDescent="0.25">
      <c r="A54" t="str">
        <f t="shared" ref="A54:A61" si="2">CONCATENATE(A45,B4,B45)</f>
        <v>(0.0104085436416424,</v>
      </c>
      <c r="B54" t="str">
        <f t="shared" ref="B54:K61" si="3">CONCATENATE(C4,$B$44)</f>
        <v>0.00534640338774693,</v>
      </c>
      <c r="C54" t="str">
        <f t="shared" si="3"/>
        <v>0.00347622195828801,</v>
      </c>
      <c r="D54" t="str">
        <f t="shared" si="3"/>
        <v>0.00246218909437198,</v>
      </c>
      <c r="E54" t="str">
        <f t="shared" si="3"/>
        <v>0.0016152002126669,</v>
      </c>
      <c r="F54" t="str">
        <f t="shared" si="3"/>
        <v>7.50549181975997E-05,</v>
      </c>
      <c r="G54" t="str">
        <f t="shared" si="3"/>
        <v>3.11498578602394E-06,</v>
      </c>
      <c r="H54" t="str">
        <f t="shared" si="3"/>
        <v>1.24346135890643E-07,</v>
      </c>
      <c r="I54" t="str">
        <f t="shared" si="3"/>
        <v>5.00610834844335E-09,</v>
      </c>
      <c r="J54" t="str">
        <f t="shared" si="3"/>
        <v>2.082214569504E-10,</v>
      </c>
      <c r="K54" t="str">
        <f t="shared" si="3"/>
        <v>9.15559890120409E-12,</v>
      </c>
      <c r="L54" t="str">
        <f t="shared" ref="L54:L61" si="4">CONCATENATE(M4,C45,D45)</f>
        <v>4.68200201251034E-13),</v>
      </c>
    </row>
    <row r="55" spans="1:12" x14ac:dyDescent="0.25">
      <c r="A55" t="str">
        <f t="shared" si="2"/>
        <v>(0.071043222861403,</v>
      </c>
      <c r="B55" t="str">
        <f t="shared" si="3"/>
        <v>0.0414787743350461,</v>
      </c>
      <c r="C55" t="str">
        <f t="shared" si="3"/>
        <v>0.02605054435768,</v>
      </c>
      <c r="D55" t="str">
        <f t="shared" si="3"/>
        <v>0.0171639305292387,</v>
      </c>
      <c r="E55" t="str">
        <f t="shared" si="3"/>
        <v>0.0104931515632629,</v>
      </c>
      <c r="F55" t="str">
        <f t="shared" si="3"/>
        <v>0.00180053233259301,</v>
      </c>
      <c r="G55" t="str">
        <f t="shared" si="3"/>
        <v>0.000266203224685723,</v>
      </c>
      <c r="H55" t="str">
        <f t="shared" si="3"/>
        <v>3.65783590271044E-05,</v>
      </c>
      <c r="I55" t="str">
        <f t="shared" si="3"/>
        <v>4.90521860895627E-06,</v>
      </c>
      <c r="J55" t="str">
        <f t="shared" si="3"/>
        <v>6.5819233447888E-07,</v>
      </c>
      <c r="K55" t="str">
        <f t="shared" si="3"/>
        <v>9.00937624392204E-08,</v>
      </c>
      <c r="L55" t="str">
        <f t="shared" si="4"/>
        <v>1.330322864436E-08),</v>
      </c>
    </row>
    <row r="56" spans="1:12" x14ac:dyDescent="0.25">
      <c r="A56" t="str">
        <f t="shared" si="2"/>
        <v>(0.280201632004113,</v>
      </c>
      <c r="B56" t="str">
        <f t="shared" si="3"/>
        <v>0.22270341454978,</v>
      </c>
      <c r="C56" t="str">
        <f t="shared" si="3"/>
        <v>0.158141421758742,</v>
      </c>
      <c r="D56" t="str">
        <f t="shared" si="3"/>
        <v>0.101509760926175,</v>
      </c>
      <c r="E56" t="str">
        <f t="shared" si="3"/>
        <v>0.055804071059881,</v>
      </c>
      <c r="F56" t="str">
        <f t="shared" si="3"/>
        <v>0.0248320827326035,</v>
      </c>
      <c r="G56" t="str">
        <f t="shared" si="3"/>
        <v>0.00930587898808818,</v>
      </c>
      <c r="H56" t="str">
        <f t="shared" si="3"/>
        <v>0.00317016808452305,</v>
      </c>
      <c r="I56" t="str">
        <f t="shared" si="3"/>
        <v>0.00103076965365592,</v>
      </c>
      <c r="J56" t="str">
        <f t="shared" si="3"/>
        <v>0.000327011400714118,</v>
      </c>
      <c r="K56" t="str">
        <f t="shared" si="3"/>
        <v>0.000101840074265887,</v>
      </c>
      <c r="L56" t="str">
        <f t="shared" si="4"/>
        <v>3.14127386395307E-05),</v>
      </c>
    </row>
    <row r="57" spans="1:12" x14ac:dyDescent="0.25">
      <c r="A57" t="str">
        <f t="shared" si="2"/>
        <v>(0.519232183761321,</v>
      </c>
      <c r="B57" t="str">
        <f t="shared" si="3"/>
        <v>0.492926713097357,</v>
      </c>
      <c r="C57" t="str">
        <f t="shared" si="3"/>
        <v>0.399110044955577,</v>
      </c>
      <c r="D57" t="str">
        <f t="shared" si="3"/>
        <v>0.27267519681065,</v>
      </c>
      <c r="E57" t="str">
        <f t="shared" si="3"/>
        <v>0.147273882303239,</v>
      </c>
      <c r="F57" t="str">
        <f t="shared" si="3"/>
        <v>0.0914635846104221,</v>
      </c>
      <c r="G57" t="str">
        <f t="shared" si="3"/>
        <v>0.047305709985197,</v>
      </c>
      <c r="H57" t="str">
        <f t="shared" si="3"/>
        <v>0.0219921494835796,</v>
      </c>
      <c r="I57" t="str">
        <f t="shared" si="3"/>
        <v>0.00964132659928943,</v>
      </c>
      <c r="J57" t="str">
        <f t="shared" si="3"/>
        <v>0.00406427911390487,</v>
      </c>
      <c r="K57" t="str">
        <f t="shared" si="3"/>
        <v>0.00164649533293614,</v>
      </c>
      <c r="L57" t="str">
        <f t="shared" si="4"/>
        <v>0.000637368338905555),</v>
      </c>
    </row>
    <row r="58" spans="1:12" x14ac:dyDescent="0.25">
      <c r="A58" t="str">
        <f t="shared" si="2"/>
        <v>(0.077371112184274,</v>
      </c>
      <c r="B58" t="str">
        <f t="shared" si="3"/>
        <v>0.148989898340359,</v>
      </c>
      <c r="C58" t="str">
        <f t="shared" si="3"/>
        <v>0.245226778029724,</v>
      </c>
      <c r="D58" t="str">
        <f t="shared" si="3"/>
        <v>0.322500867900577,</v>
      </c>
      <c r="E58" t="str">
        <f t="shared" si="3"/>
        <v>0.299705382138545,</v>
      </c>
      <c r="F58" t="str">
        <f t="shared" si="3"/>
        <v>0.371826295027907,</v>
      </c>
      <c r="G58" t="str">
        <f t="shared" si="3"/>
        <v>0.411101363972603,</v>
      </c>
      <c r="H58" t="str">
        <f t="shared" si="3"/>
        <v>0.415905628128034,</v>
      </c>
      <c r="I58" t="str">
        <f t="shared" si="3"/>
        <v>0.392560155188774,</v>
      </c>
      <c r="J58" t="str">
        <f t="shared" si="3"/>
        <v>0.34518985517296,</v>
      </c>
      <c r="K58" t="str">
        <f t="shared" si="3"/>
        <v>0.276312974778626,</v>
      </c>
      <c r="L58" t="str">
        <f t="shared" si="4"/>
        <v>0.194106556480222),</v>
      </c>
    </row>
    <row r="59" spans="1:12" x14ac:dyDescent="0.25">
      <c r="A59" t="str">
        <f t="shared" si="2"/>
        <v>(0.041047833175599,</v>
      </c>
      <c r="B59" t="str">
        <f t="shared" si="3"/>
        <v>0.0870299860060122,</v>
      </c>
      <c r="C59" t="str">
        <f t="shared" si="3"/>
        <v>0.159572132696023,</v>
      </c>
      <c r="D59" t="str">
        <f t="shared" si="3"/>
        <v>0.235248533354933,</v>
      </c>
      <c r="E59" t="str">
        <f t="shared" si="3"/>
        <v>0.245895665355135,</v>
      </c>
      <c r="F59" t="str">
        <f t="shared" si="3"/>
        <v>0.296037391941213,</v>
      </c>
      <c r="G59" t="str">
        <f t="shared" si="3"/>
        <v>0.33475741365436,</v>
      </c>
      <c r="H59" t="str">
        <f t="shared" si="3"/>
        <v>0.358218370102579,</v>
      </c>
      <c r="I59" t="str">
        <f t="shared" si="3"/>
        <v>0.364366537743075,</v>
      </c>
      <c r="J59" t="str">
        <f t="shared" si="3"/>
        <v>0.348413380963101,</v>
      </c>
      <c r="K59" t="str">
        <f t="shared" si="3"/>
        <v>0.304031119369198,</v>
      </c>
      <c r="L59" t="str">
        <f t="shared" si="4"/>
        <v>0.232139210287014),</v>
      </c>
    </row>
    <row r="60" spans="1:12" x14ac:dyDescent="0.25">
      <c r="A60" t="str">
        <f t="shared" si="2"/>
        <v>(0.000182292847132871,</v>
      </c>
      <c r="B60" t="str">
        <f t="shared" si="3"/>
        <v>0.00120624413971925,</v>
      </c>
      <c r="C60" t="str">
        <f t="shared" si="3"/>
        <v>0.0073289636915942,</v>
      </c>
      <c r="D60" t="str">
        <f t="shared" si="3"/>
        <v>0.0355759526457995,</v>
      </c>
      <c r="E60" t="str">
        <f t="shared" si="3"/>
        <v>0.119295936412285,</v>
      </c>
      <c r="F60" t="str">
        <f t="shared" si="3"/>
        <v>0.108967589003032,</v>
      </c>
      <c r="G60" t="str">
        <f t="shared" si="3"/>
        <v>0.103234746487179,</v>
      </c>
      <c r="H60" t="str">
        <f t="shared" si="3"/>
        <v>0.108422598609246,</v>
      </c>
      <c r="I60" t="str">
        <f t="shared" si="3"/>
        <v>0.128923169024506,</v>
      </c>
      <c r="J60" t="str">
        <f t="shared" si="3"/>
        <v>0.167820444403721,</v>
      </c>
      <c r="K60" t="str">
        <f t="shared" si="3"/>
        <v>0.221527852265233,</v>
      </c>
      <c r="L60" t="str">
        <f t="shared" si="4"/>
        <v>0.269684922692605),</v>
      </c>
    </row>
    <row r="61" spans="1:12" x14ac:dyDescent="0.25">
      <c r="A61" t="str">
        <f t="shared" si="2"/>
        <v>(2.56588502532292E-06,</v>
      </c>
      <c r="B61" t="str">
        <f t="shared" si="3"/>
        <v>5.01774347194802E-05,</v>
      </c>
      <c r="C61" t="str">
        <f t="shared" si="3"/>
        <v>0.000905971615161684,</v>
      </c>
      <c r="D61" t="str">
        <f t="shared" si="3"/>
        <v>0.0127204879566931,</v>
      </c>
      <c r="E61" t="str">
        <f t="shared" si="3"/>
        <v>0.119816259268449,</v>
      </c>
      <c r="F61" t="str">
        <f t="shared" si="3"/>
        <v>0.104996833443915,</v>
      </c>
      <c r="G61" t="str">
        <f t="shared" si="3"/>
        <v>0.0940255648966595,</v>
      </c>
      <c r="H61" t="str">
        <f t="shared" si="3"/>
        <v>0.092254382863761,</v>
      </c>
      <c r="I61" t="str">
        <f t="shared" si="3"/>
        <v>0.103473131565833,</v>
      </c>
      <c r="J61" t="str">
        <f t="shared" si="3"/>
        <v>0.134184370545042,</v>
      </c>
      <c r="K61" t="str">
        <f t="shared" si="3"/>
        <v>0.196379628076823,</v>
      </c>
      <c r="L61" t="str">
        <f t="shared" si="4"/>
        <v>0.303400516158917)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85</v>
      </c>
      <c r="B1" t="s">
        <v>64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-3</v>
      </c>
      <c r="B2">
        <v>3</v>
      </c>
      <c r="C2">
        <f>A2^3+2*A2-3</f>
        <v>-36</v>
      </c>
      <c r="D2">
        <f>B2^3+2*B2-3</f>
        <v>30</v>
      </c>
      <c r="E2">
        <f>B2-D2*((B2-A2)/(D2-C2))</f>
        <v>0.27272727272727249</v>
      </c>
      <c r="F2" s="18">
        <f>ABS(E3-E2)</f>
        <v>0.20468759871122633</v>
      </c>
    </row>
    <row r="3" spans="1:6" x14ac:dyDescent="0.25">
      <c r="A3">
        <f>B2</f>
        <v>3</v>
      </c>
      <c r="B3">
        <f>E2</f>
        <v>0.27272727272727249</v>
      </c>
      <c r="C3">
        <f>A3^3+2*A3-3</f>
        <v>30</v>
      </c>
      <c r="D3">
        <f>B3^3+2*B3-3</f>
        <v>-2.4342599549211124</v>
      </c>
      <c r="E3">
        <f>B3-D3*((B3-A3)/(D3-C3))</f>
        <v>0.47741487143849881</v>
      </c>
      <c r="F3" s="18">
        <f t="shared" ref="F3:F11" si="0">ABS(E4-E3)</f>
        <v>0.79603214135319511</v>
      </c>
    </row>
    <row r="4" spans="1:6" x14ac:dyDescent="0.25">
      <c r="A4">
        <f t="shared" ref="A4:A8" si="1">B3</f>
        <v>0.27272727272727249</v>
      </c>
      <c r="B4">
        <f t="shared" ref="B4:B8" si="2">E3</f>
        <v>0.47741487143849881</v>
      </c>
      <c r="C4">
        <f t="shared" ref="C4:C8" si="3">A4^3+2*A4-3</f>
        <v>-2.4342599549211124</v>
      </c>
      <c r="D4">
        <f t="shared" ref="D4:D8" si="4">B4^3+2*B4-3</f>
        <v>-1.9363554918997026</v>
      </c>
      <c r="E4">
        <f t="shared" ref="E4:E8" si="5">B4-D4*((B4-A4)/(D4-C4))</f>
        <v>1.2734470127916939</v>
      </c>
      <c r="F4" s="18">
        <f t="shared" si="0"/>
        <v>0.36163355723618573</v>
      </c>
    </row>
    <row r="5" spans="1:6" x14ac:dyDescent="0.25">
      <c r="A5">
        <f t="shared" si="1"/>
        <v>0.47741487143849881</v>
      </c>
      <c r="B5">
        <f t="shared" si="2"/>
        <v>1.2734470127916939</v>
      </c>
      <c r="C5">
        <f t="shared" si="3"/>
        <v>-1.9363554918997026</v>
      </c>
      <c r="D5">
        <f t="shared" si="4"/>
        <v>1.6120013973638878</v>
      </c>
      <c r="E5">
        <f t="shared" si="5"/>
        <v>0.91181345555550819</v>
      </c>
      <c r="F5" s="18">
        <f t="shared" si="0"/>
        <v>7.4505122076652941E-2</v>
      </c>
    </row>
    <row r="6" spans="1:6" x14ac:dyDescent="0.25">
      <c r="A6">
        <f t="shared" si="1"/>
        <v>1.2734470127916939</v>
      </c>
      <c r="B6">
        <f t="shared" si="2"/>
        <v>0.91181345555550819</v>
      </c>
      <c r="C6">
        <f t="shared" si="3"/>
        <v>1.6120013973638878</v>
      </c>
      <c r="D6">
        <f t="shared" si="4"/>
        <v>-0.41828793735319492</v>
      </c>
      <c r="E6">
        <f t="shared" si="5"/>
        <v>0.98631857763216113</v>
      </c>
      <c r="F6" s="18">
        <f t="shared" si="0"/>
        <v>1.4424825590052204E-2</v>
      </c>
    </row>
    <row r="7" spans="1:6" x14ac:dyDescent="0.25">
      <c r="A7">
        <f t="shared" si="1"/>
        <v>0.91181345555550819</v>
      </c>
      <c r="B7">
        <f t="shared" si="2"/>
        <v>0.98631857763216113</v>
      </c>
      <c r="C7">
        <f t="shared" si="3"/>
        <v>-0.41828793735319492</v>
      </c>
      <c r="D7">
        <f t="shared" si="4"/>
        <v>-6.7848128791843543E-2</v>
      </c>
      <c r="E7">
        <f t="shared" si="5"/>
        <v>1.0007434032222133</v>
      </c>
      <c r="F7" s="18">
        <f t="shared" si="0"/>
        <v>7.4952671028349904E-4</v>
      </c>
    </row>
    <row r="8" spans="1:6" x14ac:dyDescent="0.25">
      <c r="A8">
        <f t="shared" si="1"/>
        <v>0.98631857763216113</v>
      </c>
      <c r="B8">
        <f t="shared" si="2"/>
        <v>1.0007434032222133</v>
      </c>
      <c r="C8">
        <f t="shared" si="3"/>
        <v>-6.7848128791843543E-2</v>
      </c>
      <c r="D8">
        <f t="shared" si="4"/>
        <v>3.718674466959726E-3</v>
      </c>
      <c r="E8">
        <f t="shared" si="5"/>
        <v>0.99999387651192984</v>
      </c>
      <c r="F8" s="18">
        <f t="shared" si="0"/>
        <v>6.1207572747967731E-6</v>
      </c>
    </row>
    <row r="9" spans="1:6" x14ac:dyDescent="0.25">
      <c r="A9">
        <f>B8</f>
        <v>1.0007434032222133</v>
      </c>
      <c r="B9">
        <f>E8</f>
        <v>0.99999387651192984</v>
      </c>
      <c r="C9">
        <f t="shared" ref="C9:D12" si="6">A9^3+2*A9-3</f>
        <v>3.718674466959726E-3</v>
      </c>
      <c r="D9">
        <f t="shared" si="6"/>
        <v>-3.0617327859694399E-5</v>
      </c>
      <c r="E9">
        <f>B9-D9*((B9-A9)/(D9-C9))</f>
        <v>0.99999999726920463</v>
      </c>
      <c r="F9" s="18">
        <f t="shared" si="0"/>
        <v>2.730805359618671E-9</v>
      </c>
    </row>
    <row r="10" spans="1:6" x14ac:dyDescent="0.25">
      <c r="A10">
        <f>B9</f>
        <v>0.99999387651192984</v>
      </c>
      <c r="B10">
        <f>E9</f>
        <v>0.99999999726920463</v>
      </c>
      <c r="C10">
        <f t="shared" si="6"/>
        <v>-3.0617327859694399E-5</v>
      </c>
      <c r="D10">
        <f t="shared" si="6"/>
        <v>-1.3653976616012642E-8</v>
      </c>
      <c r="E10">
        <f>B10-D10*((B10-A10)/(D10-C10))</f>
        <v>1.00000000000001</v>
      </c>
      <c r="F10" s="18">
        <f t="shared" si="0"/>
        <v>9.9920072216264089E-15</v>
      </c>
    </row>
    <row r="11" spans="1:6" x14ac:dyDescent="0.25">
      <c r="A11">
        <f>B10</f>
        <v>0.99999999726920463</v>
      </c>
      <c r="B11">
        <f>E10</f>
        <v>1.00000000000001</v>
      </c>
      <c r="C11">
        <f t="shared" si="6"/>
        <v>-1.3653976616012642E-8</v>
      </c>
      <c r="D11">
        <f t="shared" si="6"/>
        <v>4.9737991503207013E-14</v>
      </c>
      <c r="E11">
        <f>B11-D11*((B11-A11)/(D11-C11))</f>
        <v>1</v>
      </c>
      <c r="F11" s="18">
        <f t="shared" si="0"/>
        <v>0</v>
      </c>
    </row>
    <row r="12" spans="1:6" x14ac:dyDescent="0.25">
      <c r="A12">
        <f>B11</f>
        <v>1.00000000000001</v>
      </c>
      <c r="B12">
        <f>E11</f>
        <v>1</v>
      </c>
      <c r="C12">
        <f t="shared" si="6"/>
        <v>4.9737991503207013E-14</v>
      </c>
      <c r="D12">
        <f t="shared" si="6"/>
        <v>0</v>
      </c>
      <c r="E12">
        <f>B12-D12*((B12-A12)/(D12-C12))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30" sqref="B30"/>
    </sheetView>
  </sheetViews>
  <sheetFormatPr defaultRowHeight="15" x14ac:dyDescent="0.25"/>
  <cols>
    <col min="1" max="1" width="32.85546875" bestFit="1" customWidth="1"/>
  </cols>
  <sheetData>
    <row r="1" spans="1:10" x14ac:dyDescent="0.25">
      <c r="A1" t="s">
        <v>92</v>
      </c>
      <c r="E1" t="s">
        <v>99</v>
      </c>
    </row>
    <row r="2" spans="1:10" x14ac:dyDescent="0.25"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A3" t="s">
        <v>93</v>
      </c>
      <c r="B3">
        <v>-12.98</v>
      </c>
      <c r="C3">
        <v>-1.7675000000000001</v>
      </c>
      <c r="D3">
        <v>39.488900000000001</v>
      </c>
      <c r="E3">
        <v>30.902999999999999</v>
      </c>
      <c r="F3">
        <v>67.721000000000004</v>
      </c>
      <c r="G3">
        <v>64.25</v>
      </c>
      <c r="H3">
        <v>63.198</v>
      </c>
      <c r="I3">
        <v>74.513000000000005</v>
      </c>
      <c r="J3">
        <v>71.41</v>
      </c>
    </row>
    <row r="4" spans="1:10" x14ac:dyDescent="0.25">
      <c r="A4" t="s">
        <v>94</v>
      </c>
      <c r="B4">
        <v>2.3645900000000002</v>
      </c>
      <c r="C4">
        <v>1.1429</v>
      </c>
      <c r="D4">
        <v>0.39500000000000002</v>
      </c>
      <c r="E4">
        <v>0.15329999999999999</v>
      </c>
      <c r="F4">
        <v>8.5405800000000007E-3</v>
      </c>
      <c r="G4">
        <v>-0.131798</v>
      </c>
      <c r="H4" s="17">
        <v>-1.1701700000000001E-2</v>
      </c>
      <c r="I4" s="17">
        <v>-9.6697000000000005E-2</v>
      </c>
      <c r="J4" s="17">
        <v>-9.6894900000000006E-2</v>
      </c>
    </row>
    <row r="5" spans="1:10" x14ac:dyDescent="0.25">
      <c r="A5" t="s">
        <v>95</v>
      </c>
      <c r="B5" s="17">
        <v>-2.13247E-3</v>
      </c>
      <c r="C5" s="17">
        <v>-3.2360000000000001E-4</v>
      </c>
      <c r="D5">
        <v>2.1140899999999999E-3</v>
      </c>
      <c r="E5">
        <v>2.6347900000000001E-3</v>
      </c>
      <c r="F5">
        <v>3.27699E-3</v>
      </c>
      <c r="G5">
        <v>3.5409999999999999E-3</v>
      </c>
      <c r="H5">
        <v>3.3164000000000002E-3</v>
      </c>
      <c r="I5">
        <v>3.47649E-3</v>
      </c>
      <c r="J5">
        <v>3.473E-3</v>
      </c>
    </row>
    <row r="6" spans="1:10" x14ac:dyDescent="0.25">
      <c r="A6" t="s">
        <v>96</v>
      </c>
      <c r="B6">
        <v>5.6617999999999997E-6</v>
      </c>
      <c r="C6">
        <v>4.2431000000000001E-6</v>
      </c>
      <c r="D6">
        <v>3.9648600000000002E-7</v>
      </c>
      <c r="E6">
        <v>7.27226E-8</v>
      </c>
      <c r="F6" s="17">
        <v>-1.10968E-6</v>
      </c>
      <c r="G6" s="17">
        <v>-1.3332E-6</v>
      </c>
      <c r="H6" s="17">
        <v>-1.1705000000000001E-6</v>
      </c>
      <c r="I6" s="17">
        <v>-1.3211999999999999E-6</v>
      </c>
      <c r="J6" s="17">
        <v>-1.3302E-6</v>
      </c>
    </row>
    <row r="7" spans="1:10" x14ac:dyDescent="0.25">
      <c r="A7" t="s">
        <v>97</v>
      </c>
      <c r="B7" s="17">
        <v>-3.7247599999999999E-9</v>
      </c>
      <c r="C7" s="17">
        <v>-3.3931599999999999E-9</v>
      </c>
      <c r="D7" s="17">
        <v>-6.6717600000000003E-10</v>
      </c>
      <c r="E7" s="17">
        <v>-7.2789600000000001E-10</v>
      </c>
      <c r="F7" s="17">
        <v>1.76646E-10</v>
      </c>
      <c r="G7" s="17">
        <v>2.5144600000000001E-10</v>
      </c>
      <c r="H7" s="17">
        <v>1.9963600000000001E-10</v>
      </c>
      <c r="I7" s="17">
        <v>2.5236499999999999E-10</v>
      </c>
      <c r="J7" s="17">
        <v>2.55766E-10</v>
      </c>
    </row>
    <row r="8" spans="1:10" x14ac:dyDescent="0.25">
      <c r="A8" t="s">
        <v>98</v>
      </c>
      <c r="B8" s="17">
        <v>8.6089600000000001E-13</v>
      </c>
      <c r="C8" s="17">
        <v>8.8209599999999996E-13</v>
      </c>
      <c r="D8" s="17">
        <v>1.67936E-13</v>
      </c>
      <c r="E8" s="17">
        <v>2.3673600000000002E-13</v>
      </c>
      <c r="F8" s="17">
        <v>-6.3992599999999998E-15</v>
      </c>
      <c r="G8" s="17">
        <v>-1.2957600000000001E-14</v>
      </c>
      <c r="H8" s="17">
        <v>-8.6648500000000004E-15</v>
      </c>
      <c r="I8" s="17">
        <v>-1.34666E-14</v>
      </c>
      <c r="J8" s="17">
        <v>-1.37726E-14</v>
      </c>
    </row>
    <row r="10" spans="1:10" x14ac:dyDescent="0.25">
      <c r="A10" t="s">
        <v>101</v>
      </c>
      <c r="B10" s="14">
        <v>298</v>
      </c>
    </row>
    <row r="11" spans="1:10" x14ac:dyDescent="0.25"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</row>
    <row r="12" spans="1:10" x14ac:dyDescent="0.25">
      <c r="A12" t="s">
        <v>100</v>
      </c>
      <c r="B12" s="14">
        <f>B3+B4*$B$10+B5*$B$10^2+B6*$B$10^3+B7*$B$10^4+B8*$B$10^5</f>
        <v>624.77666997596259</v>
      </c>
      <c r="C12" s="14">
        <f t="shared" ref="C12:I12" si="0">C3+C4*$B$10+C5*$B$10^2+C6*$B$10^3+C7*$B$10^4+C8*$B$10^5</f>
        <v>397.68141250737631</v>
      </c>
      <c r="D12" s="14">
        <f t="shared" si="0"/>
        <v>350.56420363753267</v>
      </c>
      <c r="E12" s="14">
        <f t="shared" si="0"/>
        <v>307.30684187242935</v>
      </c>
      <c r="F12" s="14">
        <f t="shared" si="0"/>
        <v>333.28781222880531</v>
      </c>
      <c r="G12" s="14">
        <f t="shared" si="0"/>
        <v>306.10038881947764</v>
      </c>
      <c r="H12" s="14">
        <f t="shared" si="0"/>
        <v>324.79884105993989</v>
      </c>
      <c r="I12" s="14">
        <f t="shared" si="0"/>
        <v>321.4183550686426</v>
      </c>
      <c r="J12" s="14">
        <f>J3+J4*$B$10+J5*$B$10^2+J6*$B$10^3+J7*$B$10^4+J8*$B$10^5</f>
        <v>317.73438425592326</v>
      </c>
    </row>
    <row r="13" spans="1:10" x14ac:dyDescent="0.25">
      <c r="B13">
        <f>B12*B23</f>
        <v>10023.229692144037</v>
      </c>
      <c r="C13">
        <f t="shared" ref="C13:J13" si="1">C12*C23</f>
        <v>11958.240509844945</v>
      </c>
      <c r="D13">
        <f t="shared" si="1"/>
        <v>15458.829730597756</v>
      </c>
      <c r="E13">
        <f t="shared" si="1"/>
        <v>17861.90304580177</v>
      </c>
      <c r="F13">
        <f t="shared" si="1"/>
        <v>19372.020981067541</v>
      </c>
      <c r="G13">
        <f t="shared" si="1"/>
        <v>22085.449452640292</v>
      </c>
      <c r="H13">
        <f t="shared" si="1"/>
        <v>23434.561498502091</v>
      </c>
      <c r="I13">
        <f t="shared" si="1"/>
        <v>27699.159575358612</v>
      </c>
      <c r="J13">
        <f t="shared" si="1"/>
        <v>31838.574556153922</v>
      </c>
    </row>
    <row r="14" spans="1:10" x14ac:dyDescent="0.25">
      <c r="A14" t="s">
        <v>77</v>
      </c>
      <c r="B14" t="s">
        <v>76</v>
      </c>
      <c r="J14" t="s">
        <v>138</v>
      </c>
    </row>
    <row r="15" spans="1:10" x14ac:dyDescent="0.25">
      <c r="B15" t="str">
        <f>CONCATENATE($A$14,B3,$B$14)</f>
        <v>(-12.98,</v>
      </c>
      <c r="C15" t="str">
        <f t="shared" ref="C15:I15" si="2">CONCATENATE(C3,$B$14)</f>
        <v>-1.7675,</v>
      </c>
      <c r="D15" t="str">
        <f t="shared" si="2"/>
        <v>39.4889,</v>
      </c>
      <c r="E15" t="str">
        <f t="shared" si="2"/>
        <v>30.903,</v>
      </c>
      <c r="F15" t="str">
        <f t="shared" si="2"/>
        <v>67.721,</v>
      </c>
      <c r="G15" t="str">
        <f t="shared" si="2"/>
        <v>64.25,</v>
      </c>
      <c r="H15" t="str">
        <f t="shared" si="2"/>
        <v>63.198,</v>
      </c>
      <c r="I15" t="str">
        <f t="shared" si="2"/>
        <v>74.513,</v>
      </c>
      <c r="J15" t="str">
        <f>CONCATENATE(J3,$J$14)</f>
        <v>71.41);</v>
      </c>
    </row>
    <row r="16" spans="1:10" x14ac:dyDescent="0.25">
      <c r="B16" t="str">
        <f t="shared" ref="B16:B20" si="3">CONCATENATE($A$14,B4,$B$14)</f>
        <v>(2.36459,</v>
      </c>
      <c r="C16" t="str">
        <f t="shared" ref="C16:I16" si="4">CONCATENATE(C4,$B$14)</f>
        <v>1.1429,</v>
      </c>
      <c r="D16" t="str">
        <f t="shared" si="4"/>
        <v>0.395,</v>
      </c>
      <c r="E16" t="str">
        <f t="shared" si="4"/>
        <v>0.1533,</v>
      </c>
      <c r="F16" t="str">
        <f t="shared" si="4"/>
        <v>0.00854058,</v>
      </c>
      <c r="G16" t="str">
        <f t="shared" si="4"/>
        <v>-0.131798,</v>
      </c>
      <c r="H16" t="str">
        <f t="shared" si="4"/>
        <v>-0.0117017,</v>
      </c>
      <c r="I16" t="str">
        <f t="shared" si="4"/>
        <v>-0.096697,</v>
      </c>
      <c r="J16" t="str">
        <f t="shared" ref="J16:J20" si="5">CONCATENATE(J4,$J$14)</f>
        <v>-0.0968949);</v>
      </c>
    </row>
    <row r="17" spans="1:10" x14ac:dyDescent="0.25">
      <c r="B17" t="str">
        <f t="shared" si="3"/>
        <v>(-0.00213247,</v>
      </c>
      <c r="C17" t="str">
        <f t="shared" ref="C17:I17" si="6">CONCATENATE(C5,$B$14)</f>
        <v>-0.0003236,</v>
      </c>
      <c r="D17" t="str">
        <f t="shared" si="6"/>
        <v>0.00211409,</v>
      </c>
      <c r="E17" t="str">
        <f t="shared" si="6"/>
        <v>0.00263479,</v>
      </c>
      <c r="F17" t="str">
        <f t="shared" si="6"/>
        <v>0.00327699,</v>
      </c>
      <c r="G17" t="str">
        <f t="shared" si="6"/>
        <v>0.003541,</v>
      </c>
      <c r="H17" t="str">
        <f t="shared" si="6"/>
        <v>0.0033164,</v>
      </c>
      <c r="I17" t="str">
        <f t="shared" si="6"/>
        <v>0.00347649,</v>
      </c>
      <c r="J17" t="str">
        <f t="shared" si="5"/>
        <v>0.003473);</v>
      </c>
    </row>
    <row r="18" spans="1:10" x14ac:dyDescent="0.25">
      <c r="B18" t="str">
        <f t="shared" si="3"/>
        <v>(0.0000056618,</v>
      </c>
      <c r="C18" t="str">
        <f t="shared" ref="C18:I18" si="7">CONCATENATE(C6,$B$14)</f>
        <v>0.0000042431,</v>
      </c>
      <c r="D18" t="str">
        <f t="shared" si="7"/>
        <v>0.000000396486,</v>
      </c>
      <c r="E18" t="str">
        <f t="shared" si="7"/>
        <v>0.0000000727226,</v>
      </c>
      <c r="F18" t="str">
        <f t="shared" si="7"/>
        <v>-0.00000110968,</v>
      </c>
      <c r="G18" t="str">
        <f t="shared" si="7"/>
        <v>-0.0000013332,</v>
      </c>
      <c r="H18" t="str">
        <f t="shared" si="7"/>
        <v>-0.0000011705,</v>
      </c>
      <c r="I18" t="str">
        <f t="shared" si="7"/>
        <v>-0.0000013212,</v>
      </c>
      <c r="J18" t="str">
        <f t="shared" si="5"/>
        <v>-0.0000013302);</v>
      </c>
    </row>
    <row r="19" spans="1:10" x14ac:dyDescent="0.25">
      <c r="B19" t="str">
        <f t="shared" si="3"/>
        <v>(-0.00000000372476,</v>
      </c>
      <c r="C19" t="str">
        <f t="shared" ref="C19:I19" si="8">CONCATENATE(C7,$B$14)</f>
        <v>-0.00000000339316,</v>
      </c>
      <c r="D19" t="str">
        <f t="shared" si="8"/>
        <v>-0.000000000667176,</v>
      </c>
      <c r="E19" t="str">
        <f t="shared" si="8"/>
        <v>-0.000000000727896,</v>
      </c>
      <c r="F19" t="str">
        <f t="shared" si="8"/>
        <v>0.000000000176646,</v>
      </c>
      <c r="G19" t="str">
        <f t="shared" si="8"/>
        <v>0.000000000251446,</v>
      </c>
      <c r="H19" t="str">
        <f t="shared" si="8"/>
        <v>0.000000000199636,</v>
      </c>
      <c r="I19" t="str">
        <f t="shared" si="8"/>
        <v>0.000000000252365,</v>
      </c>
      <c r="J19" t="str">
        <f t="shared" si="5"/>
        <v>0.000000000255766);</v>
      </c>
    </row>
    <row r="20" spans="1:10" x14ac:dyDescent="0.25">
      <c r="B20" t="str">
        <f t="shared" si="3"/>
        <v>(0.000000000000860896,</v>
      </c>
      <c r="C20" t="str">
        <f t="shared" ref="C20:I20" si="9">CONCATENATE(C8,$B$14)</f>
        <v>0.000000000000882096,</v>
      </c>
      <c r="D20" t="str">
        <f t="shared" si="9"/>
        <v>0.000000000000167936,</v>
      </c>
      <c r="E20" t="str">
        <f t="shared" si="9"/>
        <v>0.000000000000236736,</v>
      </c>
      <c r="F20" t="str">
        <f t="shared" si="9"/>
        <v>-6.39926E-15,</v>
      </c>
      <c r="G20" t="str">
        <f t="shared" si="9"/>
        <v>-1.29576E-14,</v>
      </c>
      <c r="H20" t="str">
        <f t="shared" si="9"/>
        <v>-8.66485E-15,</v>
      </c>
      <c r="I20" t="str">
        <f t="shared" si="9"/>
        <v>-1.34666E-14,</v>
      </c>
      <c r="J20" t="str">
        <f t="shared" si="5"/>
        <v>-1.37726E-14);</v>
      </c>
    </row>
    <row r="22" spans="1:10" x14ac:dyDescent="0.25">
      <c r="A22" t="s">
        <v>193</v>
      </c>
      <c r="B22" s="4" t="s">
        <v>28</v>
      </c>
      <c r="C22" s="4" t="s">
        <v>29</v>
      </c>
      <c r="D22" s="4" t="s">
        <v>30</v>
      </c>
      <c r="E22" s="4" t="s">
        <v>31</v>
      </c>
      <c r="F22" s="4" t="s">
        <v>32</v>
      </c>
      <c r="G22" s="4" t="s">
        <v>33</v>
      </c>
      <c r="H22" s="4" t="s">
        <v>34</v>
      </c>
      <c r="I22" s="4" t="s">
        <v>35</v>
      </c>
      <c r="J22" s="4" t="s">
        <v>36</v>
      </c>
    </row>
    <row r="23" spans="1:10" x14ac:dyDescent="0.25">
      <c r="B23" s="4">
        <v>16.042900085449201</v>
      </c>
      <c r="C23" s="4">
        <v>30.069900512695298</v>
      </c>
      <c r="D23" s="4">
        <v>44.097000122070298</v>
      </c>
      <c r="E23" s="4">
        <v>58.124000549316399</v>
      </c>
      <c r="F23" s="4">
        <v>58.124000549316399</v>
      </c>
      <c r="G23" s="4">
        <v>72.1510009765625</v>
      </c>
      <c r="H23" s="4">
        <v>72.1510009765625</v>
      </c>
      <c r="I23" s="4">
        <v>86.177902221679702</v>
      </c>
      <c r="J23" s="4">
        <v>100.205001831055</v>
      </c>
    </row>
    <row r="24" spans="1:10" x14ac:dyDescent="0.25">
      <c r="B24" s="30"/>
      <c r="C24" s="30"/>
      <c r="D24" s="30"/>
      <c r="E24" s="30"/>
      <c r="F24" s="30"/>
      <c r="G24" s="30"/>
      <c r="H24" s="30"/>
      <c r="I24" s="30"/>
      <c r="J24" s="30"/>
    </row>
    <row r="25" spans="1:10" x14ac:dyDescent="0.25">
      <c r="A25" t="s">
        <v>134</v>
      </c>
      <c r="B25">
        <v>-161.52500000000001</v>
      </c>
      <c r="C25">
        <v>-88.599996948242193</v>
      </c>
      <c r="D25">
        <v>-42.101995849609402</v>
      </c>
      <c r="E25">
        <v>-11.7299865722656</v>
      </c>
      <c r="F25">
        <v>-0.50198974609372704</v>
      </c>
      <c r="G25">
        <v>27.878015136718801</v>
      </c>
      <c r="H25">
        <v>36.059014892578098</v>
      </c>
      <c r="I25">
        <v>68.730004882812494</v>
      </c>
      <c r="J25">
        <v>98.429010009765605</v>
      </c>
    </row>
    <row r="26" spans="1:10" x14ac:dyDescent="0.25">
      <c r="A26" t="s">
        <v>101</v>
      </c>
      <c r="B26">
        <v>120.045972232935</v>
      </c>
      <c r="C26">
        <v>197.82860935532199</v>
      </c>
      <c r="D26">
        <v>246.87619614213099</v>
      </c>
      <c r="E26">
        <v>279.40760224913998</v>
      </c>
      <c r="F26">
        <v>291.05885989192899</v>
      </c>
      <c r="G26">
        <v>321.38292240027999</v>
      </c>
      <c r="H26">
        <v>329.86348975768198</v>
      </c>
      <c r="I26">
        <v>364.30083038148302</v>
      </c>
      <c r="J26">
        <v>395.54993099207098</v>
      </c>
    </row>
    <row r="27" spans="1:10" x14ac:dyDescent="0.25">
      <c r="B27" s="14"/>
    </row>
    <row r="28" spans="1:10" x14ac:dyDescent="0.25">
      <c r="A28" t="s">
        <v>194</v>
      </c>
      <c r="B28" s="4" t="s">
        <v>28</v>
      </c>
      <c r="C28" s="4" t="s">
        <v>29</v>
      </c>
      <c r="D28" s="4" t="s">
        <v>30</v>
      </c>
      <c r="E28" s="4" t="s">
        <v>31</v>
      </c>
      <c r="F28" s="4" t="s">
        <v>32</v>
      </c>
      <c r="G28" s="4" t="s">
        <v>33</v>
      </c>
      <c r="H28" s="4" t="s">
        <v>34</v>
      </c>
      <c r="I28" s="4" t="s">
        <v>35</v>
      </c>
      <c r="J28" s="4" t="s">
        <v>36</v>
      </c>
    </row>
    <row r="29" spans="1:10" x14ac:dyDescent="0.25">
      <c r="B29" s="14">
        <f>(B3+B4*B26+B5*B26^2+B6*B26^3+B7*B26^4+B8*B26^5)*B23</f>
        <v>3997.7488208040782</v>
      </c>
      <c r="C29" s="14">
        <f t="shared" ref="C29:I29" si="10">(C3+C4*C26+C5*C26^2+C6*C26^3+C7*C26^4+C8*C26^5)*C23</f>
        <v>7204.3778953286037</v>
      </c>
      <c r="D29" s="14">
        <f t="shared" si="10"/>
        <v>11883.951672795969</v>
      </c>
      <c r="E29" s="14">
        <f t="shared" si="10"/>
        <v>16099.400453964392</v>
      </c>
      <c r="F29" s="14">
        <f t="shared" si="10"/>
        <v>18699.113741368237</v>
      </c>
      <c r="G29" s="14">
        <f t="shared" si="10"/>
        <v>24965.292007405551</v>
      </c>
      <c r="H29" s="14">
        <f t="shared" si="10"/>
        <v>27454.3904513751</v>
      </c>
      <c r="I29" s="14">
        <f t="shared" si="10"/>
        <v>38017.36489095146</v>
      </c>
      <c r="J29" s="14">
        <f>(J3+J4*J26+J5*J26^2+J6*J26^3+J7*J26^4+J8*J26^5)*J23</f>
        <v>50129.826342776381</v>
      </c>
    </row>
    <row r="31" spans="1:10" x14ac:dyDescent="0.25">
      <c r="A31" t="s">
        <v>195</v>
      </c>
      <c r="B31" s="4" t="s">
        <v>28</v>
      </c>
      <c r="C31" s="4" t="s">
        <v>29</v>
      </c>
      <c r="D31" s="4" t="s">
        <v>30</v>
      </c>
      <c r="E31" s="4" t="s">
        <v>31</v>
      </c>
      <c r="F31" s="4" t="s">
        <v>32</v>
      </c>
      <c r="G31" s="4" t="s">
        <v>33</v>
      </c>
      <c r="H31" s="4" t="s">
        <v>34</v>
      </c>
      <c r="I31" s="4" t="s">
        <v>35</v>
      </c>
      <c r="J31" s="4" t="s">
        <v>36</v>
      </c>
    </row>
    <row r="32" spans="1:10" x14ac:dyDescent="0.25">
      <c r="B32" s="4">
        <v>-74900</v>
      </c>
      <c r="C32" s="4">
        <v>-84738</v>
      </c>
      <c r="D32" s="4">
        <v>-103890</v>
      </c>
      <c r="E32" s="4">
        <v>-134590</v>
      </c>
      <c r="F32" s="4">
        <v>-126190</v>
      </c>
      <c r="G32" s="4">
        <v>-154590</v>
      </c>
      <c r="H32" s="4">
        <v>-146490</v>
      </c>
      <c r="I32" s="4">
        <v>-167290</v>
      </c>
      <c r="J32" s="4">
        <v>-187890</v>
      </c>
    </row>
    <row r="34" spans="1:10" x14ac:dyDescent="0.25">
      <c r="A34" t="s">
        <v>196</v>
      </c>
      <c r="B34">
        <v>-5441.6654625699821</v>
      </c>
      <c r="C34">
        <v>-4545.8522395741966</v>
      </c>
      <c r="D34">
        <v>-3479.502216427285</v>
      </c>
      <c r="E34">
        <v>-1766.0471186787001</v>
      </c>
      <c r="F34">
        <v>-675.94137571781584</v>
      </c>
      <c r="G34">
        <v>2873.256781151616</v>
      </c>
      <c r="H34">
        <v>4000.7966029595545</v>
      </c>
      <c r="I34">
        <v>10367.612656544699</v>
      </c>
      <c r="J34">
        <v>18378.07373748079</v>
      </c>
    </row>
    <row r="35" spans="1:10" x14ac:dyDescent="0.25">
      <c r="A35" t="s">
        <v>194</v>
      </c>
      <c r="B35">
        <f>B34+B32</f>
        <v>-80341.665462569988</v>
      </c>
      <c r="C35">
        <f t="shared" ref="C35:J35" si="11">C34+C32</f>
        <v>-89283.852239574189</v>
      </c>
      <c r="D35">
        <f t="shared" si="11"/>
        <v>-107369.50221642728</v>
      </c>
      <c r="E35">
        <f t="shared" si="11"/>
        <v>-136356.04711867869</v>
      </c>
      <c r="F35">
        <f t="shared" si="11"/>
        <v>-126865.94137571781</v>
      </c>
      <c r="G35">
        <f t="shared" si="11"/>
        <v>-151716.74321884839</v>
      </c>
      <c r="H35">
        <f t="shared" si="11"/>
        <v>-142489.20339704046</v>
      </c>
      <c r="I35">
        <f t="shared" si="11"/>
        <v>-156922.38734345531</v>
      </c>
      <c r="J35">
        <f t="shared" si="11"/>
        <v>-169511.92626251921</v>
      </c>
    </row>
    <row r="36" spans="1:10" x14ac:dyDescent="0.25">
      <c r="B36" s="14"/>
      <c r="C36" s="14"/>
      <c r="D36" s="14"/>
      <c r="E36" s="14"/>
      <c r="F36" s="14"/>
      <c r="G36" s="14"/>
      <c r="H36" s="14"/>
      <c r="I36" s="14"/>
      <c r="J36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6" sqref="A16:J16"/>
    </sheetView>
  </sheetViews>
  <sheetFormatPr defaultRowHeight="15" x14ac:dyDescent="0.25"/>
  <cols>
    <col min="1" max="1" width="17" bestFit="1" customWidth="1"/>
  </cols>
  <sheetData>
    <row r="1" spans="1:10" x14ac:dyDescent="0.25">
      <c r="A1" t="s">
        <v>102</v>
      </c>
      <c r="B1" s="19" t="s">
        <v>103</v>
      </c>
      <c r="C1" t="s">
        <v>104</v>
      </c>
      <c r="F1" t="s">
        <v>101</v>
      </c>
      <c r="G1" s="22">
        <v>298</v>
      </c>
    </row>
    <row r="3" spans="1:10" x14ac:dyDescent="0.25"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</row>
    <row r="4" spans="1:10" x14ac:dyDescent="0.25">
      <c r="A4" t="s">
        <v>105</v>
      </c>
      <c r="B4" s="4">
        <v>4.5979999999999999</v>
      </c>
      <c r="C4" s="20">
        <v>1.292</v>
      </c>
      <c r="D4" s="20">
        <v>-1.0089999999999999</v>
      </c>
      <c r="E4" s="4">
        <v>-0.33200000000000002</v>
      </c>
      <c r="F4" s="4">
        <v>2.266</v>
      </c>
      <c r="G4" s="4">
        <v>-2.2749999999999999</v>
      </c>
      <c r="H4" s="4">
        <v>-0.86599999999999999</v>
      </c>
      <c r="I4" s="4">
        <v>-1.054</v>
      </c>
      <c r="J4" s="4">
        <v>-1.2290000000000001</v>
      </c>
    </row>
    <row r="5" spans="1:10" x14ac:dyDescent="0.25">
      <c r="A5" t="s">
        <v>106</v>
      </c>
      <c r="B5" s="20">
        <v>1.2449999999999999E-2</v>
      </c>
      <c r="C5" s="20">
        <v>4.2540000000000001E-2</v>
      </c>
      <c r="D5" s="20">
        <v>7.3150000000000007E-2</v>
      </c>
      <c r="E5" s="20">
        <v>9.1889999999999999E-2</v>
      </c>
      <c r="F5" s="20">
        <v>7.9130000000000006E-2</v>
      </c>
      <c r="G5" s="20">
        <v>0.121</v>
      </c>
      <c r="H5" s="20">
        <v>0.1164</v>
      </c>
      <c r="I5" s="20">
        <v>0.13900000000000001</v>
      </c>
      <c r="J5" s="20">
        <v>0.1615</v>
      </c>
    </row>
    <row r="6" spans="1:10" x14ac:dyDescent="0.25">
      <c r="A6" t="s">
        <v>107</v>
      </c>
      <c r="B6" s="20">
        <v>2.8600000000000001E-6</v>
      </c>
      <c r="C6" s="20">
        <v>-1.6569999999999999E-5</v>
      </c>
      <c r="D6" s="20">
        <v>-3.7889999999999998E-5</v>
      </c>
      <c r="E6" s="20">
        <v>-4.409E-5</v>
      </c>
      <c r="F6" s="20">
        <v>-2.6469999999999999E-5</v>
      </c>
      <c r="G6" s="20">
        <v>-6.5190000000000004E-5</v>
      </c>
      <c r="H6" s="20">
        <v>-6.1630000000000005E-5</v>
      </c>
      <c r="I6" s="20">
        <v>-7.449E-5</v>
      </c>
      <c r="J6" s="20">
        <v>-8.7200000000000005E-5</v>
      </c>
    </row>
    <row r="7" spans="1:10" x14ac:dyDescent="0.25">
      <c r="A7" t="s">
        <v>108</v>
      </c>
      <c r="B7" s="20">
        <v>-2.7029999999999999E-9</v>
      </c>
      <c r="C7" s="20">
        <v>2.0810000000000002E-9</v>
      </c>
      <c r="D7" s="20">
        <v>7.6779999999999993E-9</v>
      </c>
      <c r="E7" s="20">
        <v>6.9150000000000002E-9</v>
      </c>
      <c r="F7" s="20">
        <v>-6.4700000000000004E-10</v>
      </c>
      <c r="G7" s="20">
        <v>1.3669999999999999E-8</v>
      </c>
      <c r="H7" s="20">
        <v>1.267E-8</v>
      </c>
      <c r="I7" s="20">
        <v>1.5510000000000001E-8</v>
      </c>
      <c r="J7" s="20">
        <v>1.829E-8</v>
      </c>
    </row>
    <row r="8" spans="1:10" x14ac:dyDescent="0.25">
      <c r="A8" t="s">
        <v>109</v>
      </c>
      <c r="B8" s="21">
        <f>B4+B5*$G$1+B6*$G$1^2+B7*$G$1^3</f>
        <v>8.4905483508239996</v>
      </c>
      <c r="C8" s="21">
        <f t="shared" ref="C8:J8" si="0">C4+C5*$G$1+C6*$G$1^2+C7*$G$1^3</f>
        <v>12.552508454952001</v>
      </c>
      <c r="D8" s="21">
        <f t="shared" si="0"/>
        <v>17.628103899376004</v>
      </c>
      <c r="E8" s="21">
        <f t="shared" si="0"/>
        <v>23.318847378680001</v>
      </c>
      <c r="F8" s="21">
        <f t="shared" si="0"/>
        <v>23.478976175976001</v>
      </c>
      <c r="G8" s="21">
        <f t="shared" si="0"/>
        <v>28.355624542640001</v>
      </c>
      <c r="H8" s="21">
        <f t="shared" si="0"/>
        <v>28.683503190640003</v>
      </c>
      <c r="I8" s="21">
        <f t="shared" si="0"/>
        <v>34.163440351920002</v>
      </c>
      <c r="J8" s="21">
        <f t="shared" si="0"/>
        <v>39.63831029768</v>
      </c>
    </row>
    <row r="10" spans="1:10" x14ac:dyDescent="0.25">
      <c r="A10" t="s">
        <v>77</v>
      </c>
      <c r="B10" t="s">
        <v>76</v>
      </c>
      <c r="C10" t="s">
        <v>138</v>
      </c>
    </row>
    <row r="11" spans="1:10" x14ac:dyDescent="0.25">
      <c r="B11" t="str">
        <f>CONCATENATE($A$10,B4,$B$10)</f>
        <v>(4.598,</v>
      </c>
      <c r="C11" t="str">
        <f>CONCATENATE(C4,$B$10)</f>
        <v>1.292,</v>
      </c>
      <c r="D11" t="str">
        <f t="shared" ref="D11:I11" si="1">CONCATENATE(D4,$B$10)</f>
        <v>-1.009,</v>
      </c>
      <c r="E11" t="str">
        <f t="shared" si="1"/>
        <v>-0.332,</v>
      </c>
      <c r="F11" t="str">
        <f t="shared" si="1"/>
        <v>2.266,</v>
      </c>
      <c r="G11" t="str">
        <f t="shared" si="1"/>
        <v>-2.275,</v>
      </c>
      <c r="H11" t="str">
        <f t="shared" si="1"/>
        <v>-0.866,</v>
      </c>
      <c r="I11" t="str">
        <f t="shared" si="1"/>
        <v>-1.054,</v>
      </c>
      <c r="J11" t="str">
        <f>CONCATENATE(J4,$C$10)</f>
        <v>-1.229);</v>
      </c>
    </row>
    <row r="12" spans="1:10" x14ac:dyDescent="0.25">
      <c r="B12" t="str">
        <f t="shared" ref="B12:B14" si="2">CONCATENATE($A$10,B5,$B$10)</f>
        <v>(0.01245,</v>
      </c>
      <c r="C12" t="str">
        <f t="shared" ref="C12:I12" si="3">CONCATENATE(C5,$B$10)</f>
        <v>0.04254,</v>
      </c>
      <c r="D12" t="str">
        <f t="shared" si="3"/>
        <v>0.07315,</v>
      </c>
      <c r="E12" t="str">
        <f t="shared" si="3"/>
        <v>0.09189,</v>
      </c>
      <c r="F12" t="str">
        <f t="shared" si="3"/>
        <v>0.07913,</v>
      </c>
      <c r="G12" t="str">
        <f t="shared" si="3"/>
        <v>0.121,</v>
      </c>
      <c r="H12" t="str">
        <f t="shared" si="3"/>
        <v>0.1164,</v>
      </c>
      <c r="I12" t="str">
        <f t="shared" si="3"/>
        <v>0.139,</v>
      </c>
      <c r="J12" t="str">
        <f t="shared" ref="J12:J14" si="4">CONCATENATE(J5,$C$10)</f>
        <v>0.1615);</v>
      </c>
    </row>
    <row r="13" spans="1:10" x14ac:dyDescent="0.25">
      <c r="B13" t="str">
        <f t="shared" si="2"/>
        <v>(0.00000286,</v>
      </c>
      <c r="C13" t="str">
        <f t="shared" ref="C13:I13" si="5">CONCATENATE(C6,$B$10)</f>
        <v>-0.00001657,</v>
      </c>
      <c r="D13" t="str">
        <f t="shared" si="5"/>
        <v>-0.00003789,</v>
      </c>
      <c r="E13" t="str">
        <f t="shared" si="5"/>
        <v>-0.00004409,</v>
      </c>
      <c r="F13" t="str">
        <f t="shared" si="5"/>
        <v>-0.00002647,</v>
      </c>
      <c r="G13" t="str">
        <f t="shared" si="5"/>
        <v>-0.00006519,</v>
      </c>
      <c r="H13" t="str">
        <f t="shared" si="5"/>
        <v>-0.00006163,</v>
      </c>
      <c r="I13" t="str">
        <f t="shared" si="5"/>
        <v>-0.00007449,</v>
      </c>
      <c r="J13" t="str">
        <f t="shared" si="4"/>
        <v>-0.0000872);</v>
      </c>
    </row>
    <row r="14" spans="1:10" x14ac:dyDescent="0.25">
      <c r="B14" t="str">
        <f t="shared" si="2"/>
        <v>(-0.000000002703,</v>
      </c>
      <c r="C14" t="str">
        <f t="shared" ref="C14:I14" si="6">CONCATENATE(C7,$B$10)</f>
        <v>0.000000002081,</v>
      </c>
      <c r="D14" t="str">
        <f t="shared" si="6"/>
        <v>0.000000007678,</v>
      </c>
      <c r="E14" t="str">
        <f t="shared" si="6"/>
        <v>0.000000006915,</v>
      </c>
      <c r="F14" t="str">
        <f t="shared" si="6"/>
        <v>-0.000000000647,</v>
      </c>
      <c r="G14" t="str">
        <f t="shared" si="6"/>
        <v>0.00000001367,</v>
      </c>
      <c r="H14" t="str">
        <f t="shared" si="6"/>
        <v>0.00000001267,</v>
      </c>
      <c r="I14" t="str">
        <f t="shared" si="6"/>
        <v>0.00000001551,</v>
      </c>
      <c r="J14" t="str">
        <f t="shared" si="4"/>
        <v>0.00000001829);</v>
      </c>
    </row>
    <row r="16" spans="1:10" x14ac:dyDescent="0.25">
      <c r="A16" t="s">
        <v>134</v>
      </c>
      <c r="B16">
        <v>-161.52500000000001</v>
      </c>
      <c r="C16">
        <v>-88.599996948242193</v>
      </c>
      <c r="D16">
        <v>-42.101995849609402</v>
      </c>
      <c r="E16">
        <v>-11.7299865722656</v>
      </c>
      <c r="F16">
        <v>-0.50198974609372704</v>
      </c>
      <c r="G16">
        <v>27.878015136718801</v>
      </c>
      <c r="H16">
        <v>36.059014892578098</v>
      </c>
      <c r="I16">
        <v>68.730004882812494</v>
      </c>
      <c r="J16">
        <v>98.429010009765605</v>
      </c>
    </row>
    <row r="17" spans="1:10" x14ac:dyDescent="0.25">
      <c r="A17" t="s">
        <v>191</v>
      </c>
      <c r="B17">
        <v>120.045972232935</v>
      </c>
      <c r="C17">
        <v>197.82860935532199</v>
      </c>
      <c r="D17">
        <v>246.87619614213099</v>
      </c>
      <c r="E17">
        <v>279.40760224913998</v>
      </c>
      <c r="F17">
        <v>291.05885989192899</v>
      </c>
      <c r="G17">
        <v>321.38292240027999</v>
      </c>
      <c r="H17">
        <v>329.86348975768198</v>
      </c>
      <c r="I17">
        <v>364.30083038148302</v>
      </c>
      <c r="J17">
        <v>395.54993099207098</v>
      </c>
    </row>
    <row r="19" spans="1:10" x14ac:dyDescent="0.25">
      <c r="A19" t="s">
        <v>189</v>
      </c>
      <c r="C19" t="s">
        <v>145</v>
      </c>
      <c r="D19">
        <v>298</v>
      </c>
    </row>
    <row r="21" spans="1:10" x14ac:dyDescent="0.25">
      <c r="A21" t="s">
        <v>190</v>
      </c>
      <c r="B21" s="4" t="s">
        <v>28</v>
      </c>
      <c r="C21" s="4" t="s">
        <v>29</v>
      </c>
      <c r="D21" s="4" t="s">
        <v>30</v>
      </c>
      <c r="E21" s="4" t="s">
        <v>31</v>
      </c>
      <c r="F21" s="4" t="s">
        <v>32</v>
      </c>
      <c r="G21" s="4" t="s">
        <v>33</v>
      </c>
      <c r="H21" s="4" t="s">
        <v>34</v>
      </c>
      <c r="I21" s="4" t="s">
        <v>35</v>
      </c>
      <c r="J21" s="4" t="s">
        <v>36</v>
      </c>
    </row>
    <row r="22" spans="1:10" x14ac:dyDescent="0.25">
      <c r="B22" s="14">
        <f>-(B4*($D$19-B17)+B5/2*($D$19^2-B17^2)+B6/3*($D$19^3-B17^3)+B7/4*($D$19^4-B17^4))</f>
        <v>-1299.7194665544048</v>
      </c>
      <c r="C22" s="14">
        <f t="shared" ref="C22:J22" si="7">-(C4*($D$19-C17)+C5/2*($D$19^2-C17^2)+C6/3*($D$19^3-C17^3)+C7/4*($D$19^4-C17^4))</f>
        <v>-1085.7581540972094</v>
      </c>
      <c r="D22" s="14">
        <f t="shared" si="7"/>
        <v>-831.06482669993432</v>
      </c>
      <c r="E22" s="14">
        <f t="shared" si="7"/>
        <v>-421.81310754721989</v>
      </c>
      <c r="F22" s="14">
        <f t="shared" si="7"/>
        <v>-161.44582395094486</v>
      </c>
      <c r="G22" s="14">
        <f t="shared" si="7"/>
        <v>686.26559213519067</v>
      </c>
      <c r="H22" s="14">
        <f t="shared" si="7"/>
        <v>955.57385185811472</v>
      </c>
      <c r="I22" s="14">
        <f t="shared" si="7"/>
        <v>2476.2617408389938</v>
      </c>
      <c r="J22" s="14">
        <f t="shared" si="7"/>
        <v>4389.5275001148348</v>
      </c>
    </row>
    <row r="23" spans="1:10" x14ac:dyDescent="0.25">
      <c r="A23" t="s">
        <v>192</v>
      </c>
      <c r="B23">
        <f>B22*4.1868</f>
        <v>-5441.6654625699821</v>
      </c>
      <c r="C23">
        <f t="shared" ref="C23:J23" si="8">C22*4.1868</f>
        <v>-4545.8522395741966</v>
      </c>
      <c r="D23">
        <f t="shared" si="8"/>
        <v>-3479.502216427285</v>
      </c>
      <c r="E23">
        <f t="shared" si="8"/>
        <v>-1766.0471186787001</v>
      </c>
      <c r="F23">
        <f t="shared" si="8"/>
        <v>-675.94137571781584</v>
      </c>
      <c r="G23">
        <f t="shared" si="8"/>
        <v>2873.256781151616</v>
      </c>
      <c r="H23">
        <f t="shared" si="8"/>
        <v>4000.7966029595545</v>
      </c>
      <c r="I23">
        <f t="shared" si="8"/>
        <v>10367.612656544699</v>
      </c>
      <c r="J23">
        <f t="shared" si="8"/>
        <v>18378.07373748079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="85" zoomScaleNormal="85" workbookViewId="0">
      <selection activeCell="A20" sqref="A20:J20"/>
    </sheetView>
  </sheetViews>
  <sheetFormatPr defaultRowHeight="15" x14ac:dyDescent="0.25"/>
  <cols>
    <col min="1" max="1" width="27.85546875" bestFit="1" customWidth="1"/>
    <col min="2" max="2" width="12.85546875" bestFit="1" customWidth="1"/>
    <col min="12" max="13" width="12.28515625" bestFit="1" customWidth="1"/>
    <col min="14" max="15" width="12.85546875" bestFit="1" customWidth="1"/>
  </cols>
  <sheetData>
    <row r="1" spans="1:20" x14ac:dyDescent="0.25">
      <c r="H1" t="s">
        <v>143</v>
      </c>
    </row>
    <row r="2" spans="1:20" x14ac:dyDescent="0.25">
      <c r="A2" t="s">
        <v>110</v>
      </c>
      <c r="F2" t="s">
        <v>126</v>
      </c>
      <c r="G2">
        <v>276.39999999999998</v>
      </c>
      <c r="H2">
        <v>120.08</v>
      </c>
    </row>
    <row r="4" spans="1:20" x14ac:dyDescent="0.25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L4" t="s">
        <v>77</v>
      </c>
      <c r="M4" t="s">
        <v>76</v>
      </c>
      <c r="N4" t="s">
        <v>138</v>
      </c>
    </row>
    <row r="5" spans="1:20" x14ac:dyDescent="0.25">
      <c r="A5">
        <v>10.1273</v>
      </c>
      <c r="B5">
        <v>-15.3546</v>
      </c>
      <c r="C5">
        <v>3.2008000000000001</v>
      </c>
      <c r="D5">
        <v>19.7302</v>
      </c>
      <c r="E5">
        <v>-0.89490000000000003</v>
      </c>
      <c r="F5">
        <v>-1.489E-2</v>
      </c>
      <c r="G5">
        <v>0.22409999999999999</v>
      </c>
      <c r="H5">
        <v>-4.342E-2</v>
      </c>
      <c r="L5" t="str">
        <f>CONCATENATE($L$4,A5,$M$4)</f>
        <v>(10.1273,</v>
      </c>
      <c r="M5" t="str">
        <f>CONCATENATE(B5,$M$4)</f>
        <v>-15.3546,</v>
      </c>
      <c r="N5" t="str">
        <f t="shared" ref="N5:P5" si="0">CONCATENATE(C5,$M$4)</f>
        <v>3.2008,</v>
      </c>
      <c r="O5" t="str">
        <f t="shared" si="0"/>
        <v>19.7302,</v>
      </c>
      <c r="P5" t="str">
        <f t="shared" si="0"/>
        <v>-0.8949,</v>
      </c>
      <c r="Q5" t="str">
        <f>CONCATENATE(F5,$M$4)</f>
        <v>-0.01489,</v>
      </c>
      <c r="R5" t="str">
        <f>CONCATENATE(G5,$M$4)</f>
        <v>0.2241,</v>
      </c>
      <c r="S5" t="str">
        <f>CONCATENATE(H5,$N$4)</f>
        <v>-0.04342);</v>
      </c>
    </row>
    <row r="6" spans="1:20" x14ac:dyDescent="0.25">
      <c r="A6" t="s">
        <v>119</v>
      </c>
      <c r="B6" t="s">
        <v>120</v>
      </c>
      <c r="C6" t="s">
        <v>121</v>
      </c>
      <c r="D6" t="s">
        <v>122</v>
      </c>
      <c r="E6" t="s">
        <v>123</v>
      </c>
      <c r="L6" t="str">
        <f>CONCATENATE($L$4,A7,$M$4)</f>
        <v>(0.31446,</v>
      </c>
      <c r="M6" t="str">
        <f>CONCATENATE(B7,$M$4)</f>
        <v>2.5346,</v>
      </c>
      <c r="N6" t="str">
        <f t="shared" ref="N6:O6" si="1">CONCATENATE(C7,$M$4)</f>
        <v>-2.0242,</v>
      </c>
      <c r="O6" t="str">
        <f t="shared" si="1"/>
        <v>-0.07055,</v>
      </c>
      <c r="P6" t="str">
        <f>CONCATENATE(E7,$N$4)</f>
        <v>0.07264);</v>
      </c>
    </row>
    <row r="7" spans="1:20" x14ac:dyDescent="0.25">
      <c r="A7">
        <v>0.31446000000000002</v>
      </c>
      <c r="B7">
        <v>2.5346000000000002</v>
      </c>
      <c r="C7">
        <v>-2.0242</v>
      </c>
      <c r="D7">
        <v>-7.0550000000000002E-2</v>
      </c>
      <c r="E7">
        <v>7.2639999999999996E-2</v>
      </c>
    </row>
    <row r="9" spans="1:20" x14ac:dyDescent="0.25">
      <c r="B9" s="4" t="s">
        <v>28</v>
      </c>
      <c r="C9" s="4" t="s">
        <v>29</v>
      </c>
      <c r="D9" s="4" t="s">
        <v>30</v>
      </c>
      <c r="E9" s="4" t="s">
        <v>31</v>
      </c>
      <c r="F9" s="4" t="s">
        <v>32</v>
      </c>
      <c r="G9" s="4" t="s">
        <v>33</v>
      </c>
      <c r="H9" s="4" t="s">
        <v>34</v>
      </c>
      <c r="I9" s="4" t="s">
        <v>35</v>
      </c>
      <c r="J9" s="4" t="s">
        <v>36</v>
      </c>
    </row>
    <row r="10" spans="1:20" x14ac:dyDescent="0.25">
      <c r="A10" t="s">
        <v>125</v>
      </c>
      <c r="B10" s="23">
        <v>1.1240000000000001</v>
      </c>
      <c r="C10">
        <v>1.8313999999999999</v>
      </c>
      <c r="D10">
        <v>2.4255</v>
      </c>
      <c r="E10">
        <v>2.8961999999999999</v>
      </c>
      <c r="F10">
        <v>2.8885000000000001</v>
      </c>
      <c r="G10">
        <v>3.3130000000000002</v>
      </c>
      <c r="H10">
        <v>3.3849999999999998</v>
      </c>
      <c r="I10">
        <v>3.8119999999999998</v>
      </c>
      <c r="J10">
        <v>4.2664999999999997</v>
      </c>
      <c r="L10" t="str">
        <f>CONCATENATE($L$4,B10,$M$4)</f>
        <v>(1.124,</v>
      </c>
      <c r="M10" t="str">
        <f>CONCATENATE(C10,$M$4)</f>
        <v>1.8314,</v>
      </c>
      <c r="N10" t="str">
        <f t="shared" ref="N10:S10" si="2">CONCATENATE(D10,$M$4)</f>
        <v>2.4255,</v>
      </c>
      <c r="O10" t="str">
        <f t="shared" si="2"/>
        <v>2.8962,</v>
      </c>
      <c r="P10" t="str">
        <f t="shared" si="2"/>
        <v>2.8885,</v>
      </c>
      <c r="Q10" t="str">
        <f t="shared" si="2"/>
        <v>3.313,</v>
      </c>
      <c r="R10" t="str">
        <f t="shared" si="2"/>
        <v>3.385,</v>
      </c>
      <c r="S10" t="str">
        <f t="shared" si="2"/>
        <v>3.812,</v>
      </c>
      <c r="T10" t="str">
        <f>CONCATENATE(J10,$N$4)</f>
        <v>4.2665);</v>
      </c>
    </row>
    <row r="11" spans="1:20" x14ac:dyDescent="0.25">
      <c r="A11" t="s">
        <v>124</v>
      </c>
      <c r="B11" s="23">
        <v>0</v>
      </c>
      <c r="C11">
        <v>0</v>
      </c>
      <c r="D11">
        <v>0</v>
      </c>
      <c r="E11">
        <v>-0.68840000000000001</v>
      </c>
      <c r="F11">
        <v>0</v>
      </c>
      <c r="G11">
        <v>-0.76429999999999998</v>
      </c>
      <c r="H11">
        <v>0</v>
      </c>
      <c r="I11">
        <v>0</v>
      </c>
      <c r="J11">
        <v>0</v>
      </c>
      <c r="L11" t="str">
        <f>CONCATENATE($L$4,B11,$M$4)</f>
        <v>(0,</v>
      </c>
      <c r="M11" t="str">
        <f>CONCATENATE(C11,$M$4)</f>
        <v>0,</v>
      </c>
      <c r="N11" t="str">
        <f t="shared" ref="N11" si="3">CONCATENATE(D11,$M$4)</f>
        <v>0,</v>
      </c>
      <c r="O11" t="str">
        <f t="shared" ref="O11" si="4">CONCATENATE(E11,$M$4)</f>
        <v>-0.6884,</v>
      </c>
      <c r="P11" t="str">
        <f t="shared" ref="P11" si="5">CONCATENATE(F11,$M$4)</f>
        <v>0,</v>
      </c>
      <c r="Q11" t="str">
        <f t="shared" ref="Q11" si="6">CONCATENATE(G11,$M$4)</f>
        <v>-0.7643,</v>
      </c>
      <c r="R11" t="str">
        <f t="shared" ref="R11" si="7">CONCATENATE(H11,$M$4)</f>
        <v>0,</v>
      </c>
      <c r="S11" t="str">
        <f t="shared" ref="S11" si="8">CONCATENATE(I11,$M$4)</f>
        <v>0,</v>
      </c>
      <c r="T11" t="str">
        <f>CONCATENATE(J11,$N$4)</f>
        <v>0);</v>
      </c>
    </row>
    <row r="13" spans="1:20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1:20" x14ac:dyDescent="0.25">
      <c r="A14" t="s">
        <v>105</v>
      </c>
      <c r="B14" s="4">
        <v>4.5979999999999999</v>
      </c>
      <c r="C14" s="20">
        <v>1.292</v>
      </c>
      <c r="D14" s="20">
        <v>-1.0089999999999999</v>
      </c>
      <c r="E14" s="4">
        <v>-0.33200000000000002</v>
      </c>
      <c r="F14" s="4">
        <v>2.266</v>
      </c>
      <c r="G14" s="4">
        <v>-2.2749999999999999</v>
      </c>
      <c r="H14" s="4">
        <v>-0.86599999999999999</v>
      </c>
      <c r="I14" s="4">
        <v>-1.054</v>
      </c>
      <c r="J14" s="4">
        <v>-1.2290000000000001</v>
      </c>
    </row>
    <row r="15" spans="1:20" x14ac:dyDescent="0.25">
      <c r="A15" t="s">
        <v>106</v>
      </c>
      <c r="B15" s="20">
        <v>1.2449999999999999E-2</v>
      </c>
      <c r="C15" s="20">
        <v>4.2540000000000001E-2</v>
      </c>
      <c r="D15" s="20">
        <v>7.3150000000000007E-2</v>
      </c>
      <c r="E15" s="20">
        <v>9.1889999999999999E-2</v>
      </c>
      <c r="F15" s="20">
        <v>7.9130000000000006E-2</v>
      </c>
      <c r="G15" s="20">
        <v>0.121</v>
      </c>
      <c r="H15" s="20">
        <v>0.1164</v>
      </c>
      <c r="I15" s="20">
        <v>0.13900000000000001</v>
      </c>
      <c r="J15" s="20">
        <v>0.1615</v>
      </c>
    </row>
    <row r="16" spans="1:20" x14ac:dyDescent="0.25">
      <c r="A16" t="s">
        <v>107</v>
      </c>
      <c r="B16" s="20">
        <v>2.8600000000000001E-6</v>
      </c>
      <c r="C16" s="20">
        <v>-1.6569999999999999E-5</v>
      </c>
      <c r="D16" s="20">
        <v>-3.7889999999999998E-5</v>
      </c>
      <c r="E16" s="20">
        <v>-4.409E-5</v>
      </c>
      <c r="F16" s="20">
        <v>-2.6469999999999999E-5</v>
      </c>
      <c r="G16" s="20">
        <v>-6.5190000000000004E-5</v>
      </c>
      <c r="H16" s="20">
        <v>-6.1630000000000005E-5</v>
      </c>
      <c r="I16" s="20">
        <v>-7.449E-5</v>
      </c>
      <c r="J16" s="20">
        <v>-8.7200000000000005E-5</v>
      </c>
    </row>
    <row r="17" spans="1:10" x14ac:dyDescent="0.25">
      <c r="A17" t="s">
        <v>108</v>
      </c>
      <c r="B17" s="20">
        <v>-2.7029999999999999E-9</v>
      </c>
      <c r="C17" s="20">
        <v>2.0810000000000002E-9</v>
      </c>
      <c r="D17" s="20">
        <v>7.6779999999999993E-9</v>
      </c>
      <c r="E17" s="20">
        <v>6.9150000000000002E-9</v>
      </c>
      <c r="F17" s="20">
        <v>-6.4700000000000004E-10</v>
      </c>
      <c r="G17" s="20">
        <v>1.3669999999999999E-8</v>
      </c>
      <c r="H17" s="20">
        <v>1.267E-8</v>
      </c>
      <c r="I17" s="20">
        <v>1.5510000000000001E-8</v>
      </c>
      <c r="J17" s="20">
        <v>1.829E-8</v>
      </c>
    </row>
    <row r="18" spans="1:10" x14ac:dyDescent="0.25">
      <c r="A18" t="s">
        <v>109</v>
      </c>
      <c r="B18" s="21">
        <f>B14+B15*$G$2+B16*$G$2^2+B17*$G$2^3</f>
        <v>8.2005984339319671</v>
      </c>
      <c r="C18" s="21">
        <f>C14+C15*$G$2+C16*$G$2^2+C17*$G$2^3</f>
        <v>11.828101017987265</v>
      </c>
      <c r="D18" s="21">
        <f t="shared" ref="D18:J18" si="9">D14+D15*$G$2+D16*$G$2^2+D17*$G$2^3</f>
        <v>16.477108752994429</v>
      </c>
      <c r="E18" s="21">
        <f t="shared" si="9"/>
        <v>21.844072001629758</v>
      </c>
      <c r="F18" s="21">
        <f t="shared" si="9"/>
        <v>22.101642339325632</v>
      </c>
      <c r="G18" s="21">
        <f t="shared" si="9"/>
        <v>26.477739534500476</v>
      </c>
      <c r="H18" s="21">
        <f t="shared" si="9"/>
        <v>26.866156592356475</v>
      </c>
      <c r="I18" s="21">
        <f t="shared" si="9"/>
        <v>32.002301466829444</v>
      </c>
      <c r="J18" s="21">
        <f t="shared" si="9"/>
        <v>37.133998918117761</v>
      </c>
    </row>
    <row r="20" spans="1:10" x14ac:dyDescent="0.25">
      <c r="A20" t="s">
        <v>0</v>
      </c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32</v>
      </c>
      <c r="G20" s="4" t="s">
        <v>33</v>
      </c>
      <c r="H20" s="4" t="s">
        <v>34</v>
      </c>
      <c r="I20" s="4" t="s">
        <v>35</v>
      </c>
      <c r="J20" s="4" t="s">
        <v>36</v>
      </c>
    </row>
    <row r="21" spans="1:10" x14ac:dyDescent="0.25">
      <c r="B21" s="4">
        <v>-82.45</v>
      </c>
      <c r="C21" s="4">
        <v>32.28</v>
      </c>
      <c r="D21" s="4">
        <v>96.75</v>
      </c>
      <c r="E21" s="4">
        <v>134.9</v>
      </c>
      <c r="F21" s="4">
        <v>152</v>
      </c>
      <c r="G21" s="4">
        <v>187.2</v>
      </c>
      <c r="H21" s="4">
        <v>196.5</v>
      </c>
      <c r="I21" s="4">
        <v>234.7</v>
      </c>
      <c r="J21" s="4">
        <v>267</v>
      </c>
    </row>
    <row r="23" spans="1:10" x14ac:dyDescent="0.25">
      <c r="A23" t="s">
        <v>127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$G$2/(B21+273.15)</f>
        <v>1.4493969585736759</v>
      </c>
      <c r="C24" s="4">
        <f t="shared" ref="C24:I24" si="10">$G$2/(C21+273.15)</f>
        <v>0.90495367187244224</v>
      </c>
      <c r="D24" s="4">
        <f t="shared" si="10"/>
        <v>0.74722898080562317</v>
      </c>
      <c r="E24" s="4">
        <f t="shared" si="10"/>
        <v>0.6773679696115672</v>
      </c>
      <c r="F24" s="4">
        <f t="shared" si="10"/>
        <v>0.65012348582853108</v>
      </c>
      <c r="G24" s="4">
        <f t="shared" si="10"/>
        <v>0.60041272944498747</v>
      </c>
      <c r="H24" s="4">
        <f t="shared" si="10"/>
        <v>0.58852336846587883</v>
      </c>
      <c r="I24" s="4">
        <f t="shared" si="10"/>
        <v>0.54425519346263662</v>
      </c>
      <c r="J24" s="4">
        <f>$G$2/(J21+273.15)</f>
        <v>0.51170971026566692</v>
      </c>
    </row>
    <row r="26" spans="1:10" x14ac:dyDescent="0.25">
      <c r="A26" t="s">
        <v>128</v>
      </c>
      <c r="B26" s="4" t="s">
        <v>28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33</v>
      </c>
      <c r="H26" s="4" t="s">
        <v>34</v>
      </c>
      <c r="I26" s="4" t="s">
        <v>35</v>
      </c>
      <c r="J26" s="4" t="s">
        <v>36</v>
      </c>
    </row>
    <row r="27" spans="1:10" x14ac:dyDescent="0.25">
      <c r="B27" s="4">
        <f>$A$5+($B$5+$C$5*B10)*B24+($D$5+$E$5*B10)*B24^5+$F$5*B10^2/B24^2+$G$5*B10/B24^3+$H$5/B24^5+B11*($A$7+$B$7*B24^2+$C$7*B24^3)+B11^2*($D$7+$E$7*B24^2)+B18</f>
        <v>121.12309293498258</v>
      </c>
      <c r="C27" s="4">
        <f t="shared" ref="C27:J27" si="11">$A$5+($B$5+$C$5*C10)*C24+($D$5+$E$5*C10)*C24^5+$F$5*C10^2/C24^2+$G$5*C10/C24^3+$H$5/C24^5+C11*($A$7+$B$7*C24^2+$C$7*C24^3)+C11^2*($D$7+$E$7*C24^2)+C18</f>
        <v>24.76622175270159</v>
      </c>
      <c r="D27" s="4">
        <f t="shared" si="11"/>
        <v>25.982252670735448</v>
      </c>
      <c r="E27" s="4">
        <f t="shared" si="11"/>
        <v>31.203940023897154</v>
      </c>
      <c r="F27" s="4">
        <f t="shared" si="11"/>
        <v>31.936463607127195</v>
      </c>
      <c r="G27" s="4">
        <f t="shared" si="11"/>
        <v>36.851623836525249</v>
      </c>
      <c r="H27" s="4">
        <f t="shared" si="11"/>
        <v>38.126362791969896</v>
      </c>
      <c r="I27" s="4">
        <f t="shared" si="11"/>
        <v>44.851999480573973</v>
      </c>
      <c r="J27" s="4">
        <f t="shared" si="11"/>
        <v>51.813594100442018</v>
      </c>
    </row>
    <row r="29" spans="1:10" x14ac:dyDescent="0.25">
      <c r="A29" t="s">
        <v>141</v>
      </c>
    </row>
    <row r="30" spans="1:10" x14ac:dyDescent="0.25">
      <c r="A30" t="s">
        <v>142</v>
      </c>
      <c r="B30" s="4" t="s">
        <v>28</v>
      </c>
      <c r="C30" s="4" t="s">
        <v>29</v>
      </c>
      <c r="D30" s="4" t="s">
        <v>30</v>
      </c>
      <c r="E30" s="4" t="s">
        <v>31</v>
      </c>
      <c r="F30" s="4" t="s">
        <v>32</v>
      </c>
      <c r="G30" s="4" t="s">
        <v>33</v>
      </c>
      <c r="H30" s="4" t="s">
        <v>34</v>
      </c>
      <c r="I30" s="4" t="s">
        <v>35</v>
      </c>
      <c r="J30" s="4" t="s">
        <v>36</v>
      </c>
    </row>
    <row r="31" spans="1:10" x14ac:dyDescent="0.25">
      <c r="B31" s="14">
        <f t="shared" ref="B31:J31" si="12">B14*($H$2-$G$2)+B15/2*($H$2^2-$G$2^2)+B16/3*($H$2^3-$G$2^3)+B17/4*($H$2^4-$G$2^4)</f>
        <v>-1119.2474057899331</v>
      </c>
      <c r="C31" s="14">
        <f t="shared" si="12"/>
        <v>-1416.092582165089</v>
      </c>
      <c r="D31" s="14">
        <f t="shared" si="12"/>
        <v>-1875.0852470576233</v>
      </c>
      <c r="E31" s="14">
        <f t="shared" si="12"/>
        <v>-2520.5101526345597</v>
      </c>
      <c r="F31" s="14">
        <f t="shared" si="12"/>
        <v>-2634.4231886136663</v>
      </c>
      <c r="G31" s="14">
        <f t="shared" si="12"/>
        <v>-2992.0330786503673</v>
      </c>
      <c r="H31" s="14">
        <f t="shared" si="12"/>
        <v>-3091.3351114492179</v>
      </c>
      <c r="I31" s="14">
        <f t="shared" si="12"/>
        <v>-3683.196278300612</v>
      </c>
      <c r="J31" s="14">
        <f t="shared" si="12"/>
        <v>-4274.8755218142178</v>
      </c>
    </row>
    <row r="32" spans="1:10" x14ac:dyDescent="0.25">
      <c r="A32" t="s">
        <v>37</v>
      </c>
      <c r="B32">
        <v>1119.28570741012</v>
      </c>
      <c r="C32">
        <v>1416.16278089411</v>
      </c>
      <c r="D32">
        <v>1875.1905599634099</v>
      </c>
      <c r="E32">
        <v>2520.6470984595599</v>
      </c>
      <c r="F32">
        <v>2634.5551108722402</v>
      </c>
      <c r="G32">
        <v>2992.20397995343</v>
      </c>
      <c r="H32">
        <v>3091.5043850107199</v>
      </c>
      <c r="I32">
        <v>3683.39788801437</v>
      </c>
      <c r="J32">
        <v>4275.1094112822902</v>
      </c>
    </row>
    <row r="33" spans="1:10" x14ac:dyDescent="0.25">
      <c r="A33" t="s">
        <v>144</v>
      </c>
      <c r="B33" s="4" t="s">
        <v>28</v>
      </c>
      <c r="C33" s="4" t="s">
        <v>29</v>
      </c>
      <c r="D33" s="4" t="s">
        <v>30</v>
      </c>
      <c r="E33" s="4" t="s">
        <v>31</v>
      </c>
      <c r="F33" s="4" t="s">
        <v>32</v>
      </c>
      <c r="G33" s="4" t="s">
        <v>33</v>
      </c>
      <c r="H33" s="4" t="s">
        <v>34</v>
      </c>
      <c r="I33" s="4" t="s">
        <v>35</v>
      </c>
      <c r="J33" s="4" t="s">
        <v>36</v>
      </c>
    </row>
    <row r="34" spans="1:10" x14ac:dyDescent="0.25">
      <c r="B34">
        <f>$A$5*($H$2-$G$2)+($B$5+$C$5*B10)*($H$2^2-$G$2^2)/(2*(B21+273.15))</f>
        <v>327.40466138343686</v>
      </c>
    </row>
    <row r="35" spans="1:10" x14ac:dyDescent="0.25">
      <c r="B35">
        <f>($D$5+$E$5*B10)*($H$2^6-$G$2^6)/(6*(B21+273.15)^5)</f>
        <v>-5480.2455299920912</v>
      </c>
    </row>
    <row r="36" spans="1:10" x14ac:dyDescent="0.25">
      <c r="B36">
        <f>(-$F$5*B10^2*(B21+273.15)^2)/($H$2-$G$2)</f>
        <v>-4.3763712863349147</v>
      </c>
    </row>
    <row r="37" spans="1:10" x14ac:dyDescent="0.25">
      <c r="B37">
        <f>(-$G$5*B10*(B21+273.15)^3)/(2*($H$2^2-$G$2^2))</f>
        <v>14.092706919534441</v>
      </c>
    </row>
    <row r="38" spans="1:10" x14ac:dyDescent="0.25">
      <c r="B38">
        <f>(-$H$5*(B21+273.15)^5)/(4*($H$2^4-$G$2^4))</f>
        <v>-0.48638961847704842</v>
      </c>
    </row>
    <row r="39" spans="1:10" x14ac:dyDescent="0.25">
      <c r="B39">
        <f>B11*($A$7*(H2-G2)+$B$7*($H$2^3-$G$2^3)/(3*(B21+273.15)^2)+$C$7*($H$2^6-$G$2^6)/(6*(B21+273.15)^5))</f>
        <v>0</v>
      </c>
    </row>
    <row r="40" spans="1:10" x14ac:dyDescent="0.25">
      <c r="B40">
        <f>$B$11^2*($D$7*($H$2-$G$2)+$E$7*($H$2^3-$G$2^3)/(3*(B21+273.15)^2))</f>
        <v>0</v>
      </c>
    </row>
    <row r="41" spans="1:10" x14ac:dyDescent="0.25">
      <c r="B41">
        <f>SUM(B34:B40)</f>
        <v>-5143.6109225939317</v>
      </c>
    </row>
    <row r="42" spans="1:10" x14ac:dyDescent="0.25">
      <c r="B42" s="14">
        <f>B41+B32</f>
        <v>-4024.3252151838115</v>
      </c>
      <c r="C42" s="14"/>
      <c r="D42" s="14"/>
      <c r="E42" s="14"/>
      <c r="F42" s="14"/>
      <c r="G42" s="14"/>
      <c r="H42" s="14"/>
      <c r="I42" s="14"/>
      <c r="J42" s="14"/>
    </row>
    <row r="44" spans="1:10" x14ac:dyDescent="0.25">
      <c r="A44" t="s">
        <v>145</v>
      </c>
      <c r="B44" s="4" t="s">
        <v>28</v>
      </c>
      <c r="C44" s="4" t="s">
        <v>29</v>
      </c>
      <c r="D44" s="4" t="s">
        <v>30</v>
      </c>
      <c r="E44" s="4" t="s">
        <v>31</v>
      </c>
      <c r="F44" s="4" t="s">
        <v>32</v>
      </c>
      <c r="G44" s="4" t="s">
        <v>33</v>
      </c>
      <c r="H44" s="4" t="s">
        <v>34</v>
      </c>
      <c r="I44" s="4" t="s">
        <v>35</v>
      </c>
      <c r="J44" s="4" t="s">
        <v>36</v>
      </c>
    </row>
    <row r="45" spans="1:10" x14ac:dyDescent="0.25">
      <c r="B45">
        <v>120.085588172078</v>
      </c>
      <c r="C45">
        <v>198.90170864760901</v>
      </c>
      <c r="D45">
        <v>246.24078802764399</v>
      </c>
      <c r="E45">
        <v>278.68424512445898</v>
      </c>
      <c r="F45">
        <v>290.37435673177202</v>
      </c>
      <c r="G45">
        <v>322.58300520479702</v>
      </c>
      <c r="H45">
        <v>326.98824383318401</v>
      </c>
      <c r="I45">
        <v>363.69247443974001</v>
      </c>
      <c r="J45">
        <v>394.89293284714199</v>
      </c>
    </row>
    <row r="47" spans="1:10" x14ac:dyDescent="0.25">
      <c r="A47" t="s">
        <v>146</v>
      </c>
      <c r="B47">
        <v>276.40884744035799</v>
      </c>
    </row>
    <row r="49" spans="1:10" x14ac:dyDescent="0.25">
      <c r="A49" t="s">
        <v>147</v>
      </c>
      <c r="B49" s="4" t="s">
        <v>28</v>
      </c>
      <c r="C49" s="4" t="s">
        <v>29</v>
      </c>
      <c r="D49" s="4" t="s">
        <v>30</v>
      </c>
      <c r="E49" s="4" t="s">
        <v>31</v>
      </c>
      <c r="F49" s="4" t="s">
        <v>32</v>
      </c>
      <c r="G49" s="4" t="s">
        <v>33</v>
      </c>
      <c r="H49" s="4" t="s">
        <v>34</v>
      </c>
      <c r="I49" s="4" t="s">
        <v>35</v>
      </c>
      <c r="J49" s="4" t="s">
        <v>36</v>
      </c>
    </row>
    <row r="50" spans="1:10" x14ac:dyDescent="0.25">
      <c r="B50" s="25">
        <f>($D$5+$E$5*B10)*($B$47^6-B45^6)/(6*(B21+273.15)^5)</f>
        <v>5481.2949013674133</v>
      </c>
      <c r="C50" s="25">
        <f>($D$5+$E$5*C10)*($B$47^6-C45^6)/(6*(C21+273.15)^5)</f>
        <v>435.66663049389348</v>
      </c>
      <c r="D50" s="25">
        <f t="shared" ref="D50:J50" si="13">($D$5+$E$5*D10)*($B$47^6-D45^6)/(6*(D21+273.15)^5)</f>
        <v>94.263922753231213</v>
      </c>
      <c r="E50" s="25">
        <f t="shared" si="13"/>
        <v>-5.6775883252021471</v>
      </c>
      <c r="F50" s="25">
        <f t="shared" si="13"/>
        <v>-31.5721049116963</v>
      </c>
      <c r="G50" s="25">
        <f t="shared" si="13"/>
        <v>-92.015291634302415</v>
      </c>
      <c r="H50" s="25">
        <f t="shared" si="13"/>
        <v>-94.576931228666936</v>
      </c>
      <c r="I50" s="25">
        <f t="shared" si="13"/>
        <v>-150.41664050654785</v>
      </c>
      <c r="J50" s="25">
        <f t="shared" si="13"/>
        <v>-192.99342498255692</v>
      </c>
    </row>
    <row r="52" spans="1:10" x14ac:dyDescent="0.25">
      <c r="B52">
        <v>5481.2949013674497</v>
      </c>
      <c r="C52">
        <v>435.666630493897</v>
      </c>
      <c r="D52">
        <v>94.263922753231896</v>
      </c>
      <c r="E52">
        <v>-5.6775883252022101</v>
      </c>
      <c r="F52">
        <v>-31.572104911696801</v>
      </c>
      <c r="G52">
        <v>-92.015291634301406</v>
      </c>
      <c r="H52">
        <v>-94.576931228667306</v>
      </c>
      <c r="I52">
        <v>-150.41664050654799</v>
      </c>
      <c r="J52">
        <v>-192.993424982558</v>
      </c>
    </row>
    <row r="53" spans="1:10" x14ac:dyDescent="0.25">
      <c r="B53" s="14">
        <f t="shared" ref="B53:J53" si="14">B50-B52</f>
        <v>-3.637978807091713E-11</v>
      </c>
      <c r="C53" s="14">
        <f t="shared" si="14"/>
        <v>-3.5242919693700969E-12</v>
      </c>
      <c r="D53" s="14">
        <f t="shared" si="14"/>
        <v>-6.8212102632969618E-13</v>
      </c>
      <c r="E53" s="14">
        <f t="shared" si="14"/>
        <v>6.3060667798708891E-14</v>
      </c>
      <c r="F53" s="14">
        <f t="shared" si="14"/>
        <v>5.0093262871087063E-13</v>
      </c>
      <c r="G53" s="14">
        <f t="shared" si="14"/>
        <v>-1.0089706847793423E-12</v>
      </c>
      <c r="H53" s="14">
        <f t="shared" si="14"/>
        <v>3.694822225952521E-13</v>
      </c>
      <c r="I53" s="14">
        <f t="shared" si="14"/>
        <v>0</v>
      </c>
      <c r="J53" s="14">
        <f t="shared" si="14"/>
        <v>1.0800249583553523E-12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B12" sqref="B12:J12"/>
    </sheetView>
  </sheetViews>
  <sheetFormatPr defaultRowHeight="15" x14ac:dyDescent="0.25"/>
  <cols>
    <col min="1" max="1" width="38.7109375" bestFit="1" customWidth="1"/>
  </cols>
  <sheetData>
    <row r="1" spans="1:21" x14ac:dyDescent="0.25">
      <c r="A1" t="s">
        <v>129</v>
      </c>
      <c r="F1" t="s">
        <v>101</v>
      </c>
      <c r="G1">
        <v>298</v>
      </c>
      <c r="H1" t="s">
        <v>175</v>
      </c>
      <c r="I1">
        <v>200000</v>
      </c>
      <c r="K1">
        <f>101325</f>
        <v>101325</v>
      </c>
    </row>
    <row r="3" spans="1:21" x14ac:dyDescent="0.25">
      <c r="A3" t="s">
        <v>130</v>
      </c>
      <c r="B3">
        <v>1.9870000000000001</v>
      </c>
      <c r="C3" t="s">
        <v>131</v>
      </c>
    </row>
    <row r="5" spans="1:21" x14ac:dyDescent="0.25">
      <c r="A5" t="s">
        <v>132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21" x14ac:dyDescent="0.25">
      <c r="B6" s="4">
        <v>-82.45</v>
      </c>
      <c r="C6" s="4">
        <v>32.28</v>
      </c>
      <c r="D6" s="4">
        <v>96.75</v>
      </c>
      <c r="E6" s="4">
        <v>134.9</v>
      </c>
      <c r="F6" s="4">
        <v>152</v>
      </c>
      <c r="G6" s="4">
        <v>187.2</v>
      </c>
      <c r="H6" s="4">
        <v>196.5</v>
      </c>
      <c r="I6" s="4">
        <v>234.7</v>
      </c>
      <c r="J6" s="4">
        <v>267</v>
      </c>
    </row>
    <row r="8" spans="1:21" x14ac:dyDescent="0.25">
      <c r="A8" t="s">
        <v>133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21" x14ac:dyDescent="0.25">
      <c r="B9" s="4">
        <v>4641</v>
      </c>
      <c r="C9" s="4">
        <v>4484</v>
      </c>
      <c r="D9" s="4">
        <v>4257</v>
      </c>
      <c r="E9" s="4">
        <v>3648</v>
      </c>
      <c r="F9" s="4">
        <v>3797</v>
      </c>
      <c r="G9" s="4">
        <v>3375</v>
      </c>
      <c r="H9" s="4">
        <v>3334</v>
      </c>
      <c r="I9" s="4">
        <v>3032</v>
      </c>
      <c r="J9" s="4">
        <v>2737</v>
      </c>
    </row>
    <row r="11" spans="1:21" x14ac:dyDescent="0.25">
      <c r="A11" t="s">
        <v>134</v>
      </c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  <c r="M11" t="s">
        <v>77</v>
      </c>
      <c r="N11" t="s">
        <v>76</v>
      </c>
      <c r="O11" t="s">
        <v>138</v>
      </c>
    </row>
    <row r="12" spans="1:21" x14ac:dyDescent="0.25">
      <c r="B12" s="4">
        <v>-161.52500000000001</v>
      </c>
      <c r="C12" s="4">
        <v>-88.599996948242193</v>
      </c>
      <c r="D12" s="4">
        <v>-42.101995849609402</v>
      </c>
      <c r="E12" s="4">
        <v>-11.7299865722656</v>
      </c>
      <c r="F12" s="4">
        <v>-0.50198974609372704</v>
      </c>
      <c r="G12" s="4">
        <v>27.878015136718801</v>
      </c>
      <c r="H12" s="4">
        <v>36.059014892578098</v>
      </c>
      <c r="I12" s="4">
        <v>68.730004882812494</v>
      </c>
      <c r="J12" s="4">
        <v>98.429010009765605</v>
      </c>
      <c r="M12" t="str">
        <f>CONCATENATE($M$11,B12,N11)</f>
        <v>(-161.525,</v>
      </c>
      <c r="N12" t="str">
        <f>CONCATENATE(C12,$N$11)</f>
        <v>-88.5999969482422,</v>
      </c>
      <c r="O12" t="str">
        <f t="shared" ref="O12:S12" si="0">CONCATENATE(D12,$N$11)</f>
        <v>-42.1019958496094,</v>
      </c>
      <c r="P12" t="str">
        <f t="shared" si="0"/>
        <v>-11.7299865722656,</v>
      </c>
      <c r="Q12" t="str">
        <f t="shared" si="0"/>
        <v>-0.501989746093727,</v>
      </c>
      <c r="R12" t="str">
        <f t="shared" si="0"/>
        <v>27.8780151367188,</v>
      </c>
      <c r="S12" t="str">
        <f t="shared" si="0"/>
        <v>36.0590148925781,</v>
      </c>
      <c r="T12" t="str">
        <f>CONCATENATE(I12,$N$11)</f>
        <v>68.7300048828125,</v>
      </c>
      <c r="U12" t="str">
        <f>CONCATENATE(J12,$O$11)</f>
        <v>98.4290100097656);</v>
      </c>
    </row>
    <row r="14" spans="1:21" x14ac:dyDescent="0.25">
      <c r="A14" s="22" t="s">
        <v>135</v>
      </c>
      <c r="B14" s="4" t="s">
        <v>28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  <c r="J14" s="4" t="s">
        <v>36</v>
      </c>
    </row>
    <row r="15" spans="1:21" x14ac:dyDescent="0.25">
      <c r="A15" s="24" t="s">
        <v>136</v>
      </c>
      <c r="B15" s="4">
        <f>$B$3*(B6+273.15)*(B12+273.15)/(B6+273.15)*((3.978*(B12+273.15)/(B6+273.15)-3.938+1.555*LN(B9/101.325))/(1.07-(B12+273.15)/(B6+273.15)))</f>
        <v>1984.9570129601557</v>
      </c>
      <c r="C15" s="4">
        <f t="shared" ref="C15:J15" si="1">$B$3*(C6+273.15)*(C12+273.15)/(C6+273.15)*((3.978*(C12+273.15)/(C6+273.15)-3.938+1.555*LN(C9/101.325))/(1.07-(C12+273.15)/(C6+273.15)))</f>
        <v>3431.827333936305</v>
      </c>
      <c r="D15" s="4">
        <f t="shared" si="1"/>
        <v>4493.5633343356158</v>
      </c>
      <c r="E15" s="4">
        <f t="shared" si="1"/>
        <v>5060.8490051711269</v>
      </c>
      <c r="F15" s="4">
        <f t="shared" si="1"/>
        <v>5368.0025622524481</v>
      </c>
      <c r="G15" s="4">
        <f t="shared" si="1"/>
        <v>5915.1802313216895</v>
      </c>
      <c r="H15" s="4">
        <f t="shared" si="1"/>
        <v>6140.1036477159223</v>
      </c>
      <c r="I15" s="4">
        <f t="shared" si="1"/>
        <v>6890.3169759232387</v>
      </c>
      <c r="J15" s="4">
        <f t="shared" si="1"/>
        <v>7583.1659973287997</v>
      </c>
    </row>
    <row r="17" spans="1:10" x14ac:dyDescent="0.25">
      <c r="A17" s="22" t="s">
        <v>137</v>
      </c>
      <c r="B17" s="4" t="s">
        <v>28</v>
      </c>
      <c r="C17" s="4" t="s">
        <v>29</v>
      </c>
      <c r="D17" s="4" t="s">
        <v>30</v>
      </c>
      <c r="E17" s="4" t="s">
        <v>31</v>
      </c>
      <c r="F17" s="4" t="s">
        <v>32</v>
      </c>
      <c r="G17" s="4" t="s">
        <v>33</v>
      </c>
      <c r="H17" s="4" t="s">
        <v>34</v>
      </c>
      <c r="I17" s="4" t="s">
        <v>35</v>
      </c>
      <c r="J17" s="4" t="s">
        <v>36</v>
      </c>
    </row>
    <row r="18" spans="1:10" x14ac:dyDescent="0.25">
      <c r="A18" s="24" t="s">
        <v>136</v>
      </c>
      <c r="B18" s="4">
        <f>1.093*$B$3*(B6+273.15)*(LN(B9/101.325)-1)/(0.93-(B12+273.15)/(B6+273.15))*(B12+273.15)/(B6+273.15)</f>
        <v>1986.6063002137369</v>
      </c>
      <c r="C18" s="4">
        <f t="shared" ref="C18:J18" si="2">1.093*$B$3*(C6+273.15)*(LN(C9/101.325)-1)/(0.93-(C12+273.15)/(C6+273.15))*(C12+273.15)/(C6+273.15)</f>
        <v>3432.5402518963665</v>
      </c>
      <c r="D18" s="4">
        <f t="shared" si="2"/>
        <v>4498.990826421049</v>
      </c>
      <c r="E18" s="4">
        <f t="shared" si="2"/>
        <v>5069.5461178738005</v>
      </c>
      <c r="F18" s="4">
        <f t="shared" si="2"/>
        <v>5381.1401586989414</v>
      </c>
      <c r="G18" s="4">
        <f t="shared" si="2"/>
        <v>5933.6996714675515</v>
      </c>
      <c r="H18" s="4">
        <f t="shared" si="2"/>
        <v>6165.0587190871756</v>
      </c>
      <c r="I18" s="4">
        <f t="shared" si="2"/>
        <v>6935.0124121397257</v>
      </c>
      <c r="J18" s="4">
        <f t="shared" si="2"/>
        <v>7654.7805501988059</v>
      </c>
    </row>
    <row r="21" spans="1:10" x14ac:dyDescent="0.25">
      <c r="A21" t="s">
        <v>173</v>
      </c>
    </row>
    <row r="23" spans="1:10" x14ac:dyDescent="0.25">
      <c r="A23" t="s">
        <v>174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(1/(B12+273.15)-(8.314*LN($I$1/$K$1))/(B18*4.1868))^(-1)</f>
        <v>120.78942450794031</v>
      </c>
      <c r="C24" s="4">
        <f t="shared" ref="C24:J24" si="3">(1/(C12+273.15)-(8.314*LN($I$1/$K$1))/(C18*4.1868))^(-1)</f>
        <v>198.99678437725325</v>
      </c>
      <c r="D24" s="4">
        <f t="shared" si="3"/>
        <v>248.26380130875134</v>
      </c>
      <c r="E24" s="4">
        <f t="shared" si="3"/>
        <v>280.98499801705793</v>
      </c>
      <c r="F24" s="4">
        <f t="shared" si="3"/>
        <v>292.67126812514124</v>
      </c>
      <c r="G24" s="4">
        <f t="shared" si="3"/>
        <v>323.1657566473699</v>
      </c>
      <c r="H24" s="4">
        <f t="shared" si="3"/>
        <v>331.6710508996976</v>
      </c>
      <c r="I24" s="4">
        <f t="shared" si="3"/>
        <v>366.26053874551502</v>
      </c>
      <c r="J24" s="4">
        <f t="shared" si="3"/>
        <v>397.64283896281677</v>
      </c>
    </row>
    <row r="25" spans="1:10" x14ac:dyDescent="0.25">
      <c r="B25">
        <f>B24-273.15</f>
        <v>-152.36057549205967</v>
      </c>
      <c r="C25">
        <f t="shared" ref="C25:J25" si="4">C24-273.15</f>
        <v>-74.153215622746728</v>
      </c>
      <c r="D25">
        <f t="shared" si="4"/>
        <v>-24.886198691248637</v>
      </c>
      <c r="E25">
        <f t="shared" si="4"/>
        <v>7.8349980170579556</v>
      </c>
      <c r="F25">
        <f t="shared" si="4"/>
        <v>19.521268125141262</v>
      </c>
      <c r="G25">
        <f t="shared" si="4"/>
        <v>50.015756647369926</v>
      </c>
      <c r="H25">
        <f t="shared" si="4"/>
        <v>58.521050899697627</v>
      </c>
      <c r="I25">
        <f t="shared" si="4"/>
        <v>93.110538745515044</v>
      </c>
      <c r="J25">
        <f t="shared" si="4"/>
        <v>124.49283896281679</v>
      </c>
    </row>
    <row r="27" spans="1:10" x14ac:dyDescent="0.25">
      <c r="A27" s="22" t="s">
        <v>176</v>
      </c>
      <c r="B27" s="4" t="s">
        <v>28</v>
      </c>
      <c r="C27" s="4" t="s">
        <v>29</v>
      </c>
      <c r="D27" s="4" t="s">
        <v>30</v>
      </c>
      <c r="E27" s="4" t="s">
        <v>31</v>
      </c>
      <c r="F27" s="4" t="s">
        <v>32</v>
      </c>
      <c r="G27" s="4" t="s">
        <v>33</v>
      </c>
      <c r="H27" s="4" t="s">
        <v>34</v>
      </c>
      <c r="I27" s="4" t="s">
        <v>35</v>
      </c>
      <c r="J27" s="4" t="s">
        <v>36</v>
      </c>
    </row>
    <row r="28" spans="1:10" x14ac:dyDescent="0.25">
      <c r="A28" s="24" t="s">
        <v>136</v>
      </c>
      <c r="B28">
        <f>1.093*$B$3*(B6+273.15)*(LN(B9/101.325)-1)/(0.93-(B25+273.15)/(B6+273.15))*(B12+273.15)/(B6+273.15)</f>
        <v>2308.4874236959377</v>
      </c>
      <c r="C28">
        <f t="shared" ref="C28:J28" si="5">1.093*$B$3*(C6+273.15)*(LN(C9/101.325)-1)/(0.93-(C25+273.15)/(C6+273.15))*(C12+273.15)/(C6+273.15)</f>
        <v>4015.5777814098146</v>
      </c>
      <c r="D28">
        <f t="shared" si="5"/>
        <v>5307.9643571128991</v>
      </c>
      <c r="E28">
        <f t="shared" si="5"/>
        <v>6076.4910849489461</v>
      </c>
      <c r="F28">
        <f t="shared" si="5"/>
        <v>6430.1063945095066</v>
      </c>
      <c r="G28">
        <f t="shared" si="5"/>
        <v>7185.2148270206908</v>
      </c>
      <c r="H28">
        <f t="shared" si="5"/>
        <v>7482.6155844378882</v>
      </c>
      <c r="I28">
        <f t="shared" si="5"/>
        <v>8529.4990844486874</v>
      </c>
      <c r="J28">
        <f t="shared" si="5"/>
        <v>9560.4085707778686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Лист2</vt:lpstr>
      <vt:lpstr>проверка</vt:lpstr>
      <vt:lpstr>Лист3</vt:lpstr>
      <vt:lpstr>Метод секущих</vt:lpstr>
      <vt:lpstr>Энтальпия идеал.газа</vt:lpstr>
      <vt:lpstr>Теплоемкость идеал.газа</vt:lpstr>
      <vt:lpstr>метод Лимана-Деннера</vt:lpstr>
      <vt:lpstr>Энтальпия парообразования</vt:lpstr>
      <vt:lpstr>dHf_298</vt:lpstr>
      <vt:lpstr>Проверка энтальпий</vt:lpstr>
      <vt:lpstr>Проверка профили</vt:lpstr>
      <vt:lpstr>Проверка профили (2)</vt:lpstr>
      <vt:lpstr>Теплоемкость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2020-01-21T08:25:23Z</dcterms:modified>
</cp:coreProperties>
</file>