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11 вариант" sheetId="1" state="visible" r:id="rId1"/>
  </sheets>
  <calcPr/>
</workbook>
</file>

<file path=xl/sharedStrings.xml><?xml version="1.0" encoding="utf-8"?>
<sst xmlns="http://schemas.openxmlformats.org/spreadsheetml/2006/main" count="43" uniqueCount="43">
  <si>
    <t>Компонент</t>
  </si>
  <si>
    <t xml:space="preserve">Tк ср</t>
  </si>
  <si>
    <t xml:space="preserve">%мс пот</t>
  </si>
  <si>
    <t xml:space="preserve">% мс фр</t>
  </si>
  <si>
    <t>Мм</t>
  </si>
  <si>
    <t xml:space="preserve">ро г/см3</t>
  </si>
  <si>
    <t xml:space="preserve">x0 мс</t>
  </si>
  <si>
    <t>Отношение</t>
  </si>
  <si>
    <t xml:space="preserve">x0 ' мл</t>
  </si>
  <si>
    <t xml:space="preserve">f (Tкип)</t>
  </si>
  <si>
    <t xml:space="preserve">f (T)</t>
  </si>
  <si>
    <t xml:space="preserve">Рi, кПа</t>
  </si>
  <si>
    <t>ki=Pi/P</t>
  </si>
  <si>
    <t>yi,мольн.</t>
  </si>
  <si>
    <t>xi,мольн.</t>
  </si>
  <si>
    <t>гамма</t>
  </si>
  <si>
    <t xml:space="preserve">ро ж кг/м3</t>
  </si>
  <si>
    <t xml:space="preserve">ро ж см</t>
  </si>
  <si>
    <t xml:space="preserve">ро г кг/м3</t>
  </si>
  <si>
    <t xml:space="preserve">ро г см</t>
  </si>
  <si>
    <t>альфа</t>
  </si>
  <si>
    <t xml:space="preserve">Н мин</t>
  </si>
  <si>
    <t xml:space="preserve">Н оптим</t>
  </si>
  <si>
    <t>Высота</t>
  </si>
  <si>
    <t xml:space="preserve">Н раб</t>
  </si>
  <si>
    <t>ВЕП</t>
  </si>
  <si>
    <t xml:space="preserve">Высота колонны</t>
  </si>
  <si>
    <t>1(ключевой)</t>
  </si>
  <si>
    <t>2(ключевой)</t>
  </si>
  <si>
    <t xml:space="preserve">11 (эталон)</t>
  </si>
  <si>
    <t xml:space="preserve">остаток </t>
  </si>
  <si>
    <t>потери</t>
  </si>
  <si>
    <t>-</t>
  </si>
  <si>
    <t>Сумма</t>
  </si>
  <si>
    <t xml:space="preserve">Доля отгона</t>
  </si>
  <si>
    <t xml:space="preserve">Тои, С</t>
  </si>
  <si>
    <t xml:space="preserve">Рои, КПа</t>
  </si>
  <si>
    <t xml:space="preserve">wп м/с</t>
  </si>
  <si>
    <t xml:space="preserve">V0 кг/час</t>
  </si>
  <si>
    <t>Темп</t>
  </si>
  <si>
    <t>Е</t>
  </si>
  <si>
    <t xml:space="preserve">v0 м3/с</t>
  </si>
  <si>
    <t xml:space="preserve">D м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</si>
</sst>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&quot;р.&quot;_-;\-* #,##0.00&quot;р.&quot;_-;_-* &quot;-&quot;??&quot;р.&quot;_-;_-@_-"/>
    <numFmt numFmtId="161" formatCode="_-* #,##0&quot;р.&quot;_-;\-* #,##0&quot;р.&quot;_-;_-* &quot;-&quot;&quot;р.&quot;_-;_-@_-"/>
    <numFmt numFmtId="162" formatCode="_-* #,##0.00_р_._-;\-* #,##0.00_р_._-;_-* &quot;-&quot;??_р_._-;_-@_-"/>
    <numFmt numFmtId="163" formatCode="_-* #,##0_р_._-;\-* #,##0_р_._-;_-* &quot;-&quot;_р_._-;_-@_-"/>
    <numFmt numFmtId="164" formatCode="0.000"/>
    <numFmt numFmtId="165" formatCode="0.0000"/>
  </numFmts>
  <fonts count="9">
    <font>
      <sz val="10.000000"/>
      <color theme="1"/>
      <name val="Arial Cyr"/>
    </font>
    <font>
      <u/>
      <sz val="10.000000"/>
      <color indexed="4"/>
      <name val="Arial Cyr"/>
    </font>
    <font>
      <u/>
      <sz val="10.000000"/>
      <color indexed="20"/>
      <name val="Arial Cyr"/>
    </font>
    <font>
      <sz val="10.000000"/>
      <color indexed="4"/>
      <name val="Arial Cyr"/>
    </font>
    <font>
      <sz val="10.000000"/>
      <name val="Arial Cyr"/>
    </font>
    <font>
      <sz val="11.000000"/>
      <name val="Arial Cyr"/>
    </font>
    <font>
      <sz val="10.000000"/>
      <color indexed="17"/>
      <name val="Arial Cyr"/>
    </font>
    <font>
      <sz val="10.000000"/>
      <color indexed="16"/>
      <name val="Arial Cyr"/>
    </font>
    <font>
      <sz val="10.000000"/>
      <color indexed="18"/>
      <name val="Arial Cyr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42"/>
        <bgColor indexed="4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8">
    <xf fontId="0" fillId="0" borderId="0" numFmtId="0" applyNumberFormat="1" applyFont="1" applyFill="1" applyBorder="1"/>
    <xf fontId="1" fillId="0" borderId="0" numFmtId="0" applyNumberFormat="1" applyFont="1" applyFill="1" applyBorder="1">
      <alignment vertical="top"/>
    </xf>
    <xf fontId="0" fillId="0" borderId="0" numFmtId="160" applyNumberFormat="1" applyFont="1" applyFill="1" applyBorder="1"/>
    <xf fontId="0" fillId="0" borderId="0" numFmtId="161" applyNumberFormat="1" applyFont="1" applyFill="1" applyBorder="1"/>
    <xf fontId="2" fillId="0" borderId="0" numFmtId="0" applyNumberFormat="1" applyFont="1" applyFill="1" applyBorder="1">
      <alignment vertical="top"/>
    </xf>
    <xf fontId="0" fillId="0" borderId="0" numFmtId="9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</cellStyleXfs>
  <cellXfs count="31">
    <xf fontId="0" fillId="0" borderId="0" numFmtId="0" xfId="0"/>
    <xf fontId="0" fillId="0" borderId="0" numFmtId="0" xfId="0" applyAlignment="1">
      <alignment horizontal="center"/>
    </xf>
    <xf fontId="0" fillId="0" borderId="0" numFmtId="164" xfId="0" applyNumberFormat="1" applyAlignment="1">
      <alignment horizontal="center"/>
    </xf>
    <xf fontId="0" fillId="2" borderId="1" numFmtId="0" xfId="0" applyFill="1" applyBorder="1" applyAlignment="1">
      <alignment horizontal="center"/>
    </xf>
    <xf fontId="0" fillId="2" borderId="1" numFmtId="1" xfId="0" applyNumberFormat="1" applyFill="1" applyBorder="1" applyAlignment="1">
      <alignment horizontal="center"/>
    </xf>
    <xf fontId="0" fillId="2" borderId="1" numFmtId="164" xfId="0" applyNumberFormat="1" applyFill="1" applyBorder="1" applyAlignment="1">
      <alignment horizontal="center"/>
    </xf>
    <xf fontId="0" fillId="3" borderId="1" numFmtId="0" xfId="0" applyFill="1" applyBorder="1" applyAlignment="1">
      <alignment horizontal="center"/>
    </xf>
    <xf fontId="0" fillId="4" borderId="0" numFmtId="0" xfId="0" applyFill="1" applyAlignment="1">
      <alignment horizontal="center"/>
    </xf>
    <xf fontId="3" fillId="0" borderId="1" numFmtId="0" xfId="0" applyFont="1" applyBorder="1" applyAlignment="1">
      <alignment horizontal="center"/>
    </xf>
    <xf fontId="0" fillId="0" borderId="1" numFmtId="1" xfId="0" applyNumberFormat="1" applyBorder="1" applyAlignment="1">
      <alignment horizontal="center"/>
    </xf>
    <xf fontId="4" fillId="0" borderId="1" numFmtId="2" xfId="0" applyNumberFormat="1" applyFont="1" applyBorder="1" applyAlignment="1">
      <alignment horizontal="center"/>
    </xf>
    <xf fontId="0" fillId="0" borderId="1" numFmtId="164" xfId="0" applyNumberFormat="1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165" xfId="0" applyNumberForma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5" fillId="0" borderId="1" numFmtId="2" xfId="0" applyNumberFormat="1" applyFont="1" applyBorder="1" applyAlignment="1">
      <alignment horizontal="center"/>
    </xf>
    <xf fontId="6" fillId="0" borderId="1" numFmtId="0" xfId="0" applyFont="1" applyBorder="1" applyAlignment="1">
      <alignment horizontal="center"/>
    </xf>
    <xf fontId="7" fillId="0" borderId="1" numFmtId="2" xfId="0" applyNumberFormat="1" applyFont="1" applyBorder="1" applyAlignment="1">
      <alignment horizontal="center"/>
    </xf>
    <xf fontId="7" fillId="0" borderId="1" numFmtId="164" xfId="0" applyNumberFormat="1" applyFont="1" applyBorder="1" applyAlignment="1">
      <alignment horizontal="center"/>
    </xf>
    <xf fontId="8" fillId="0" borderId="1" numFmtId="164" xfId="0" applyNumberFormat="1" applyFont="1" applyBorder="1" applyAlignment="1">
      <alignment horizontal="center"/>
    </xf>
    <xf fontId="0" fillId="0" borderId="0" numFmtId="1" xfId="0" applyNumberFormat="1" applyAlignment="1">
      <alignment horizontal="center"/>
    </xf>
    <xf fontId="0" fillId="4" borderId="1" numFmtId="0" xfId="0" applyFill="1" applyBorder="1" applyAlignment="1">
      <alignment horizontal="center"/>
    </xf>
    <xf fontId="0" fillId="5" borderId="1" numFmtId="0" xfId="0" applyFill="1" applyBorder="1" applyAlignment="1">
      <alignment horizontal="center"/>
    </xf>
    <xf fontId="0" fillId="3" borderId="1" numFmtId="1" xfId="0" applyNumberFormat="1" applyFill="1" applyBorder="1" applyAlignment="1">
      <alignment horizontal="center"/>
    </xf>
    <xf fontId="0" fillId="6" borderId="1" numFmtId="0" xfId="0" applyFill="1" applyBorder="1" applyAlignment="1">
      <alignment horizontal="center"/>
    </xf>
  </cellXfs>
  <cellStyles count="8">
    <cellStyle name="Hyperlink" xfId="1" builtinId="8"/>
    <cellStyle name="Currency" xfId="2" builtinId="4"/>
    <cellStyle name="Currency[0]" xfId="3" builtinId="7"/>
    <cellStyle name="Normal" xfId="0" builtinId="0"/>
    <cellStyle name="Followed Hyperlink" xfId="4" builtinId="9"/>
    <cellStyle name="Percent" xfId="5" builtinId="5"/>
    <cellStyle name="Comma" xfId="6" builtinId="3"/>
    <cellStyle name="Comma [0]" xfId="7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1200" b="0" i="0">
                <a:latin typeface="Arial Cyr"/>
                <a:ea typeface="Arial Cyr"/>
                <a:cs typeface="Arial Cyr"/>
              </a:defRPr>
            </a:pPr>
            <a:r>
              <a:rPr/>
              <a:t>Доля отгона </a:t>
            </a:r>
            <a:endParaRPr/>
          </a:p>
        </c:rich>
      </c:tx>
      <c:layout/>
      <c:overlay val="0"/>
    </c:title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 xml:space="preserve">'11 вариант'!$A$29:$A$34</c:f>
            </c:numRef>
          </c:xVal>
          <c:yVal>
            <c:numRef>
              <c:f xml:space="preserve">'11 вариант'!$B$29:$B$34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32"/>
        <c:axId val="33554433"/>
      </c:scatterChart>
      <c:valAx>
        <c:axId val="33554432"/>
        <c:scaling>
          <c:orientation val="minMax"/>
          <c:max val="175.000000"/>
          <c:min val="50.000000"/>
        </c:scaling>
        <c:delete val="0"/>
        <c:axPos val="b"/>
        <c:min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 rot="0" vert="horz"/>
              <a:p>
                <a:pPr>
                  <a:defRPr sz="800" b="1" i="0">
                    <a:latin typeface="Arial Cyr"/>
                    <a:ea typeface="Arial Cyr"/>
                    <a:cs typeface="Arial Cyr"/>
                  </a:defRPr>
                </a:pPr>
                <a:r>
                  <a:rPr/>
                  <a:t>Т С</a:t>
                </a:r>
                <a:endParaRPr/>
              </a:p>
            </c:rich>
          </c:tx>
          <c:layout/>
          <c:overlay val="0"/>
        </c:title>
        <c:majorTickMark val="out"/>
        <c:minorTickMark val="out"/>
        <c:tickLblPos val="nextTo"/>
        <c:crossAx val="33554433"/>
        <c:crosses val="autoZero"/>
        <c:crossBetween val="midCat"/>
      </c:valAx>
      <c:valAx>
        <c:axId val="33554433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p>
                <a:pPr>
                  <a:defRPr sz="800" b="1" i="0">
                    <a:latin typeface="Arial Cyr"/>
                    <a:ea typeface="Arial Cyr"/>
                    <a:cs typeface="Arial Cyr"/>
                  </a:defRPr>
                </a:pPr>
                <a:r>
                  <a:rPr/>
                  <a:t>Е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554432"/>
        <c:crosses val="autoZero"/>
        <c:crossBetween val="midCat"/>
      </c:valAx>
      <c:spPr bwMode="auto">
        <a:prstGeom prst="rect">
          <a:avLst/>
        </a:prstGeom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850" b="0" i="0">
          <a:latin typeface="Arial Cyr"/>
          <a:ea typeface="Arial Cyr"/>
          <a:cs typeface="Arial Cyr"/>
        </a:defRPr>
      </a:pPr>
      <a:endParaRPr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109686</xdr:colOff>
      <xdr:row>22</xdr:row>
      <xdr:rowOff>47625</xdr:rowOff>
    </xdr:from>
    <xdr:to>
      <xdr:col>10</xdr:col>
      <xdr:colOff>372953</xdr:colOff>
      <xdr:row>37</xdr:row>
      <xdr:rowOff>57150</xdr:rowOff>
    </xdr:to>
    <xdr:graphicFrame>
      <xdr:nvGraphicFramePr>
        <xdr:cNvPr id="4097" name="Chart_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B47" activeCellId="0" sqref="B47"/>
    </sheetView>
  </sheetViews>
  <sheetFormatPr baseColWidth="8" defaultRowHeight="12" customHeight="1"/>
  <cols>
    <col customWidth="1" min="1" max="1" style="1" width="11"/>
    <col customWidth="1" min="2" max="2" style="1" width="7.5703100000000001"/>
    <col bestFit="1" customWidth="1" min="3" max="3" style="1" width="8.140625"/>
    <col bestFit="1" customWidth="1" min="4" max="4" style="1" width="8.37109375"/>
    <col customWidth="1" min="5" max="5" style="1" width="6.5703100000000001"/>
    <col customWidth="1" min="6" max="6" style="1" width="8.2851599999999994"/>
    <col bestFit="1" customWidth="1" min="7" max="7" style="1" width="5.40234375"/>
    <col bestFit="1" customWidth="1" min="8" max="8" style="1" width="10.7734375"/>
    <col customWidth="1" min="9" max="9" style="1" width="9.4257799999999996"/>
    <col customWidth="1" min="10" max="11" style="1" width="9.1406200000000002"/>
    <col customWidth="1" min="12" max="12" style="1" width="11"/>
    <col customWidth="1" min="13" max="13" style="1" width="9.1406200000000002"/>
    <col customWidth="1" min="14" max="14" style="2" width="9.1406200000000002"/>
    <col customWidth="1" min="15" max="15" style="1" width="9.1406200000000002"/>
    <col customWidth="1" min="16" max="16" style="1" width="7.8554700000000004"/>
    <col customWidth="1" min="17" max="17" style="1" width="8.7109400000000008"/>
    <col customWidth="1" min="18" max="18" style="1" width="7.8554700000000004"/>
    <col customWidth="1" min="19" max="19" style="1" width="8.4257799999999996"/>
    <col customWidth="1" min="20" max="20" style="1" width="7.8554700000000004"/>
    <col customWidth="1" min="21" max="26" style="1" width="9.1406200000000002"/>
    <col customWidth="1" min="27" max="27" style="1" width="13.855499999999999"/>
    <col customWidth="1" min="28" max="257" style="1" width="9.1406200000000002"/>
  </cols>
  <sheetData>
    <row r="1" ht="12" customHeight="1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</row>
    <row r="2" ht="12" customHeight="1">
      <c r="A2" s="8" t="s">
        <v>27</v>
      </c>
      <c r="B2" s="9">
        <v>20</v>
      </c>
      <c r="C2" s="10">
        <v>7.7300000000000004</v>
      </c>
      <c r="D2" s="10">
        <v>7.7300000000000004</v>
      </c>
      <c r="E2" s="9">
        <v>35</v>
      </c>
      <c r="F2" s="11">
        <v>0.59404000000000001</v>
      </c>
      <c r="G2" s="11">
        <f t="shared" ref="G2:G22" si="0">C2/100</f>
        <v>7.7300000000000008e-002</v>
      </c>
      <c r="H2" s="11">
        <f>C2/E2</f>
        <v>0.22085714285714286</v>
      </c>
      <c r="I2" s="11">
        <f>H2/H$22</f>
        <v>0.18691718862880305</v>
      </c>
      <c r="J2" s="11">
        <f t="shared" ref="J2:J19" si="1">1250/(((B2+273)^2+108000)^0.5-307.60000000000002)-1</f>
        <v>8.4209603702286877</v>
      </c>
      <c r="K2" s="11">
        <f t="shared" ref="K2:K20" si="2">1250/(((A$26+273)^2+108000)^0.5-307.60000000000002)-1</f>
        <v>4.9939564348205634</v>
      </c>
      <c r="L2" s="11">
        <f t="shared" ref="L2:L20" si="3">(3158+10^(7.6715-2.6800000000000002*K2/J2))/1000</f>
        <v>1211.4056293703272</v>
      </c>
      <c r="M2" s="11">
        <f t="shared" ref="M2:M20" si="4">L2/B$26</f>
        <v>11.994115142280467</v>
      </c>
      <c r="N2" s="11">
        <f t="shared" ref="N2:N20" si="5">M2*I2/(1+B$24*(M2-1))</f>
        <v>0.19693585327017449</v>
      </c>
      <c r="O2" s="11">
        <f t="shared" ref="O2:O19" si="6">N2/M2</f>
        <v>1.6419373245463994e-002</v>
      </c>
      <c r="P2" s="12">
        <f t="shared" ref="P2:P20" si="7">0.001828-0.00132*F2*1000</f>
        <v>-0.78230480000000002</v>
      </c>
      <c r="Q2" s="12">
        <f t="shared" ref="Q2:Q20" si="8">F2*1000-P2*((273+A$26)-293)</f>
        <v>676.18200400000001</v>
      </c>
      <c r="R2" s="12">
        <f t="shared" ref="R2:R19" si="9">Q2*O2</f>
        <v>11.102484705541828</v>
      </c>
      <c r="S2" s="12">
        <f t="shared" ref="S2:S20" si="10">101000*E2/(0.29999999999999999*1000*8.3140000000000001*(A$26+273))</f>
        <v>3.5610253980188813</v>
      </c>
      <c r="T2" s="13">
        <f t="shared" ref="T2:T20" si="11">S2*N2</f>
        <v>0.70129357527561109</v>
      </c>
      <c r="U2" s="14">
        <f>L2/L12</f>
        <v>11.968066062052225</v>
      </c>
      <c r="V2" s="15">
        <f>LOG10(N2/O2*O20/N20)/LOG10(U2/U3)</f>
        <v>1</v>
      </c>
      <c r="W2" s="16">
        <f>1.7*V2+0.69999999999999996</f>
        <v>2.3999999999999999</v>
      </c>
      <c r="X2" s="16">
        <f>W2*0.45000000000000001</f>
        <v>1.0800000000000001</v>
      </c>
      <c r="Y2" s="16">
        <f>U2/(U2-U3)*LN(N2*O19/(N19*O2))+LN(O2/N2)</f>
        <v>3.2443396546775753</v>
      </c>
      <c r="Z2" s="16">
        <f>1.2-1.5*0.45000000000000001</f>
        <v>0.52499999999999991</v>
      </c>
      <c r="AA2" s="17">
        <f>Z2*Y2</f>
        <v>1.7032783187057268</v>
      </c>
    </row>
    <row r="3" ht="12" customHeight="1">
      <c r="A3" s="8" t="s">
        <v>28</v>
      </c>
      <c r="B3" s="9">
        <v>28</v>
      </c>
      <c r="C3" s="10">
        <v>10.82</v>
      </c>
      <c r="D3" s="10">
        <v>18.550000000000001</v>
      </c>
      <c r="E3" s="9">
        <v>49</v>
      </c>
      <c r="F3" s="11">
        <v>0.63529999999999998</v>
      </c>
      <c r="G3" s="11">
        <f t="shared" si="0"/>
        <v>0.1082</v>
      </c>
      <c r="H3" s="11">
        <f t="shared" ref="H3:H21" si="12">C3/E3</f>
        <v>0.22081632653061226</v>
      </c>
      <c r="I3" s="11">
        <f t="shared" ref="I3:I21" si="13">H3/H$22</f>
        <v>0.1868826447018711</v>
      </c>
      <c r="J3" s="11">
        <f t="shared" si="1"/>
        <v>8.0549053995324602</v>
      </c>
      <c r="K3" s="11">
        <f t="shared" si="2"/>
        <v>4.9939564348205634</v>
      </c>
      <c r="L3" s="11">
        <f t="shared" si="3"/>
        <v>1026.2819520417622</v>
      </c>
      <c r="M3" s="11">
        <f t="shared" si="4"/>
        <v>10.161207445958041</v>
      </c>
      <c r="N3" s="11">
        <f t="shared" si="5"/>
        <v>0.19672645292538071</v>
      </c>
      <c r="O3" s="11">
        <f t="shared" si="6"/>
        <v>1.9360538988271045e-002</v>
      </c>
      <c r="P3" s="12">
        <f t="shared" si="7"/>
        <v>-0.83676799999999985</v>
      </c>
      <c r="Q3" s="12">
        <f t="shared" si="8"/>
        <v>723.16063999999994</v>
      </c>
      <c r="R3" s="12">
        <f t="shared" si="9"/>
        <v>14.00077976550304</v>
      </c>
      <c r="S3" s="12">
        <f t="shared" si="10"/>
        <v>4.9854355572264337</v>
      </c>
      <c r="T3" s="13">
        <f t="shared" si="11"/>
        <v>0.98076705346122517</v>
      </c>
      <c r="U3" s="18">
        <f>L20/L12</f>
        <v>3.4988040224930697e-002</v>
      </c>
      <c r="V3" s="19"/>
      <c r="W3" s="19"/>
      <c r="X3" s="19"/>
      <c r="Y3" s="19"/>
      <c r="Z3" s="19"/>
      <c r="AA3" s="20"/>
    </row>
    <row r="4" ht="12" customHeight="1">
      <c r="A4" s="12">
        <v>3</v>
      </c>
      <c r="B4" s="9">
        <v>34</v>
      </c>
      <c r="C4" s="10">
        <v>4.8600000000000003</v>
      </c>
      <c r="D4" s="10">
        <v>23.41</v>
      </c>
      <c r="E4" s="9">
        <v>60</v>
      </c>
      <c r="F4" s="11">
        <v>0.62590000000000001</v>
      </c>
      <c r="G4" s="11">
        <f t="shared" si="0"/>
        <v>4.8600000000000004e-002</v>
      </c>
      <c r="H4" s="11">
        <f t="shared" si="12"/>
        <v>8.1000000000000003e-002</v>
      </c>
      <c r="I4" s="11">
        <f t="shared" si="13"/>
        <v>6.8552422996462706e-002</v>
      </c>
      <c r="J4" s="11">
        <f t="shared" si="1"/>
        <v>7.7953207711393233</v>
      </c>
      <c r="K4" s="11">
        <f t="shared" si="2"/>
        <v>4.9939564348205634</v>
      </c>
      <c r="L4" s="11">
        <f t="shared" si="3"/>
        <v>903.89461560442442</v>
      </c>
      <c r="M4" s="11">
        <f t="shared" si="4"/>
        <v>8.9494516396477657</v>
      </c>
      <c r="N4" s="11">
        <f t="shared" si="5"/>
        <v>7.2107199991375284e-002</v>
      </c>
      <c r="O4" s="11">
        <f t="shared" si="6"/>
        <v>8.0571640470044822e-003</v>
      </c>
      <c r="P4" s="12">
        <f t="shared" si="7"/>
        <v>-0.82435999999999998</v>
      </c>
      <c r="Q4" s="12">
        <f t="shared" si="8"/>
        <v>712.45780000000002</v>
      </c>
      <c r="R4" s="12">
        <f t="shared" si="9"/>
        <v>5.7403893711679101</v>
      </c>
      <c r="S4" s="12">
        <f t="shared" si="10"/>
        <v>6.1046149680323678</v>
      </c>
      <c r="T4" s="13">
        <f t="shared" si="11"/>
        <v>0.44018669237025299</v>
      </c>
      <c r="U4" s="14">
        <f>L10/L12</f>
        <v>1.6839741254135034</v>
      </c>
      <c r="V4" s="15">
        <f>LOG10(N10/O10*O3/N3)/LOG10(U4/U5)</f>
        <v>1.0000000000000002</v>
      </c>
      <c r="W4" s="16">
        <f>1.7*V4+0.69999999999999996</f>
        <v>2.4000000000000004</v>
      </c>
      <c r="X4" s="16">
        <f>W4*0.45000000000000001</f>
        <v>1.0800000000000003</v>
      </c>
      <c r="Y4" s="16">
        <f>U4/(U4-U5)*LN(N10*O3/N3/O10)+LN(O10/N10)</f>
        <v>-0.16578020367690177</v>
      </c>
      <c r="Z4" s="16">
        <f>1.2-1.5*0.45000000000000001</f>
        <v>0.52499999999999991</v>
      </c>
      <c r="AA4" s="17">
        <f>Z4*Y4</f>
        <v>-8.7034606930373418e-002</v>
      </c>
    </row>
    <row r="5" ht="12" customHeight="1">
      <c r="A5" s="12">
        <v>4</v>
      </c>
      <c r="B5" s="9">
        <v>50</v>
      </c>
      <c r="C5" s="10">
        <v>5.4100000000000001</v>
      </c>
      <c r="D5" s="10">
        <v>28.82</v>
      </c>
      <c r="E5" s="9">
        <v>71</v>
      </c>
      <c r="F5" s="11">
        <v>0.65400000000000003</v>
      </c>
      <c r="G5" s="11">
        <f t="shared" si="0"/>
        <v>5.4100000000000002e-002</v>
      </c>
      <c r="H5" s="11">
        <f t="shared" si="12"/>
        <v>7.6197183098591553e-002</v>
      </c>
      <c r="I5" s="11">
        <f t="shared" si="13"/>
        <v>6.4487673171772425e-002</v>
      </c>
      <c r="J5" s="11">
        <f t="shared" si="1"/>
        <v>7.1597104702455976</v>
      </c>
      <c r="K5" s="11">
        <f t="shared" si="2"/>
        <v>4.9939564348205634</v>
      </c>
      <c r="L5" s="11">
        <f t="shared" si="3"/>
        <v>637.28777664194433</v>
      </c>
      <c r="M5" s="11">
        <f t="shared" si="4"/>
        <v>6.3097799667519237</v>
      </c>
      <c r="N5" s="11">
        <f t="shared" si="5"/>
        <v>6.7647070807141815e-002</v>
      </c>
      <c r="O5" s="11">
        <f t="shared" si="6"/>
        <v>1.0720987286972607e-002</v>
      </c>
      <c r="P5" s="12">
        <f t="shared" si="7"/>
        <v>-0.861452</v>
      </c>
      <c r="Q5" s="12">
        <f t="shared" si="8"/>
        <v>744.45245999999997</v>
      </c>
      <c r="R5" s="12">
        <f t="shared" si="9"/>
        <v>7.9812653594154828</v>
      </c>
      <c r="S5" s="12">
        <f t="shared" si="10"/>
        <v>7.2237943788383019</v>
      </c>
      <c r="T5" s="13">
        <f t="shared" si="11"/>
        <v>0.48866852984150766</v>
      </c>
      <c r="U5" s="18">
        <f>L3/L12</f>
        <v>10.139139114544204</v>
      </c>
      <c r="V5" s="19"/>
      <c r="W5" s="19"/>
      <c r="X5" s="19"/>
      <c r="Y5" s="19"/>
      <c r="Z5" s="19"/>
      <c r="AA5" s="20"/>
    </row>
    <row r="6" ht="12" customHeight="1">
      <c r="A6" s="12">
        <v>5</v>
      </c>
      <c r="B6" s="9">
        <v>65</v>
      </c>
      <c r="C6" s="10">
        <v>9.1600000000000001</v>
      </c>
      <c r="D6" s="10">
        <v>37.979999999999997</v>
      </c>
      <c r="E6" s="9">
        <v>82</v>
      </c>
      <c r="F6" s="11">
        <v>0.68269999999999997</v>
      </c>
      <c r="G6" s="11">
        <f t="shared" si="0"/>
        <v>9.1600000000000001e-002</v>
      </c>
      <c r="H6" s="11">
        <f t="shared" si="12"/>
        <v>0.11170731707317073</v>
      </c>
      <c r="I6" s="11">
        <f t="shared" si="13"/>
        <v>9.4540830269135553e-002</v>
      </c>
      <c r="J6" s="11">
        <f t="shared" si="1"/>
        <v>6.6299711078875418</v>
      </c>
      <c r="K6" s="11">
        <f t="shared" si="2"/>
        <v>4.9939564348205634</v>
      </c>
      <c r="L6" s="11">
        <f t="shared" si="3"/>
        <v>452.74941908130239</v>
      </c>
      <c r="M6" s="11">
        <f t="shared" si="4"/>
        <v>4.482667515656459</v>
      </c>
      <c r="N6" s="11">
        <f t="shared" si="5"/>
        <v>9.8801029813092953e-002</v>
      </c>
      <c r="O6" s="11">
        <f t="shared" si="6"/>
        <v>2.204067766971652e-002</v>
      </c>
      <c r="P6" s="12">
        <f t="shared" si="7"/>
        <v>-0.89933599999999991</v>
      </c>
      <c r="Q6" s="12">
        <f t="shared" si="8"/>
        <v>777.13027999999997</v>
      </c>
      <c r="R6" s="12">
        <f t="shared" si="9"/>
        <v>17.128478008856547</v>
      </c>
      <c r="S6" s="12">
        <f t="shared" si="10"/>
        <v>8.3429737896442369</v>
      </c>
      <c r="T6" s="13">
        <f t="shared" si="11"/>
        <v>0.82429440212049332</v>
      </c>
      <c r="U6" s="14">
        <f>L18/L12</f>
        <v>6.1906672014561986e-002</v>
      </c>
      <c r="V6" s="15">
        <f>LOG10(N18/O18*O11/N11)/LOG10(U6/U7)</f>
        <v>1</v>
      </c>
      <c r="W6" s="16">
        <f>1.7*V6+0.69999999999999996</f>
        <v>2.3999999999999999</v>
      </c>
      <c r="X6" s="16">
        <f>W6*0.45000000000000001</f>
        <v>1.0800000000000001</v>
      </c>
      <c r="Y6" s="16">
        <f>U6/(U6-U7)*LN(N18*O11/N11/O18)+LN(O18/N18)</f>
        <v>2.9321089178751252</v>
      </c>
      <c r="Z6" s="16">
        <f>1.2-1.5*0.45000000000000001</f>
        <v>0.52499999999999991</v>
      </c>
      <c r="AA6" s="17">
        <f>Z6*Y6</f>
        <v>1.5393571818844405</v>
      </c>
    </row>
    <row r="7" ht="12" customHeight="1">
      <c r="A7" s="12">
        <v>6</v>
      </c>
      <c r="B7" s="9">
        <v>75</v>
      </c>
      <c r="C7" s="10">
        <v>2.1400000000000001</v>
      </c>
      <c r="D7" s="21">
        <v>40.119999999999997</v>
      </c>
      <c r="E7" s="9">
        <v>102</v>
      </c>
      <c r="F7" s="11">
        <v>0.72419999999999995</v>
      </c>
      <c r="G7" s="11">
        <f t="shared" si="0"/>
        <v>2.1400000000000002e-002</v>
      </c>
      <c r="H7" s="11">
        <f t="shared" si="12"/>
        <v>2.0980392156862746e-002</v>
      </c>
      <c r="I7" s="11">
        <f t="shared" si="13"/>
        <v>1.775625577492498e-002</v>
      </c>
      <c r="J7" s="11">
        <f t="shared" si="1"/>
        <v>6.3078860726225532</v>
      </c>
      <c r="K7" s="11">
        <f t="shared" si="2"/>
        <v>4.9939564348205634</v>
      </c>
      <c r="L7" s="11">
        <f t="shared" si="3"/>
        <v>357.7612504196224</v>
      </c>
      <c r="M7" s="11">
        <f t="shared" si="4"/>
        <v>3.5421905982140833</v>
      </c>
      <c r="N7" s="11">
        <f t="shared" si="5"/>
        <v>1.8492858307071477e-002</v>
      </c>
      <c r="O7" s="11">
        <f t="shared" si="6"/>
        <v>5.2207406107382488e-003</v>
      </c>
      <c r="P7" s="12">
        <f t="shared" si="7"/>
        <v>-0.95411599999999985</v>
      </c>
      <c r="Q7" s="12">
        <f t="shared" si="8"/>
        <v>824.38217999999995</v>
      </c>
      <c r="R7" s="12">
        <f t="shared" si="9"/>
        <v>4.3038855258949287</v>
      </c>
      <c r="S7" s="12">
        <f t="shared" si="10"/>
        <v>10.377845445655025</v>
      </c>
      <c r="T7" s="13">
        <f t="shared" si="11"/>
        <v>0.19191602535918542</v>
      </c>
      <c r="U7" s="18">
        <f>L11/L12</f>
        <v>1.3008730807041136</v>
      </c>
      <c r="V7" s="19"/>
      <c r="W7" s="19"/>
      <c r="X7" s="19"/>
      <c r="Y7" s="19"/>
      <c r="Z7" s="19"/>
      <c r="AA7" s="20"/>
    </row>
    <row r="8" ht="12" customHeight="1">
      <c r="A8" s="12">
        <v>7</v>
      </c>
      <c r="B8" s="9">
        <v>85</v>
      </c>
      <c r="C8" s="10">
        <v>6.3099999999999996</v>
      </c>
      <c r="D8" s="10">
        <v>46.43</v>
      </c>
      <c r="E8" s="9">
        <v>104</v>
      </c>
      <c r="F8" s="11">
        <v>0.7228</v>
      </c>
      <c r="G8" s="11">
        <f t="shared" si="0"/>
        <v>6.3099999999999989e-002</v>
      </c>
      <c r="H8" s="11">
        <f t="shared" si="12"/>
        <v>6.067307692307692e-002</v>
      </c>
      <c r="I8" s="11">
        <f t="shared" si="13"/>
        <v>5.134921523120603e-002</v>
      </c>
      <c r="J8" s="11">
        <f t="shared" si="1"/>
        <v>6.0080197562485358</v>
      </c>
      <c r="K8" s="11">
        <f t="shared" si="2"/>
        <v>4.9939564348205634</v>
      </c>
      <c r="L8" s="11">
        <f t="shared" si="3"/>
        <v>281.02928487022319</v>
      </c>
      <c r="M8" s="11">
        <f t="shared" si="4"/>
        <v>2.7824681670319129</v>
      </c>
      <c r="N8" s="11">
        <f t="shared" si="5"/>
        <v>5.3242170326084977e-002</v>
      </c>
      <c r="O8" s="11">
        <f t="shared" si="6"/>
        <v>1.9134871319257153e-002</v>
      </c>
      <c r="P8" s="12">
        <f t="shared" si="7"/>
        <v>-0.95226799999999989</v>
      </c>
      <c r="Q8" s="12">
        <f t="shared" si="8"/>
        <v>822.78813999999988</v>
      </c>
      <c r="R8" s="12">
        <f t="shared" si="9"/>
        <v>15.743945181910936</v>
      </c>
      <c r="S8" s="12">
        <f t="shared" si="10"/>
        <v>10.581332611256105</v>
      </c>
      <c r="T8" s="12">
        <f t="shared" si="11"/>
        <v>0.56337311316545502</v>
      </c>
    </row>
    <row r="9" ht="12" customHeight="1">
      <c r="A9" s="12">
        <v>8</v>
      </c>
      <c r="B9" s="9">
        <v>95</v>
      </c>
      <c r="C9" s="10">
        <v>9.2200000000000006</v>
      </c>
      <c r="D9" s="10">
        <v>55.649999999999999</v>
      </c>
      <c r="E9" s="9">
        <v>107</v>
      </c>
      <c r="F9" s="11">
        <v>0.73680000000000001</v>
      </c>
      <c r="G9" s="11">
        <f t="shared" si="0"/>
        <v>9.2200000000000004e-002</v>
      </c>
      <c r="H9" s="11">
        <f t="shared" si="12"/>
        <v>8.6168224299065427e-002</v>
      </c>
      <c r="I9" s="11">
        <f t="shared" si="13"/>
        <v>7.2926426679056897e-002</v>
      </c>
      <c r="J9" s="11">
        <f t="shared" si="1"/>
        <v>5.7283819713819391</v>
      </c>
      <c r="K9" s="11">
        <f t="shared" si="2"/>
        <v>4.9939564348205634</v>
      </c>
      <c r="L9" s="11">
        <f t="shared" si="3"/>
        <v>219.47864724834403</v>
      </c>
      <c r="M9" s="11">
        <f t="shared" si="4"/>
        <v>2.1730559133499407</v>
      </c>
      <c r="N9" s="11">
        <f t="shared" si="5"/>
        <v>7.5178777598259888e-002</v>
      </c>
      <c r="O9" s="11">
        <f t="shared" si="6"/>
        <v>3.4595878153160703e-002</v>
      </c>
      <c r="P9" s="12">
        <f t="shared" si="7"/>
        <v>-0.97074800000000006</v>
      </c>
      <c r="Q9" s="12">
        <f t="shared" si="8"/>
        <v>838.72853999999995</v>
      </c>
      <c r="R9" s="12">
        <f t="shared" si="9"/>
        <v>29.016550373418372</v>
      </c>
      <c r="S9" s="12">
        <f t="shared" si="10"/>
        <v>10.886563359657723</v>
      </c>
      <c r="T9" s="12">
        <f t="shared" si="11"/>
        <v>0.81843852562507291</v>
      </c>
    </row>
    <row r="10" ht="12" customHeight="1">
      <c r="A10" s="8">
        <v>9</v>
      </c>
      <c r="B10" s="9">
        <v>105</v>
      </c>
      <c r="C10" s="10">
        <v>2.6499999999999999</v>
      </c>
      <c r="D10" s="10">
        <v>58.299999999999997</v>
      </c>
      <c r="E10" s="9">
        <v>111</v>
      </c>
      <c r="F10" s="11">
        <v>0.74129999999999996</v>
      </c>
      <c r="G10" s="11">
        <f t="shared" si="0"/>
        <v>2.6499999999999999e-002</v>
      </c>
      <c r="H10" s="11">
        <f t="shared" si="12"/>
        <v>2.3873873873873873e-002</v>
      </c>
      <c r="I10" s="11">
        <f t="shared" si="13"/>
        <v>2.0205085189703719e-002</v>
      </c>
      <c r="J10" s="11">
        <f t="shared" si="1"/>
        <v>5.4671935851480811</v>
      </c>
      <c r="K10" s="11">
        <f t="shared" si="2"/>
        <v>4.9939564348205634</v>
      </c>
      <c r="L10" s="11">
        <f t="shared" si="3"/>
        <v>170.45157711053665</v>
      </c>
      <c r="M10" s="11">
        <f t="shared" si="4"/>
        <v>1.6876393773320459</v>
      </c>
      <c r="N10" s="11">
        <f t="shared" si="5"/>
        <v>2.0672571143616116e-002</v>
      </c>
      <c r="O10" s="11">
        <f t="shared" si="6"/>
        <v>1.2249400802852179e-002</v>
      </c>
      <c r="P10" s="12">
        <f t="shared" si="7"/>
        <v>-0.976688</v>
      </c>
      <c r="Q10" s="12">
        <f t="shared" si="8"/>
        <v>843.85223999999994</v>
      </c>
      <c r="R10" s="12">
        <f t="shared" si="9"/>
        <v>10.33668430614461</v>
      </c>
      <c r="S10" s="12">
        <f t="shared" si="10"/>
        <v>11.29353769085988</v>
      </c>
      <c r="T10" s="12">
        <f t="shared" si="11"/>
        <v>0.23346646137741095</v>
      </c>
    </row>
    <row r="11" ht="12" customHeight="1">
      <c r="A11" s="8">
        <v>10</v>
      </c>
      <c r="B11" s="9">
        <v>115</v>
      </c>
      <c r="C11" s="10">
        <v>7.0300000000000002</v>
      </c>
      <c r="D11" s="10">
        <v>65.329999999999998</v>
      </c>
      <c r="E11" s="9">
        <v>113</v>
      </c>
      <c r="F11" s="11">
        <v>0.74170000000000003</v>
      </c>
      <c r="G11" s="11">
        <f t="shared" si="0"/>
        <v>7.0300000000000001e-002</v>
      </c>
      <c r="H11" s="11">
        <f t="shared" si="12"/>
        <v>6.2212389380530975e-002</v>
      </c>
      <c r="I11" s="11">
        <f t="shared" si="13"/>
        <v>5.2651975709071645e-002</v>
      </c>
      <c r="J11" s="11">
        <f t="shared" si="1"/>
        <v>5.2228614334675312</v>
      </c>
      <c r="K11" s="11">
        <f t="shared" si="2"/>
        <v>4.9939564348205634</v>
      </c>
      <c r="L11" s="11">
        <f t="shared" si="3"/>
        <v>131.67415394355353</v>
      </c>
      <c r="M11" s="11">
        <f t="shared" si="4"/>
        <v>1.3037044944906291</v>
      </c>
      <c r="N11" s="11">
        <f t="shared" si="5"/>
        <v>5.3341629805924592e-002</v>
      </c>
      <c r="O11" s="11">
        <f t="shared" si="6"/>
        <v>4.0915429862628278e-002</v>
      </c>
      <c r="P11" s="12">
        <f t="shared" si="7"/>
        <v>-0.97721600000000008</v>
      </c>
      <c r="Q11" s="12">
        <f t="shared" si="8"/>
        <v>844.30768</v>
      </c>
      <c r="R11" s="12">
        <f t="shared" si="9"/>
        <v>34.545211663518401</v>
      </c>
      <c r="S11" s="12">
        <f t="shared" si="10"/>
        <v>11.497024856460959</v>
      </c>
      <c r="T11" s="12">
        <f t="shared" si="11"/>
        <v>0.61327004376285377</v>
      </c>
    </row>
    <row r="12" ht="12" customHeight="1">
      <c r="A12" s="22" t="s">
        <v>29</v>
      </c>
      <c r="B12" s="9">
        <v>125</v>
      </c>
      <c r="C12" s="10">
        <v>2.9500000000000002</v>
      </c>
      <c r="D12" s="10">
        <v>68.280000000000001</v>
      </c>
      <c r="E12" s="9">
        <v>117</v>
      </c>
      <c r="F12" s="11">
        <v>0.75419999999999998</v>
      </c>
      <c r="G12" s="11">
        <f t="shared" si="0"/>
        <v>2.9500000000000002e-002</v>
      </c>
      <c r="H12" s="11">
        <f t="shared" si="12"/>
        <v>2.5213675213675214e-002</v>
      </c>
      <c r="I12" s="11">
        <f t="shared" si="13"/>
        <v>2.1338994179546794e-002</v>
      </c>
      <c r="J12" s="11">
        <f t="shared" si="1"/>
        <v>4.9939564348205634</v>
      </c>
      <c r="K12" s="11">
        <f t="shared" si="2"/>
        <v>4.9939564348205634</v>
      </c>
      <c r="L12" s="11">
        <f t="shared" si="3"/>
        <v>101.21983143219727</v>
      </c>
      <c r="M12" s="11">
        <f t="shared" si="4"/>
        <v>1.0021765488336363</v>
      </c>
      <c r="N12" s="11">
        <f t="shared" si="5"/>
        <v>2.1341566608914696e-002</v>
      </c>
      <c r="O12" s="11">
        <f t="shared" si="6"/>
        <v>2.1295216530213826e-002</v>
      </c>
      <c r="P12" s="12">
        <f t="shared" si="7"/>
        <v>-0.99371599999999982</v>
      </c>
      <c r="Q12" s="12">
        <f t="shared" si="8"/>
        <v>858.54017999999996</v>
      </c>
      <c r="R12" s="12">
        <f>Q12*O12</f>
        <v>18.282799032988752</v>
      </c>
      <c r="S12" s="12">
        <f t="shared" si="10"/>
        <v>11.903999187663118</v>
      </c>
      <c r="T12" s="12">
        <f t="shared" si="11"/>
        <v>0.25404999157597885</v>
      </c>
    </row>
    <row r="13" ht="12" customHeight="1">
      <c r="A13" s="12">
        <v>12</v>
      </c>
      <c r="B13" s="9">
        <v>135</v>
      </c>
      <c r="C13" s="10">
        <v>3.7200000000000002</v>
      </c>
      <c r="D13" s="10">
        <v>72</v>
      </c>
      <c r="E13" s="9">
        <v>124</v>
      </c>
      <c r="F13" s="11">
        <v>0.75660000000000005</v>
      </c>
      <c r="G13" s="11">
        <f t="shared" si="0"/>
        <v>3.7200000000000004e-002</v>
      </c>
      <c r="H13" s="11">
        <f t="shared" si="12"/>
        <v>3.0000000000000002e-002</v>
      </c>
      <c r="I13" s="11">
        <f t="shared" si="13"/>
        <v>2.5389786294986186e-002</v>
      </c>
      <c r="J13" s="11">
        <f t="shared" si="1"/>
        <v>4.7791944862916917</v>
      </c>
      <c r="K13" s="11">
        <f t="shared" si="2"/>
        <v>4.9939564348205634</v>
      </c>
      <c r="L13" s="11">
        <f t="shared" si="3"/>
        <v>77.471760837552097</v>
      </c>
      <c r="M13" s="11">
        <f t="shared" si="4"/>
        <v>0.76704713700546634</v>
      </c>
      <c r="N13" s="11">
        <f t="shared" si="5"/>
        <v>2.4968925152642804e-002</v>
      </c>
      <c r="O13" s="11">
        <f t="shared" si="6"/>
        <v>3.2552008798469534e-002</v>
      </c>
      <c r="P13" s="12">
        <f t="shared" si="7"/>
        <v>-0.9968840000000001</v>
      </c>
      <c r="Q13" s="12">
        <f t="shared" si="8"/>
        <v>861.27282000000002</v>
      </c>
      <c r="R13" s="12">
        <f t="shared" si="9"/>
        <v>28.036160414522669</v>
      </c>
      <c r="S13" s="12">
        <f t="shared" si="10"/>
        <v>12.616204267266893</v>
      </c>
      <c r="T13" s="12">
        <f t="shared" si="11"/>
        <v>0.31501306005983981</v>
      </c>
    </row>
    <row r="14" ht="12" customHeight="1">
      <c r="A14" s="12">
        <v>13</v>
      </c>
      <c r="B14" s="9">
        <v>150</v>
      </c>
      <c r="C14" s="10">
        <v>5.4500000000000002</v>
      </c>
      <c r="D14" s="10">
        <v>77.450000000000003</v>
      </c>
      <c r="E14" s="9">
        <v>134</v>
      </c>
      <c r="F14" s="11">
        <v>0.76719999999999999</v>
      </c>
      <c r="G14" s="11">
        <f t="shared" si="0"/>
        <v>5.45e-002</v>
      </c>
      <c r="H14" s="11">
        <f t="shared" si="12"/>
        <v>4.067164179104478e-002</v>
      </c>
      <c r="I14" s="11">
        <f t="shared" si="13"/>
        <v>3.4421476444695204e-002</v>
      </c>
      <c r="J14" s="11">
        <f t="shared" si="1"/>
        <v>4.4810728942034457</v>
      </c>
      <c r="K14" s="11">
        <f t="shared" si="2"/>
        <v>4.9939564348205634</v>
      </c>
      <c r="L14" s="11">
        <f t="shared" si="3"/>
        <v>51.548398547693274</v>
      </c>
      <c r="M14" s="11">
        <f t="shared" si="4"/>
        <v>0.51038018364052751</v>
      </c>
      <c r="N14" s="11">
        <f t="shared" si="5"/>
        <v>3.2681436175352643e-002</v>
      </c>
      <c r="O14" s="11">
        <f t="shared" si="6"/>
        <v>6.403351310044382e-002</v>
      </c>
      <c r="P14" s="12">
        <f t="shared" si="7"/>
        <v>-1.0108759999999999</v>
      </c>
      <c r="Q14" s="12">
        <f t="shared" si="8"/>
        <v>873.34198000000004</v>
      </c>
      <c r="R14" s="12">
        <f t="shared" si="9"/>
        <v>55.923155117497544</v>
      </c>
      <c r="S14" s="12">
        <f t="shared" si="10"/>
        <v>13.633640095272288</v>
      </c>
      <c r="T14" s="12">
        <f t="shared" si="11"/>
        <v>0.44556693861136998</v>
      </c>
    </row>
    <row r="15" ht="12" customHeight="1">
      <c r="A15" s="12">
        <v>14</v>
      </c>
      <c r="B15" s="9">
        <v>170</v>
      </c>
      <c r="C15" s="10">
        <v>4.2800000000000002</v>
      </c>
      <c r="D15" s="10">
        <v>81.730000000000004</v>
      </c>
      <c r="E15" s="9">
        <v>142</v>
      </c>
      <c r="F15" s="11">
        <v>0.78239999999999998</v>
      </c>
      <c r="G15" s="11">
        <f t="shared" si="0"/>
        <v>4.2800000000000005e-002</v>
      </c>
      <c r="H15" s="11">
        <f t="shared" si="12"/>
        <v>3.0140845070422535e-002</v>
      </c>
      <c r="I15" s="11">
        <f t="shared" si="13"/>
        <v>2.5508987169610534e-002</v>
      </c>
      <c r="J15" s="11">
        <f t="shared" si="1"/>
        <v>4.1232089045235911</v>
      </c>
      <c r="K15" s="11">
        <f t="shared" si="2"/>
        <v>4.9939564348205634</v>
      </c>
      <c r="L15" s="11">
        <f t="shared" si="3"/>
        <v>29.797877421483836</v>
      </c>
      <c r="M15" s="11">
        <f t="shared" si="4"/>
        <v>0.29502848932162212</v>
      </c>
      <c r="N15" s="11">
        <f t="shared" si="5"/>
        <v>2.2522156718265036e-002</v>
      </c>
      <c r="O15" s="11">
        <f t="shared" si="6"/>
        <v>7.6338921607373142e-002</v>
      </c>
      <c r="P15" s="12">
        <f t="shared" si="7"/>
        <v>-1.03094</v>
      </c>
      <c r="Q15" s="12">
        <f t="shared" si="8"/>
        <v>890.64869999999996</v>
      </c>
      <c r="R15" s="12">
        <f t="shared" si="9"/>
        <v>67.991161289008801</v>
      </c>
      <c r="S15" s="12">
        <f t="shared" si="10"/>
        <v>14.447588757676604</v>
      </c>
      <c r="T15" s="12">
        <f t="shared" si="11"/>
        <v>0.32539085820143654</v>
      </c>
    </row>
    <row r="16" ht="12" customHeight="1">
      <c r="A16" s="12">
        <v>15</v>
      </c>
      <c r="B16" s="9">
        <v>190</v>
      </c>
      <c r="C16" s="10">
        <v>3.2599999999999998</v>
      </c>
      <c r="D16" s="10">
        <v>84.989999999999995</v>
      </c>
      <c r="E16" s="9">
        <v>158</v>
      </c>
      <c r="F16" s="11">
        <v>0.78839999999999999</v>
      </c>
      <c r="G16" s="11">
        <f t="shared" si="0"/>
        <v>3.2599999999999997e-002</v>
      </c>
      <c r="H16" s="11">
        <f t="shared" si="12"/>
        <v>2.0632911392405064e-002</v>
      </c>
      <c r="I16" s="11">
        <f t="shared" si="13"/>
        <v>1.7462173696551678e-002</v>
      </c>
      <c r="J16" s="11">
        <f t="shared" si="1"/>
        <v>3.8044496036343869</v>
      </c>
      <c r="K16" s="11">
        <f t="shared" si="2"/>
        <v>4.9939564348205634</v>
      </c>
      <c r="L16" s="11">
        <f t="shared" si="3"/>
        <v>17.399831182952287</v>
      </c>
      <c r="M16" s="11">
        <f t="shared" si="4"/>
        <v>0.17227555626685431</v>
      </c>
      <c r="N16" s="11">
        <f t="shared" si="5"/>
        <v>1.3786017684199611e-002</v>
      </c>
      <c r="O16" s="11">
        <f t="shared" si="6"/>
        <v>8.0023062951804447e-002</v>
      </c>
      <c r="P16" s="12">
        <f t="shared" si="7"/>
        <v>-1.0388599999999999</v>
      </c>
      <c r="Q16" s="12">
        <f t="shared" si="8"/>
        <v>897.48029999999994</v>
      </c>
      <c r="R16" s="12">
        <f>Q16*O16</f>
        <v>71.819122544904332</v>
      </c>
      <c r="S16" s="12">
        <f t="shared" si="10"/>
        <v>16.075486082485234</v>
      </c>
      <c r="T16" s="12">
        <f t="shared" si="11"/>
        <v>0.22161693541524616</v>
      </c>
    </row>
    <row r="17" ht="12" customHeight="1">
      <c r="A17" s="12">
        <v>16</v>
      </c>
      <c r="B17" s="9">
        <v>210</v>
      </c>
      <c r="C17" s="10">
        <v>4.0800000000000001</v>
      </c>
      <c r="D17" s="10">
        <v>89.069999999999993</v>
      </c>
      <c r="E17" s="9">
        <v>174</v>
      </c>
      <c r="F17" s="11">
        <v>0.79590000000000005</v>
      </c>
      <c r="G17" s="11">
        <f t="shared" si="0"/>
        <v>4.0800000000000003e-002</v>
      </c>
      <c r="H17" s="11">
        <f t="shared" si="12"/>
        <v>2.3448275862068966e-002</v>
      </c>
      <c r="I17" s="11">
        <f t="shared" si="13"/>
        <v>1.9844890437460468e-002</v>
      </c>
      <c r="J17" s="11">
        <f t="shared" si="1"/>
        <v>3.5191701930985451</v>
      </c>
      <c r="K17" s="11">
        <f t="shared" si="2"/>
        <v>4.9939564348205634</v>
      </c>
      <c r="L17" s="11">
        <f t="shared" si="3"/>
        <v>10.543614249680802</v>
      </c>
      <c r="M17" s="11">
        <f t="shared" si="4"/>
        <v>0.10439222029386933</v>
      </c>
      <c r="N17" s="11">
        <f t="shared" si="5"/>
        <v>1.3443692304883272e-002</v>
      </c>
      <c r="O17" s="11">
        <f t="shared" si="6"/>
        <v>0.12878059559456256</v>
      </c>
      <c r="P17" s="12">
        <f t="shared" si="7"/>
        <v>-1.0487600000000001</v>
      </c>
      <c r="Q17" s="12">
        <f t="shared" si="8"/>
        <v>906.01980000000015</v>
      </c>
      <c r="R17" s="12">
        <f t="shared" si="9"/>
        <v>116.67776946446648</v>
      </c>
      <c r="S17" s="12">
        <f t="shared" si="10"/>
        <v>17.703383407293867</v>
      </c>
      <c r="T17" s="12">
        <f t="shared" si="11"/>
        <v>0.23799883928303475</v>
      </c>
    </row>
    <row r="18" ht="12" customHeight="1">
      <c r="A18" s="8">
        <v>17</v>
      </c>
      <c r="B18" s="9">
        <v>235</v>
      </c>
      <c r="C18" s="10">
        <v>3.21</v>
      </c>
      <c r="D18" s="10">
        <v>93.280000000000001</v>
      </c>
      <c r="E18" s="9">
        <v>196</v>
      </c>
      <c r="F18" s="11">
        <v>0.80710000000000004</v>
      </c>
      <c r="G18" s="11">
        <f t="shared" si="0"/>
        <v>3.2099999999999997e-002</v>
      </c>
      <c r="H18" s="11">
        <f t="shared" si="12"/>
        <v>1.6377551020408162e-002</v>
      </c>
      <c r="I18" s="11">
        <f t="shared" si="13"/>
        <v>1.3860750681446538e-002</v>
      </c>
      <c r="J18" s="11">
        <f t="shared" si="1"/>
        <v>3.2026380184269616</v>
      </c>
      <c r="K18" s="11">
        <f t="shared" si="2"/>
        <v>4.9939564348205634</v>
      </c>
      <c r="L18" s="11">
        <f t="shared" si="3"/>
        <v>6.266182905842288</v>
      </c>
      <c r="M18" s="11">
        <f t="shared" si="4"/>
        <v>6.2041414909329587e-002</v>
      </c>
      <c r="N18" s="11">
        <f t="shared" si="5"/>
        <v>7.53685171369843e-003</v>
      </c>
      <c r="O18" s="11">
        <f t="shared" si="6"/>
        <v>0.12148097725870953</v>
      </c>
      <c r="P18" s="12">
        <f t="shared" si="7"/>
        <v>-1.063544</v>
      </c>
      <c r="Q18" s="12">
        <f t="shared" si="8"/>
        <v>918.77212000000009</v>
      </c>
      <c r="R18" s="12">
        <f t="shared" si="9"/>
        <v>111.61333501565635</v>
      </c>
      <c r="S18" s="12">
        <f t="shared" si="10"/>
        <v>19.941742228905735</v>
      </c>
      <c r="T18" s="12">
        <f t="shared" si="11"/>
        <v>0.15029795409206054</v>
      </c>
    </row>
    <row r="19" ht="12" customHeight="1">
      <c r="A19" s="8">
        <v>18</v>
      </c>
      <c r="B19" s="9">
        <v>270</v>
      </c>
      <c r="C19" s="10">
        <v>3.1099999999999999</v>
      </c>
      <c r="D19" s="10">
        <v>95.390000000000001</v>
      </c>
      <c r="E19" s="9">
        <v>232</v>
      </c>
      <c r="F19" s="11">
        <v>0.81530000000000002</v>
      </c>
      <c r="G19" s="11">
        <f t="shared" si="0"/>
        <v>3.1099999999999999e-002</v>
      </c>
      <c r="H19" s="11">
        <f t="shared" si="12"/>
        <v>1.3405172413793102e-002</v>
      </c>
      <c r="I19" s="11">
        <f t="shared" si="13"/>
        <v>1.13451487611217e-002</v>
      </c>
      <c r="J19" s="11">
        <f t="shared" si="1"/>
        <v>2.8214161385674821</v>
      </c>
      <c r="K19" s="11">
        <f t="shared" si="2"/>
        <v>4.9939564348205634</v>
      </c>
      <c r="L19" s="11">
        <f t="shared" si="3"/>
        <v>4.0049399716190308</v>
      </c>
      <c r="M19" s="11">
        <f t="shared" si="4"/>
        <v>3.965287100612902e-002</v>
      </c>
      <c r="N19" s="11">
        <f t="shared" si="5"/>
        <v>4.839778153675269e-003</v>
      </c>
      <c r="O19" s="11">
        <f t="shared" si="6"/>
        <v>0.12205366297252977</v>
      </c>
      <c r="P19" s="12">
        <f t="shared" si="7"/>
        <v>-1.074368</v>
      </c>
      <c r="Q19" s="12">
        <f t="shared" si="8"/>
        <v>928.10864000000004</v>
      </c>
      <c r="R19" s="12">
        <f t="shared" si="9"/>
        <v>113.27905914845297</v>
      </c>
      <c r="S19" s="12">
        <f t="shared" si="10"/>
        <v>23.604511209725157</v>
      </c>
      <c r="T19" s="12">
        <f t="shared" si="11"/>
        <v>0.11424059768101082</v>
      </c>
    </row>
    <row r="20" ht="12" customHeight="1">
      <c r="A20" s="12" t="s">
        <v>30</v>
      </c>
      <c r="B20" s="9">
        <v>290</v>
      </c>
      <c r="C20" s="10">
        <v>4.6100000000000003</v>
      </c>
      <c r="D20" s="10">
        <v>98.829999999999998</v>
      </c>
      <c r="E20" s="9">
        <v>268</v>
      </c>
      <c r="F20" s="11">
        <v>0.82465000000000099</v>
      </c>
      <c r="G20" s="11">
        <f t="shared" si="0"/>
        <v>4.6100000000000002e-002</v>
      </c>
      <c r="H20" s="11">
        <f t="shared" si="12"/>
        <v>1.7201492537313436e-002</v>
      </c>
      <c r="I20" s="11">
        <f t="shared" si="13"/>
        <v>1.4558073982572927e-002</v>
      </c>
      <c r="J20" s="11">
        <f>1250/(((B20+273)^2+108000)^0.5-307.60000000000002)-1</f>
        <v>2.630592033542972</v>
      </c>
      <c r="K20" s="11">
        <f t="shared" si="2"/>
        <v>4.9939564348205634</v>
      </c>
      <c r="L20" s="11">
        <f t="shared" si="3"/>
        <v>3.5414835337104225</v>
      </c>
      <c r="M20" s="11">
        <f t="shared" si="4"/>
        <v>3.5064193403073492e-002</v>
      </c>
      <c r="N20" s="11">
        <f t="shared" si="5"/>
        <v>5.7603011691442687e-003</v>
      </c>
      <c r="O20" s="11">
        <f>N20/M20</f>
        <v>0.16427873023993073</v>
      </c>
      <c r="P20" s="12">
        <f t="shared" si="7"/>
        <v>-1.0867100000000014</v>
      </c>
      <c r="Q20" s="12">
        <f t="shared" si="8"/>
        <v>938.75455000000113</v>
      </c>
      <c r="R20" s="12">
        <f>Q20*O20</f>
        <v>154.21740548095775</v>
      </c>
      <c r="S20" s="12">
        <f t="shared" si="10"/>
        <v>27.267280190544575</v>
      </c>
      <c r="T20" s="12">
        <f t="shared" si="11"/>
        <v>0.15706774596097828</v>
      </c>
    </row>
    <row r="21" ht="12" customHeight="1">
      <c r="A21" s="12" t="s">
        <v>31</v>
      </c>
      <c r="B21" s="9"/>
      <c r="C21" s="10">
        <v>0</v>
      </c>
      <c r="D21" s="23">
        <v>100</v>
      </c>
      <c r="E21" s="9">
        <v>304</v>
      </c>
      <c r="F21" s="11" t="s">
        <v>32</v>
      </c>
      <c r="G21" s="11">
        <f t="shared" si="0"/>
        <v>0</v>
      </c>
      <c r="H21" s="11">
        <f t="shared" si="12"/>
        <v>0</v>
      </c>
      <c r="I21" s="11">
        <f t="shared" si="13"/>
        <v>0</v>
      </c>
      <c r="J21" s="11"/>
      <c r="K21" s="11"/>
      <c r="L21" s="11"/>
      <c r="M21" s="11"/>
      <c r="N21" s="11"/>
      <c r="O21" s="12"/>
      <c r="P21" s="12"/>
      <c r="Q21" s="12"/>
      <c r="S21" s="12"/>
    </row>
    <row r="22" ht="12" customHeight="1">
      <c r="A22" s="12" t="s">
        <v>33</v>
      </c>
      <c r="B22" s="9"/>
      <c r="C22" s="23">
        <v>100</v>
      </c>
      <c r="D22" s="10"/>
      <c r="E22" s="12"/>
      <c r="F22" s="11"/>
      <c r="G22" s="24">
        <f t="shared" si="0"/>
        <v>1</v>
      </c>
      <c r="H22" s="24">
        <f>SUM(H2:H21)</f>
        <v>1.1815774914940584</v>
      </c>
      <c r="I22" s="24">
        <f>H$22/H$22</f>
        <v>1</v>
      </c>
      <c r="J22" s="11"/>
      <c r="K22" s="11"/>
      <c r="L22" s="11"/>
      <c r="M22" s="11"/>
      <c r="N22" s="25">
        <f>SUM(N2:N20)</f>
        <v>1.0000263396688984</v>
      </c>
      <c r="O22" s="25">
        <f>SUM(O2:O20)</f>
        <v>0.99955175104010263</v>
      </c>
      <c r="P22" s="12"/>
      <c r="Q22" s="12"/>
      <c r="R22" s="12">
        <f>SUM(R2:R20)</f>
        <v>887.73964176982759</v>
      </c>
      <c r="S22" s="12"/>
      <c r="T22" s="12">
        <f>SUM(T2:T20)</f>
        <v>8.0769173432400247</v>
      </c>
    </row>
    <row r="23" ht="12" customHeight="1">
      <c r="A23" s="1"/>
      <c r="B23" s="26"/>
    </row>
    <row r="24" ht="12" customHeight="1">
      <c r="A24" s="27" t="s">
        <v>34</v>
      </c>
      <c r="B24" s="27">
        <v>0.94450000000000001</v>
      </c>
    </row>
    <row r="25" ht="12" customHeight="1">
      <c r="A25" s="28" t="s">
        <v>35</v>
      </c>
      <c r="B25" s="6" t="s">
        <v>36</v>
      </c>
    </row>
    <row r="26" ht="12" customHeight="1">
      <c r="A26" s="28">
        <v>125</v>
      </c>
      <c r="B26" s="29">
        <v>101</v>
      </c>
      <c r="S26" s="6" t="s">
        <v>37</v>
      </c>
      <c r="T26" s="12">
        <f>0.033399999999999999*SQRT(R22/T22)</f>
        <v>0.35015993612827856</v>
      </c>
    </row>
    <row r="27" ht="12" customHeight="1">
      <c r="S27" s="6" t="s">
        <v>38</v>
      </c>
      <c r="T27" s="12">
        <f>3100*B24</f>
        <v>2927.9499999999998</v>
      </c>
    </row>
    <row r="28" ht="12" customHeight="1">
      <c r="A28" s="12" t="s">
        <v>39</v>
      </c>
      <c r="B28" s="12" t="s">
        <v>40</v>
      </c>
      <c r="S28" s="6" t="s">
        <v>41</v>
      </c>
      <c r="T28" s="12">
        <f>T27/(3600*T22)</f>
        <v>0.10069676460477239</v>
      </c>
    </row>
    <row r="29" ht="12" customHeight="1">
      <c r="A29" s="12">
        <v>50</v>
      </c>
      <c r="B29" s="12">
        <v>0.14972366842161211</v>
      </c>
      <c r="S29" s="6" t="s">
        <v>42</v>
      </c>
      <c r="T29" s="12">
        <f>SQRT((4*T$28/3.1400000000000001/T26))</f>
        <v>0.6052568354935467</v>
      </c>
    </row>
    <row r="30" ht="12" customHeight="1">
      <c r="A30" s="12">
        <v>75</v>
      </c>
      <c r="B30" s="12">
        <v>0.61960058878263069</v>
      </c>
    </row>
    <row r="31" ht="12" customHeight="1">
      <c r="A31" s="12">
        <v>100</v>
      </c>
      <c r="B31" s="12">
        <v>0.83901328439987688</v>
      </c>
    </row>
    <row r="32" ht="12" customHeight="1">
      <c r="A32" s="30">
        <v>125</v>
      </c>
      <c r="B32" s="30">
        <v>0.94449365377996286</v>
      </c>
      <c r="E32" s="26"/>
      <c r="F32" s="2"/>
    </row>
    <row r="33" ht="12" customHeight="1">
      <c r="A33" s="12">
        <v>150</v>
      </c>
      <c r="B33" s="12">
        <v>0.99199999999999999</v>
      </c>
      <c r="E33" s="26"/>
      <c r="F33" s="2"/>
    </row>
    <row r="34" ht="12" customHeight="1">
      <c r="A34" s="12">
        <v>175</v>
      </c>
      <c r="B34" s="12">
        <v>0.999</v>
      </c>
      <c r="E34" s="26"/>
      <c r="F34" s="2"/>
    </row>
    <row r="35" ht="12" customHeight="1">
      <c r="A35" s="12">
        <v>200</v>
      </c>
      <c r="B35" s="12">
        <v>0</v>
      </c>
      <c r="E35" s="26"/>
      <c r="F35" s="2"/>
    </row>
    <row r="36" ht="12" customHeight="1">
      <c r="A36" s="12">
        <v>225</v>
      </c>
      <c r="B36" s="12">
        <v>0</v>
      </c>
      <c r="E36" s="26"/>
      <c r="F36" s="2"/>
    </row>
    <row r="37" ht="12" customHeight="1">
      <c r="A37" s="12">
        <v>250</v>
      </c>
      <c r="B37" s="12">
        <v>0</v>
      </c>
      <c r="E37" s="26"/>
      <c r="F37" s="2"/>
    </row>
    <row r="38" ht="12" customHeight="1">
      <c r="E38" s="26"/>
      <c r="F38" s="2"/>
    </row>
    <row r="39" ht="12" customHeight="1">
      <c r="E39" s="26"/>
      <c r="F39" s="2"/>
    </row>
    <row r="40" ht="12" customHeight="1">
      <c r="B40" s="12">
        <v>0.99896418324945357</v>
      </c>
    </row>
    <row r="41" ht="12" customHeight="1">
      <c r="B41" s="12">
        <v>1.0426062349372216</v>
      </c>
    </row>
    <row r="42" ht="12" customHeight="1">
      <c r="B42" s="12">
        <v>1.1117126283934602</v>
      </c>
    </row>
    <row r="43" ht="12" customHeight="1">
      <c r="B43" s="12">
        <v>1.2633672965760057</v>
      </c>
    </row>
    <row r="44" ht="12" customHeight="1">
      <c r="B44" s="12">
        <v>1.6700557463636716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>КГБ</Company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Доля отгона</dc:title>
  <dc:creator>Шелехова Наталья Анатольевна</dc:creator>
  <cp:revision>1</cp:revision>
  <dcterms:created xsi:type="dcterms:W3CDTF">2000-03-24T09:36:00Z</dcterms:created>
  <dcterms:modified xsi:type="dcterms:W3CDTF">2023-11-23T14:00:36Z</dcterms:modified>
  <cp:version>657985</cp:version>
</cp:coreProperties>
</file>