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2" windowWidth="16128" windowHeight="5052"/>
  </bookViews>
  <sheets>
    <sheet name="Linac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S31" i="1" l="1"/>
  <c r="R31" i="1"/>
  <c r="Q31" i="1"/>
  <c r="R17" i="1"/>
  <c r="S16" i="1"/>
  <c r="S18" i="1" s="1"/>
  <c r="R16" i="1"/>
  <c r="R18" i="1" s="1"/>
  <c r="Q16" i="1"/>
  <c r="S14" i="1"/>
  <c r="S15" i="1" s="1"/>
  <c r="R14" i="1"/>
  <c r="R15" i="1" s="1"/>
  <c r="Q14" i="1"/>
  <c r="Q15" i="1" s="1"/>
  <c r="Q8" i="1"/>
  <c r="Q24" i="1" s="1"/>
  <c r="S7" i="1"/>
  <c r="S8" i="1" s="1"/>
  <c r="R7" i="1"/>
  <c r="R8" i="1" s="1"/>
  <c r="Q7" i="1"/>
  <c r="L32" i="1"/>
  <c r="J32" i="1"/>
  <c r="E32" i="1"/>
  <c r="C32" i="1"/>
  <c r="L31" i="1"/>
  <c r="K31" i="1"/>
  <c r="J31" i="1"/>
  <c r="E31" i="1"/>
  <c r="E33" i="1" s="1"/>
  <c r="D31" i="1"/>
  <c r="R11" i="1" l="1"/>
  <c r="R24" i="1"/>
  <c r="R27" i="1" s="1"/>
  <c r="R19" i="1" s="1"/>
  <c r="S11" i="1"/>
  <c r="S24" i="1"/>
  <c r="S27" i="1" s="1"/>
  <c r="Q27" i="1"/>
  <c r="Q19" i="1"/>
  <c r="Q18" i="1"/>
  <c r="Q17" i="1"/>
  <c r="Q11" i="1"/>
  <c r="S17" i="1"/>
  <c r="Q29" i="1" l="1"/>
  <c r="Q28" i="1"/>
  <c r="S29" i="1"/>
  <c r="S28" i="1"/>
  <c r="R29" i="1"/>
  <c r="R28" i="1"/>
  <c r="S19" i="1"/>
  <c r="R30" i="1" l="1"/>
  <c r="R33" i="1" s="1"/>
  <c r="R35" i="1" s="1"/>
  <c r="R32" i="1"/>
  <c r="R34" i="1" s="1"/>
  <c r="S32" i="1"/>
  <c r="S34" i="1" s="1"/>
  <c r="S30" i="1"/>
  <c r="S33" i="1" s="1"/>
  <c r="S35" i="1" s="1"/>
  <c r="Q30" i="1"/>
  <c r="Q33" i="1" s="1"/>
  <c r="Q35" i="1" s="1"/>
  <c r="Q32" i="1"/>
  <c r="Q34" i="1" s="1"/>
  <c r="C14" i="1" l="1"/>
  <c r="L16" i="1"/>
  <c r="K16" i="1"/>
  <c r="J16" i="1"/>
  <c r="L14" i="1"/>
  <c r="L15" i="1" s="1"/>
  <c r="K14" i="1"/>
  <c r="K17" i="1" s="1"/>
  <c r="J14" i="1"/>
  <c r="J15" i="1" s="1"/>
  <c r="E16" i="1"/>
  <c r="D16" i="1"/>
  <c r="E14" i="1"/>
  <c r="E15" i="1" s="1"/>
  <c r="D14" i="1"/>
  <c r="D15" i="1" s="1"/>
  <c r="L7" i="1"/>
  <c r="L8" i="1" s="1"/>
  <c r="L24" i="1" s="1"/>
  <c r="K7" i="1"/>
  <c r="K8" i="1" s="1"/>
  <c r="K24" i="1" s="1"/>
  <c r="J7" i="1"/>
  <c r="J8" i="1" s="1"/>
  <c r="J24" i="1" s="1"/>
  <c r="E7" i="1"/>
  <c r="D7" i="1"/>
  <c r="C7" i="1"/>
  <c r="C8" i="1" s="1"/>
  <c r="C11" i="1" s="1"/>
  <c r="J17" i="1" l="1"/>
  <c r="C24" i="1"/>
  <c r="D17" i="1"/>
  <c r="E18" i="1"/>
  <c r="E17" i="1"/>
  <c r="D18" i="1"/>
  <c r="L18" i="1"/>
  <c r="L17" i="1"/>
  <c r="K15" i="1"/>
  <c r="J18" i="1"/>
  <c r="J11" i="1"/>
  <c r="J27" i="1" s="1"/>
  <c r="J19" i="1" s="1"/>
  <c r="K11" i="1"/>
  <c r="K27" i="1" s="1"/>
  <c r="L11" i="1"/>
  <c r="L27" i="1" s="1"/>
  <c r="L19" i="1" s="1"/>
  <c r="K19" i="1" l="1"/>
  <c r="K18" i="1"/>
  <c r="K29" i="1"/>
  <c r="K32" i="1" s="1"/>
  <c r="K28" i="1"/>
  <c r="J29" i="1"/>
  <c r="J28" i="1"/>
  <c r="L28" i="1"/>
  <c r="L29" i="1"/>
  <c r="H6" i="1"/>
  <c r="G6" i="1"/>
  <c r="F6" i="1"/>
  <c r="H7" i="1"/>
  <c r="G7" i="1"/>
  <c r="F7" i="1"/>
  <c r="G25" i="1"/>
  <c r="F25" i="1"/>
  <c r="G17" i="1"/>
  <c r="F17" i="1"/>
  <c r="G16" i="1"/>
  <c r="F16" i="1"/>
  <c r="G15" i="1"/>
  <c r="F15" i="1"/>
  <c r="H25" i="1"/>
  <c r="E8" i="1"/>
  <c r="H17" i="1"/>
  <c r="H16" i="1"/>
  <c r="H15" i="1"/>
  <c r="D8" i="1"/>
  <c r="C27" i="1"/>
  <c r="P27" i="1"/>
  <c r="P28" i="1" s="1"/>
  <c r="P29" i="1"/>
  <c r="P32" i="1" s="1"/>
  <c r="P34" i="1" s="1"/>
  <c r="P30" i="1"/>
  <c r="P33" i="1" s="1"/>
  <c r="P35" i="1" s="1"/>
  <c r="O27" i="1"/>
  <c r="O28" i="1" s="1"/>
  <c r="P12" i="1"/>
  <c r="O12" i="1"/>
  <c r="P7" i="1"/>
  <c r="P8" i="1" s="1"/>
  <c r="O7" i="1"/>
  <c r="O8" i="1" s="1"/>
  <c r="O23" i="1" s="1"/>
  <c r="C17" i="1"/>
  <c r="C16" i="1"/>
  <c r="C15" i="1"/>
  <c r="F8" i="1" l="1"/>
  <c r="F24" i="1" s="1"/>
  <c r="G18" i="1"/>
  <c r="G8" i="1"/>
  <c r="G24" i="1" s="1"/>
  <c r="O29" i="1"/>
  <c r="O32" i="1" s="1"/>
  <c r="O34" i="1" s="1"/>
  <c r="F18" i="1"/>
  <c r="H8" i="1"/>
  <c r="H24" i="1" s="1"/>
  <c r="C18" i="1"/>
  <c r="O9" i="1"/>
  <c r="C29" i="1"/>
  <c r="C30" i="1" s="1"/>
  <c r="C33" i="1" s="1"/>
  <c r="C28" i="1"/>
  <c r="K30" i="1"/>
  <c r="K34" i="1"/>
  <c r="J34" i="1"/>
  <c r="J30" i="1"/>
  <c r="L34" i="1"/>
  <c r="L30" i="1"/>
  <c r="P23" i="1"/>
  <c r="P9" i="1"/>
  <c r="H18" i="1"/>
  <c r="E24" i="1"/>
  <c r="E11" i="1"/>
  <c r="D24" i="1"/>
  <c r="D11" i="1"/>
  <c r="C19" i="1"/>
  <c r="L35" i="1" l="1"/>
  <c r="L33" i="1"/>
  <c r="J35" i="1"/>
  <c r="J33" i="1"/>
  <c r="K33" i="1"/>
  <c r="K35" i="1" s="1"/>
  <c r="G11" i="1"/>
  <c r="G12" i="1" s="1"/>
  <c r="D27" i="1"/>
  <c r="D29" i="1" s="1"/>
  <c r="D32" i="1" s="1"/>
  <c r="F11" i="1"/>
  <c r="F12" i="1" s="1"/>
  <c r="O30" i="1"/>
  <c r="O33" i="1" s="1"/>
  <c r="O35" i="1" s="1"/>
  <c r="H11" i="1"/>
  <c r="H12" i="1" s="1"/>
  <c r="C34" i="1"/>
  <c r="E27" i="1"/>
  <c r="E19" i="1" s="1"/>
  <c r="G27" i="1" l="1"/>
  <c r="G19" i="1" s="1"/>
  <c r="D19" i="1"/>
  <c r="F27" i="1"/>
  <c r="F29" i="1" s="1"/>
  <c r="F32" i="1" s="1"/>
  <c r="F34" i="1" s="1"/>
  <c r="H27" i="1"/>
  <c r="H28" i="1" s="1"/>
  <c r="D28" i="1"/>
  <c r="D34" i="1"/>
  <c r="C35" i="1"/>
  <c r="E28" i="1"/>
  <c r="E29" i="1"/>
  <c r="G29" i="1"/>
  <c r="G32" i="1" s="1"/>
  <c r="G34" i="1" s="1"/>
  <c r="H29" i="1" l="1"/>
  <c r="H32" i="1" s="1"/>
  <c r="H34" i="1" s="1"/>
  <c r="G28" i="1"/>
  <c r="F28" i="1"/>
  <c r="F19" i="1"/>
  <c r="F30" i="1"/>
  <c r="F33" i="1" s="1"/>
  <c r="F35" i="1" s="1"/>
  <c r="H19" i="1"/>
  <c r="D30" i="1"/>
  <c r="E34" i="1"/>
  <c r="E30" i="1"/>
  <c r="G30" i="1"/>
  <c r="G33" i="1" s="1"/>
  <c r="G35" i="1" s="1"/>
  <c r="D33" i="1" l="1"/>
  <c r="D35" i="1" s="1"/>
  <c r="H30" i="1"/>
  <c r="H33" i="1" s="1"/>
  <c r="H35" i="1" s="1"/>
  <c r="E35" i="1"/>
</calcChain>
</file>

<file path=xl/sharedStrings.xml><?xml version="1.0" encoding="utf-8"?>
<sst xmlns="http://schemas.openxmlformats.org/spreadsheetml/2006/main" count="65" uniqueCount="42">
  <si>
    <t>Linac 1</t>
  </si>
  <si>
    <t>High Energy TDC</t>
  </si>
  <si>
    <t>Frequency (MHz)</t>
  </si>
  <si>
    <r>
      <t>R</t>
    </r>
    <r>
      <rPr>
        <vertAlign val="subscript"/>
        <sz val="11"/>
        <color indexed="8"/>
        <rFont val="Calibri"/>
        <family val="2"/>
      </rPr>
      <t xml:space="preserve">sh </t>
    </r>
    <r>
      <rPr>
        <sz val="11"/>
        <color theme="1"/>
        <rFont val="Calibri"/>
        <family val="2"/>
        <scheme val="minor"/>
      </rPr>
      <t>(M</t>
    </r>
    <r>
      <rPr>
        <sz val="11"/>
        <color indexed="8"/>
        <rFont val="Calibri"/>
        <family val="2"/>
      </rPr>
      <t>Ω/m)</t>
    </r>
  </si>
  <si>
    <r>
      <t>L</t>
    </r>
    <r>
      <rPr>
        <vertAlign val="subscript"/>
        <sz val="11"/>
        <color indexed="8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(m)</t>
    </r>
  </si>
  <si>
    <r>
      <t>R</t>
    </r>
    <r>
      <rPr>
        <vertAlign val="subscript"/>
        <sz val="11"/>
        <color indexed="8"/>
        <rFont val="Calibri"/>
        <family val="2"/>
      </rPr>
      <t xml:space="preserve">sh </t>
    </r>
    <r>
      <rPr>
        <sz val="11"/>
        <color theme="1"/>
        <rFont val="Calibri"/>
        <family val="2"/>
        <scheme val="minor"/>
      </rPr>
      <t>(M</t>
    </r>
    <r>
      <rPr>
        <sz val="11"/>
        <color indexed="8"/>
        <rFont val="Calibri"/>
        <family val="2"/>
      </rPr>
      <t>Ω)</t>
    </r>
  </si>
  <si>
    <r>
      <t>R</t>
    </r>
    <r>
      <rPr>
        <vertAlign val="subscript"/>
        <sz val="11"/>
        <color indexed="8"/>
        <rFont val="Calibri"/>
        <family val="2"/>
      </rPr>
      <t>sh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indexed="8"/>
        <rFont val="Calibri"/>
        <family val="2"/>
      </rPr>
      <t xml:space="preserve">0 </t>
    </r>
    <r>
      <rPr>
        <sz val="11"/>
        <color theme="1"/>
        <rFont val="Calibri"/>
        <family val="2"/>
        <scheme val="minor"/>
      </rPr>
      <t>(</t>
    </r>
    <r>
      <rPr>
        <sz val="11"/>
        <color indexed="8"/>
        <rFont val="Calibri"/>
        <family val="2"/>
      </rPr>
      <t>Ω)</t>
    </r>
  </si>
  <si>
    <r>
      <t>Q</t>
    </r>
    <r>
      <rPr>
        <vertAlign val="subscript"/>
        <sz val="10"/>
        <rFont val="Arial"/>
        <family val="2"/>
      </rPr>
      <t>ext</t>
    </r>
  </si>
  <si>
    <r>
      <t>Q</t>
    </r>
    <r>
      <rPr>
        <vertAlign val="subscript"/>
        <sz val="10"/>
        <rFont val="Arial"/>
        <family val="2"/>
      </rPr>
      <t>O</t>
    </r>
  </si>
  <si>
    <r>
      <t>Q</t>
    </r>
    <r>
      <rPr>
        <vertAlign val="subscript"/>
        <sz val="10"/>
        <rFont val="Arial"/>
        <family val="2"/>
      </rPr>
      <t>L</t>
    </r>
  </si>
  <si>
    <r>
      <t>ω</t>
    </r>
    <r>
      <rPr>
        <vertAlign val="subscript"/>
        <sz val="10"/>
        <rFont val="Arial"/>
        <family val="2"/>
      </rPr>
      <t xml:space="preserve">o </t>
    </r>
    <r>
      <rPr>
        <sz val="10"/>
        <rFont val="Arial"/>
        <family val="2"/>
      </rPr>
      <t>(rad/s)</t>
    </r>
  </si>
  <si>
    <t>β</t>
  </si>
  <si>
    <t>Bandwidth, FWHM (MHz)</t>
  </si>
  <si>
    <t>U (J)</t>
  </si>
  <si>
    <r>
      <t>Cavity Fill Time (</t>
    </r>
    <r>
      <rPr>
        <sz val="11"/>
        <color indexed="8"/>
        <rFont val="Calibri"/>
        <family val="2"/>
      </rPr>
      <t>η</t>
    </r>
    <r>
      <rPr>
        <sz val="11"/>
        <color theme="1"/>
        <rFont val="Calibri"/>
        <family val="2"/>
        <scheme val="minor"/>
      </rPr>
      <t>s)</t>
    </r>
  </si>
  <si>
    <r>
      <t>Pulse width (</t>
    </r>
    <r>
      <rPr>
        <sz val="11"/>
        <color theme="1"/>
        <rFont val="Calibri"/>
        <family val="2"/>
      </rPr>
      <t>µs)</t>
    </r>
  </si>
  <si>
    <t>Rep rate (Hz)</t>
  </si>
  <si>
    <r>
      <t>V</t>
    </r>
    <r>
      <rPr>
        <vertAlign val="subscript"/>
        <sz val="11"/>
        <color indexed="8"/>
        <rFont val="Calibri"/>
        <family val="2"/>
      </rPr>
      <t>acc</t>
    </r>
    <r>
      <rPr>
        <sz val="11"/>
        <color theme="1"/>
        <rFont val="Calibri"/>
        <family val="2"/>
        <scheme val="minor"/>
      </rPr>
      <t xml:space="preserve"> (MeV)</t>
    </r>
  </si>
  <si>
    <r>
      <t>E</t>
    </r>
    <r>
      <rPr>
        <vertAlign val="subscript"/>
        <sz val="11"/>
        <color indexed="8"/>
        <rFont val="Calibri"/>
        <family val="2"/>
      </rPr>
      <t>acc</t>
    </r>
    <r>
      <rPr>
        <sz val="11"/>
        <color theme="1"/>
        <rFont val="Calibri"/>
        <family val="2"/>
        <scheme val="minor"/>
      </rPr>
      <t xml:space="preserve"> (MV/m)</t>
    </r>
  </si>
  <si>
    <r>
      <t>P</t>
    </r>
    <r>
      <rPr>
        <vertAlign val="subscript"/>
        <sz val="11"/>
        <color indexed="8"/>
        <rFont val="Calibri"/>
        <family val="2"/>
      </rPr>
      <t>diss</t>
    </r>
    <r>
      <rPr>
        <sz val="11"/>
        <color theme="1"/>
        <rFont val="Calibri"/>
        <family val="2"/>
        <scheme val="minor"/>
      </rPr>
      <t xml:space="preserve"> (MW)</t>
    </r>
  </si>
  <si>
    <r>
      <t>P</t>
    </r>
    <r>
      <rPr>
        <vertAlign val="subscript"/>
        <sz val="11"/>
        <color theme="1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 xml:space="preserve"> (kW)</t>
    </r>
  </si>
  <si>
    <t>Klystron Peak Power (MW)</t>
  </si>
  <si>
    <t>KlystronAve Power (kW)</t>
  </si>
  <si>
    <r>
      <t>2</t>
    </r>
    <r>
      <rPr>
        <sz val="11"/>
        <color theme="1"/>
        <rFont val="Calibri"/>
        <family val="2"/>
      </rPr>
      <t>π/3</t>
    </r>
  </si>
  <si>
    <t>Flange to flange length (m)</t>
  </si>
  <si>
    <t>Number of cells</t>
  </si>
  <si>
    <r>
      <t>L</t>
    </r>
    <r>
      <rPr>
        <vertAlign val="subscript"/>
        <sz val="11"/>
        <color indexed="8"/>
        <rFont val="Calibri"/>
        <family val="2"/>
      </rPr>
      <t>cell</t>
    </r>
    <r>
      <rPr>
        <sz val="11"/>
        <color theme="1"/>
        <rFont val="Calibri"/>
        <family val="2"/>
        <scheme val="minor"/>
      </rPr>
      <t xml:space="preserve"> (m)</t>
    </r>
  </si>
  <si>
    <r>
      <t>L</t>
    </r>
    <r>
      <rPr>
        <vertAlign val="subscript"/>
        <sz val="11"/>
        <color indexed="8"/>
        <rFont val="Calibri"/>
        <family val="2"/>
      </rPr>
      <t>acc</t>
    </r>
    <r>
      <rPr>
        <sz val="11"/>
        <color theme="1"/>
        <rFont val="Calibri"/>
        <family val="2"/>
        <scheme val="minor"/>
      </rPr>
      <t xml:space="preserve"> (m)</t>
    </r>
  </si>
  <si>
    <t>Phase advance</t>
  </si>
  <si>
    <t>Attenuation factor</t>
  </si>
  <si>
    <r>
      <t>P</t>
    </r>
    <r>
      <rPr>
        <vertAlign val="subscript"/>
        <sz val="11"/>
        <color indexed="8"/>
        <rFont val="Calibri"/>
        <family val="2"/>
      </rPr>
      <t>RF</t>
    </r>
    <r>
      <rPr>
        <sz val="11"/>
        <color theme="1"/>
        <rFont val="Calibri"/>
        <family val="2"/>
        <scheme val="minor"/>
      </rPr>
      <t xml:space="preserve"> (MW)</t>
    </r>
  </si>
  <si>
    <t>Peak Electrical Power (MW)</t>
  </si>
  <si>
    <t>Average Electrical Power (kW)</t>
  </si>
  <si>
    <r>
      <t>R</t>
    </r>
    <r>
      <rPr>
        <vertAlign val="subscript"/>
        <sz val="11"/>
        <color indexed="8"/>
        <rFont val="Calibri"/>
        <family val="2"/>
      </rPr>
      <t xml:space="preserve">sh </t>
    </r>
    <r>
      <rPr>
        <sz val="11"/>
        <color theme="1"/>
        <rFont val="Calibri"/>
        <family val="2"/>
        <scheme val="minor"/>
      </rPr>
      <t>(1-e</t>
    </r>
    <r>
      <rPr>
        <vertAlign val="superscript"/>
        <sz val="11"/>
        <color theme="1"/>
        <rFont val="Calibri"/>
        <family val="2"/>
        <scheme val="minor"/>
      </rPr>
      <t>-2</t>
    </r>
    <r>
      <rPr>
        <vertAlign val="superscript"/>
        <sz val="11"/>
        <color theme="1"/>
        <rFont val="Calibri"/>
        <family val="2"/>
      </rPr>
      <t>α</t>
    </r>
    <r>
      <rPr>
        <sz val="11"/>
        <color indexed="8"/>
        <rFont val="Calibri"/>
        <family val="2"/>
      </rPr>
      <t>)</t>
    </r>
  </si>
  <si>
    <t>TW</t>
  </si>
  <si>
    <r>
      <t>P</t>
    </r>
    <r>
      <rPr>
        <vertAlign val="subscript"/>
        <sz val="11"/>
        <color indexed="8"/>
        <rFont val="Calibri"/>
        <family val="2"/>
      </rPr>
      <t>diss ave</t>
    </r>
    <r>
      <rPr>
        <sz val="11"/>
        <color theme="1"/>
        <rFont val="Calibri"/>
        <family val="2"/>
        <scheme val="minor"/>
      </rPr>
      <t xml:space="preserve"> (kW)</t>
    </r>
  </si>
  <si>
    <t>Klystron Peak Power Limit (MW)</t>
  </si>
  <si>
    <t>KlystronAve Power Limit (kW)</t>
  </si>
  <si>
    <t>400 Hz</t>
  </si>
  <si>
    <t>100 Hz</t>
  </si>
  <si>
    <t>Waveguide Loss Level (%)</t>
  </si>
  <si>
    <t>50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</si>
</sst>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E+00"/>
    <numFmt numFmtId="166" formatCode="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3" tint="0.3999755851924192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Border="1" applyAlignment="1">
      <alignment vertical="center"/>
    </xf>
    <xf numFmtId="1" fontId="0" fillId="0" borderId="0" xfId="0" applyNumberForma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0" fillId="0" borderId="0" xfId="0" applyBorder="1"/>
    <xf numFmtId="0" fontId="6" fillId="0" borderId="0" xfId="0" applyFont="1" applyBorder="1"/>
    <xf numFmtId="11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quotePrefix="1" applyFont="1" applyFill="1" applyAlignment="1">
      <alignment horizontal="center"/>
    </xf>
    <xf numFmtId="167" fontId="0" fillId="0" borderId="0" xfId="0" quotePrefix="1" applyNumberFormat="1" applyFont="1" applyAlignment="1">
      <alignment horizontal="center"/>
    </xf>
    <xf numFmtId="11" fontId="0" fillId="4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0" fontId="0" fillId="0" borderId="0" xfId="0" quotePrefix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4" borderId="4" xfId="0" quotePrefix="1" applyFont="1" applyFill="1" applyBorder="1" applyAlignment="1">
      <alignment horizontal="center"/>
    </xf>
    <xf numFmtId="0" fontId="0" fillId="4" borderId="0" xfId="0" quotePrefix="1" applyFont="1" applyFill="1" applyBorder="1" applyAlignment="1">
      <alignment horizontal="center"/>
    </xf>
    <xf numFmtId="0" fontId="0" fillId="4" borderId="5" xfId="0" quotePrefix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0" borderId="4" xfId="0" quotePrefix="1" applyNumberFormat="1" applyFont="1" applyBorder="1" applyAlignment="1">
      <alignment horizontal="center"/>
    </xf>
    <xf numFmtId="167" fontId="0" fillId="0" borderId="0" xfId="0" quotePrefix="1" applyNumberFormat="1" applyFont="1" applyBorder="1" applyAlignment="1">
      <alignment horizontal="center"/>
    </xf>
    <xf numFmtId="167" fontId="0" fillId="0" borderId="5" xfId="0" quotePrefix="1" applyNumberFormat="1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1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1" fontId="0" fillId="4" borderId="4" xfId="0" applyNumberFormat="1" applyFont="1" applyFill="1" applyBorder="1" applyAlignment="1">
      <alignment horizontal="center"/>
    </xf>
    <xf numFmtId="11" fontId="0" fillId="4" borderId="0" xfId="0" applyNumberFormat="1" applyFont="1" applyFill="1" applyBorder="1" applyAlignment="1">
      <alignment horizontal="center"/>
    </xf>
    <xf numFmtId="11" fontId="0" fillId="4" borderId="5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11" fontId="0" fillId="0" borderId="5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5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2" fontId="0" fillId="6" borderId="4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2" borderId="0" xfId="0" applyFill="1"/>
    <xf numFmtId="0" fontId="0" fillId="2" borderId="0" xfId="0" applyFill="1" applyBorder="1"/>
    <xf numFmtId="2" fontId="0" fillId="4" borderId="4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" fontId="0" fillId="7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defaultRowHeight="14.4" x14ac:dyDescent="0.3"/>
  <cols>
    <col min="1" max="1" width="28" customWidth="1"/>
    <col min="2" max="2" width="2.88671875" style="27" customWidth="1"/>
    <col min="3" max="5" width="11.33203125" style="29" customWidth="1"/>
    <col min="6" max="8" width="11.33203125" style="48" hidden="1" customWidth="1"/>
    <col min="9" max="9" width="2.44140625" style="27" customWidth="1"/>
    <col min="10" max="12" width="11.33203125" style="29" customWidth="1"/>
    <col min="13" max="13" width="2.44140625" style="27" customWidth="1"/>
    <col min="14" max="14" width="2.5546875" hidden="1" customWidth="1"/>
    <col min="15" max="15" width="9.5546875" style="26" hidden="1" customWidth="1"/>
    <col min="16" max="16" width="9.5546875" style="40" hidden="1" customWidth="1"/>
    <col min="17" max="19" width="11.33203125" style="29" customWidth="1"/>
    <col min="259" max="259" width="25" customWidth="1"/>
    <col min="260" max="264" width="11.33203125" customWidth="1"/>
    <col min="265" max="268" width="9.5546875" bestFit="1" customWidth="1"/>
    <col min="269" max="272" width="10.5546875" bestFit="1" customWidth="1"/>
    <col min="273" max="273" width="9.5546875" bestFit="1" customWidth="1"/>
    <col min="274" max="274" width="11.5546875" bestFit="1" customWidth="1"/>
    <col min="515" max="515" width="25" customWidth="1"/>
    <col min="516" max="520" width="11.33203125" customWidth="1"/>
    <col min="521" max="524" width="9.5546875" bestFit="1" customWidth="1"/>
    <col min="525" max="528" width="10.5546875" bestFit="1" customWidth="1"/>
    <col min="529" max="529" width="9.5546875" bestFit="1" customWidth="1"/>
    <col min="530" max="530" width="11.5546875" bestFit="1" customWidth="1"/>
    <col min="771" max="771" width="25" customWidth="1"/>
    <col min="772" max="776" width="11.33203125" customWidth="1"/>
    <col min="777" max="780" width="9.5546875" bestFit="1" customWidth="1"/>
    <col min="781" max="784" width="10.5546875" bestFit="1" customWidth="1"/>
    <col min="785" max="785" width="9.5546875" bestFit="1" customWidth="1"/>
    <col min="786" max="786" width="11.5546875" bestFit="1" customWidth="1"/>
    <col min="1027" max="1027" width="25" customWidth="1"/>
    <col min="1028" max="1032" width="11.33203125" customWidth="1"/>
    <col min="1033" max="1036" width="9.5546875" bestFit="1" customWidth="1"/>
    <col min="1037" max="1040" width="10.5546875" bestFit="1" customWidth="1"/>
    <col min="1041" max="1041" width="9.5546875" bestFit="1" customWidth="1"/>
    <col min="1042" max="1042" width="11.5546875" bestFit="1" customWidth="1"/>
    <col min="1283" max="1283" width="25" customWidth="1"/>
    <col min="1284" max="1288" width="11.33203125" customWidth="1"/>
    <col min="1289" max="1292" width="9.5546875" bestFit="1" customWidth="1"/>
    <col min="1293" max="1296" width="10.5546875" bestFit="1" customWidth="1"/>
    <col min="1297" max="1297" width="9.5546875" bestFit="1" customWidth="1"/>
    <col min="1298" max="1298" width="11.5546875" bestFit="1" customWidth="1"/>
    <col min="1539" max="1539" width="25" customWidth="1"/>
    <col min="1540" max="1544" width="11.33203125" customWidth="1"/>
    <col min="1545" max="1548" width="9.5546875" bestFit="1" customWidth="1"/>
    <col min="1549" max="1552" width="10.5546875" bestFit="1" customWidth="1"/>
    <col min="1553" max="1553" width="9.5546875" bestFit="1" customWidth="1"/>
    <col min="1554" max="1554" width="11.5546875" bestFit="1" customWidth="1"/>
    <col min="1795" max="1795" width="25" customWidth="1"/>
    <col min="1796" max="1800" width="11.33203125" customWidth="1"/>
    <col min="1801" max="1804" width="9.5546875" bestFit="1" customWidth="1"/>
    <col min="1805" max="1808" width="10.5546875" bestFit="1" customWidth="1"/>
    <col min="1809" max="1809" width="9.5546875" bestFit="1" customWidth="1"/>
    <col min="1810" max="1810" width="11.5546875" bestFit="1" customWidth="1"/>
    <col min="2051" max="2051" width="25" customWidth="1"/>
    <col min="2052" max="2056" width="11.33203125" customWidth="1"/>
    <col min="2057" max="2060" width="9.5546875" bestFit="1" customWidth="1"/>
    <col min="2061" max="2064" width="10.5546875" bestFit="1" customWidth="1"/>
    <col min="2065" max="2065" width="9.5546875" bestFit="1" customWidth="1"/>
    <col min="2066" max="2066" width="11.5546875" bestFit="1" customWidth="1"/>
    <col min="2307" max="2307" width="25" customWidth="1"/>
    <col min="2308" max="2312" width="11.33203125" customWidth="1"/>
    <col min="2313" max="2316" width="9.5546875" bestFit="1" customWidth="1"/>
    <col min="2317" max="2320" width="10.5546875" bestFit="1" customWidth="1"/>
    <col min="2321" max="2321" width="9.5546875" bestFit="1" customWidth="1"/>
    <col min="2322" max="2322" width="11.5546875" bestFit="1" customWidth="1"/>
    <col min="2563" max="2563" width="25" customWidth="1"/>
    <col min="2564" max="2568" width="11.33203125" customWidth="1"/>
    <col min="2569" max="2572" width="9.5546875" bestFit="1" customWidth="1"/>
    <col min="2573" max="2576" width="10.5546875" bestFit="1" customWidth="1"/>
    <col min="2577" max="2577" width="9.5546875" bestFit="1" customWidth="1"/>
    <col min="2578" max="2578" width="11.5546875" bestFit="1" customWidth="1"/>
    <col min="2819" max="2819" width="25" customWidth="1"/>
    <col min="2820" max="2824" width="11.33203125" customWidth="1"/>
    <col min="2825" max="2828" width="9.5546875" bestFit="1" customWidth="1"/>
    <col min="2829" max="2832" width="10.5546875" bestFit="1" customWidth="1"/>
    <col min="2833" max="2833" width="9.5546875" bestFit="1" customWidth="1"/>
    <col min="2834" max="2834" width="11.5546875" bestFit="1" customWidth="1"/>
    <col min="3075" max="3075" width="25" customWidth="1"/>
    <col min="3076" max="3080" width="11.33203125" customWidth="1"/>
    <col min="3081" max="3084" width="9.5546875" bestFit="1" customWidth="1"/>
    <col min="3085" max="3088" width="10.5546875" bestFit="1" customWidth="1"/>
    <col min="3089" max="3089" width="9.5546875" bestFit="1" customWidth="1"/>
    <col min="3090" max="3090" width="11.5546875" bestFit="1" customWidth="1"/>
    <col min="3331" max="3331" width="25" customWidth="1"/>
    <col min="3332" max="3336" width="11.33203125" customWidth="1"/>
    <col min="3337" max="3340" width="9.5546875" bestFit="1" customWidth="1"/>
    <col min="3341" max="3344" width="10.5546875" bestFit="1" customWidth="1"/>
    <col min="3345" max="3345" width="9.5546875" bestFit="1" customWidth="1"/>
    <col min="3346" max="3346" width="11.5546875" bestFit="1" customWidth="1"/>
    <col min="3587" max="3587" width="25" customWidth="1"/>
    <col min="3588" max="3592" width="11.33203125" customWidth="1"/>
    <col min="3593" max="3596" width="9.5546875" bestFit="1" customWidth="1"/>
    <col min="3597" max="3600" width="10.5546875" bestFit="1" customWidth="1"/>
    <col min="3601" max="3601" width="9.5546875" bestFit="1" customWidth="1"/>
    <col min="3602" max="3602" width="11.5546875" bestFit="1" customWidth="1"/>
    <col min="3843" max="3843" width="25" customWidth="1"/>
    <col min="3844" max="3848" width="11.33203125" customWidth="1"/>
    <col min="3849" max="3852" width="9.5546875" bestFit="1" customWidth="1"/>
    <col min="3853" max="3856" width="10.5546875" bestFit="1" customWidth="1"/>
    <col min="3857" max="3857" width="9.5546875" bestFit="1" customWidth="1"/>
    <col min="3858" max="3858" width="11.5546875" bestFit="1" customWidth="1"/>
    <col min="4099" max="4099" width="25" customWidth="1"/>
    <col min="4100" max="4104" width="11.33203125" customWidth="1"/>
    <col min="4105" max="4108" width="9.5546875" bestFit="1" customWidth="1"/>
    <col min="4109" max="4112" width="10.5546875" bestFit="1" customWidth="1"/>
    <col min="4113" max="4113" width="9.5546875" bestFit="1" customWidth="1"/>
    <col min="4114" max="4114" width="11.5546875" bestFit="1" customWidth="1"/>
    <col min="4355" max="4355" width="25" customWidth="1"/>
    <col min="4356" max="4360" width="11.33203125" customWidth="1"/>
    <col min="4361" max="4364" width="9.5546875" bestFit="1" customWidth="1"/>
    <col min="4365" max="4368" width="10.5546875" bestFit="1" customWidth="1"/>
    <col min="4369" max="4369" width="9.5546875" bestFit="1" customWidth="1"/>
    <col min="4370" max="4370" width="11.5546875" bestFit="1" customWidth="1"/>
    <col min="4611" max="4611" width="25" customWidth="1"/>
    <col min="4612" max="4616" width="11.33203125" customWidth="1"/>
    <col min="4617" max="4620" width="9.5546875" bestFit="1" customWidth="1"/>
    <col min="4621" max="4624" width="10.5546875" bestFit="1" customWidth="1"/>
    <col min="4625" max="4625" width="9.5546875" bestFit="1" customWidth="1"/>
    <col min="4626" max="4626" width="11.5546875" bestFit="1" customWidth="1"/>
    <col min="4867" max="4867" width="25" customWidth="1"/>
    <col min="4868" max="4872" width="11.33203125" customWidth="1"/>
    <col min="4873" max="4876" width="9.5546875" bestFit="1" customWidth="1"/>
    <col min="4877" max="4880" width="10.5546875" bestFit="1" customWidth="1"/>
    <col min="4881" max="4881" width="9.5546875" bestFit="1" customWidth="1"/>
    <col min="4882" max="4882" width="11.5546875" bestFit="1" customWidth="1"/>
    <col min="5123" max="5123" width="25" customWidth="1"/>
    <col min="5124" max="5128" width="11.33203125" customWidth="1"/>
    <col min="5129" max="5132" width="9.5546875" bestFit="1" customWidth="1"/>
    <col min="5133" max="5136" width="10.5546875" bestFit="1" customWidth="1"/>
    <col min="5137" max="5137" width="9.5546875" bestFit="1" customWidth="1"/>
    <col min="5138" max="5138" width="11.5546875" bestFit="1" customWidth="1"/>
    <col min="5379" max="5379" width="25" customWidth="1"/>
    <col min="5380" max="5384" width="11.33203125" customWidth="1"/>
    <col min="5385" max="5388" width="9.5546875" bestFit="1" customWidth="1"/>
    <col min="5389" max="5392" width="10.5546875" bestFit="1" customWidth="1"/>
    <col min="5393" max="5393" width="9.5546875" bestFit="1" customWidth="1"/>
    <col min="5394" max="5394" width="11.5546875" bestFit="1" customWidth="1"/>
    <col min="5635" max="5635" width="25" customWidth="1"/>
    <col min="5636" max="5640" width="11.33203125" customWidth="1"/>
    <col min="5641" max="5644" width="9.5546875" bestFit="1" customWidth="1"/>
    <col min="5645" max="5648" width="10.5546875" bestFit="1" customWidth="1"/>
    <col min="5649" max="5649" width="9.5546875" bestFit="1" customWidth="1"/>
    <col min="5650" max="5650" width="11.5546875" bestFit="1" customWidth="1"/>
    <col min="5891" max="5891" width="25" customWidth="1"/>
    <col min="5892" max="5896" width="11.33203125" customWidth="1"/>
    <col min="5897" max="5900" width="9.5546875" bestFit="1" customWidth="1"/>
    <col min="5901" max="5904" width="10.5546875" bestFit="1" customWidth="1"/>
    <col min="5905" max="5905" width="9.5546875" bestFit="1" customWidth="1"/>
    <col min="5906" max="5906" width="11.5546875" bestFit="1" customWidth="1"/>
    <col min="6147" max="6147" width="25" customWidth="1"/>
    <col min="6148" max="6152" width="11.33203125" customWidth="1"/>
    <col min="6153" max="6156" width="9.5546875" bestFit="1" customWidth="1"/>
    <col min="6157" max="6160" width="10.5546875" bestFit="1" customWidth="1"/>
    <col min="6161" max="6161" width="9.5546875" bestFit="1" customWidth="1"/>
    <col min="6162" max="6162" width="11.5546875" bestFit="1" customWidth="1"/>
    <col min="6403" max="6403" width="25" customWidth="1"/>
    <col min="6404" max="6408" width="11.33203125" customWidth="1"/>
    <col min="6409" max="6412" width="9.5546875" bestFit="1" customWidth="1"/>
    <col min="6413" max="6416" width="10.5546875" bestFit="1" customWidth="1"/>
    <col min="6417" max="6417" width="9.5546875" bestFit="1" customWidth="1"/>
    <col min="6418" max="6418" width="11.5546875" bestFit="1" customWidth="1"/>
    <col min="6659" max="6659" width="25" customWidth="1"/>
    <col min="6660" max="6664" width="11.33203125" customWidth="1"/>
    <col min="6665" max="6668" width="9.5546875" bestFit="1" customWidth="1"/>
    <col min="6669" max="6672" width="10.5546875" bestFit="1" customWidth="1"/>
    <col min="6673" max="6673" width="9.5546875" bestFit="1" customWidth="1"/>
    <col min="6674" max="6674" width="11.5546875" bestFit="1" customWidth="1"/>
    <col min="6915" max="6915" width="25" customWidth="1"/>
    <col min="6916" max="6920" width="11.33203125" customWidth="1"/>
    <col min="6921" max="6924" width="9.5546875" bestFit="1" customWidth="1"/>
    <col min="6925" max="6928" width="10.5546875" bestFit="1" customWidth="1"/>
    <col min="6929" max="6929" width="9.5546875" bestFit="1" customWidth="1"/>
    <col min="6930" max="6930" width="11.5546875" bestFit="1" customWidth="1"/>
    <col min="7171" max="7171" width="25" customWidth="1"/>
    <col min="7172" max="7176" width="11.33203125" customWidth="1"/>
    <col min="7177" max="7180" width="9.5546875" bestFit="1" customWidth="1"/>
    <col min="7181" max="7184" width="10.5546875" bestFit="1" customWidth="1"/>
    <col min="7185" max="7185" width="9.5546875" bestFit="1" customWidth="1"/>
    <col min="7186" max="7186" width="11.5546875" bestFit="1" customWidth="1"/>
    <col min="7427" max="7427" width="25" customWidth="1"/>
    <col min="7428" max="7432" width="11.33203125" customWidth="1"/>
    <col min="7433" max="7436" width="9.5546875" bestFit="1" customWidth="1"/>
    <col min="7437" max="7440" width="10.5546875" bestFit="1" customWidth="1"/>
    <col min="7441" max="7441" width="9.5546875" bestFit="1" customWidth="1"/>
    <col min="7442" max="7442" width="11.5546875" bestFit="1" customWidth="1"/>
    <col min="7683" max="7683" width="25" customWidth="1"/>
    <col min="7684" max="7688" width="11.33203125" customWidth="1"/>
    <col min="7689" max="7692" width="9.5546875" bestFit="1" customWidth="1"/>
    <col min="7693" max="7696" width="10.5546875" bestFit="1" customWidth="1"/>
    <col min="7697" max="7697" width="9.5546875" bestFit="1" customWidth="1"/>
    <col min="7698" max="7698" width="11.5546875" bestFit="1" customWidth="1"/>
    <col min="7939" max="7939" width="25" customWidth="1"/>
    <col min="7940" max="7944" width="11.33203125" customWidth="1"/>
    <col min="7945" max="7948" width="9.5546875" bestFit="1" customWidth="1"/>
    <col min="7949" max="7952" width="10.5546875" bestFit="1" customWidth="1"/>
    <col min="7953" max="7953" width="9.5546875" bestFit="1" customWidth="1"/>
    <col min="7954" max="7954" width="11.5546875" bestFit="1" customWidth="1"/>
    <col min="8195" max="8195" width="25" customWidth="1"/>
    <col min="8196" max="8200" width="11.33203125" customWidth="1"/>
    <col min="8201" max="8204" width="9.5546875" bestFit="1" customWidth="1"/>
    <col min="8205" max="8208" width="10.5546875" bestFit="1" customWidth="1"/>
    <col min="8209" max="8209" width="9.5546875" bestFit="1" customWidth="1"/>
    <col min="8210" max="8210" width="11.5546875" bestFit="1" customWidth="1"/>
    <col min="8451" max="8451" width="25" customWidth="1"/>
    <col min="8452" max="8456" width="11.33203125" customWidth="1"/>
    <col min="8457" max="8460" width="9.5546875" bestFit="1" customWidth="1"/>
    <col min="8461" max="8464" width="10.5546875" bestFit="1" customWidth="1"/>
    <col min="8465" max="8465" width="9.5546875" bestFit="1" customWidth="1"/>
    <col min="8466" max="8466" width="11.5546875" bestFit="1" customWidth="1"/>
    <col min="8707" max="8707" width="25" customWidth="1"/>
    <col min="8708" max="8712" width="11.33203125" customWidth="1"/>
    <col min="8713" max="8716" width="9.5546875" bestFit="1" customWidth="1"/>
    <col min="8717" max="8720" width="10.5546875" bestFit="1" customWidth="1"/>
    <col min="8721" max="8721" width="9.5546875" bestFit="1" customWidth="1"/>
    <col min="8722" max="8722" width="11.5546875" bestFit="1" customWidth="1"/>
    <col min="8963" max="8963" width="25" customWidth="1"/>
    <col min="8964" max="8968" width="11.33203125" customWidth="1"/>
    <col min="8969" max="8972" width="9.5546875" bestFit="1" customWidth="1"/>
    <col min="8973" max="8976" width="10.5546875" bestFit="1" customWidth="1"/>
    <col min="8977" max="8977" width="9.5546875" bestFit="1" customWidth="1"/>
    <col min="8978" max="8978" width="11.5546875" bestFit="1" customWidth="1"/>
    <col min="9219" max="9219" width="25" customWidth="1"/>
    <col min="9220" max="9224" width="11.33203125" customWidth="1"/>
    <col min="9225" max="9228" width="9.5546875" bestFit="1" customWidth="1"/>
    <col min="9229" max="9232" width="10.5546875" bestFit="1" customWidth="1"/>
    <col min="9233" max="9233" width="9.5546875" bestFit="1" customWidth="1"/>
    <col min="9234" max="9234" width="11.5546875" bestFit="1" customWidth="1"/>
    <col min="9475" max="9475" width="25" customWidth="1"/>
    <col min="9476" max="9480" width="11.33203125" customWidth="1"/>
    <col min="9481" max="9484" width="9.5546875" bestFit="1" customWidth="1"/>
    <col min="9485" max="9488" width="10.5546875" bestFit="1" customWidth="1"/>
    <col min="9489" max="9489" width="9.5546875" bestFit="1" customWidth="1"/>
    <col min="9490" max="9490" width="11.5546875" bestFit="1" customWidth="1"/>
    <col min="9731" max="9731" width="25" customWidth="1"/>
    <col min="9732" max="9736" width="11.33203125" customWidth="1"/>
    <col min="9737" max="9740" width="9.5546875" bestFit="1" customWidth="1"/>
    <col min="9741" max="9744" width="10.5546875" bestFit="1" customWidth="1"/>
    <col min="9745" max="9745" width="9.5546875" bestFit="1" customWidth="1"/>
    <col min="9746" max="9746" width="11.5546875" bestFit="1" customWidth="1"/>
    <col min="9987" max="9987" width="25" customWidth="1"/>
    <col min="9988" max="9992" width="11.33203125" customWidth="1"/>
    <col min="9993" max="9996" width="9.5546875" bestFit="1" customWidth="1"/>
    <col min="9997" max="10000" width="10.5546875" bestFit="1" customWidth="1"/>
    <col min="10001" max="10001" width="9.5546875" bestFit="1" customWidth="1"/>
    <col min="10002" max="10002" width="11.5546875" bestFit="1" customWidth="1"/>
    <col min="10243" max="10243" width="25" customWidth="1"/>
    <col min="10244" max="10248" width="11.33203125" customWidth="1"/>
    <col min="10249" max="10252" width="9.5546875" bestFit="1" customWidth="1"/>
    <col min="10253" max="10256" width="10.5546875" bestFit="1" customWidth="1"/>
    <col min="10257" max="10257" width="9.5546875" bestFit="1" customWidth="1"/>
    <col min="10258" max="10258" width="11.5546875" bestFit="1" customWidth="1"/>
    <col min="10499" max="10499" width="25" customWidth="1"/>
    <col min="10500" max="10504" width="11.33203125" customWidth="1"/>
    <col min="10505" max="10508" width="9.5546875" bestFit="1" customWidth="1"/>
    <col min="10509" max="10512" width="10.5546875" bestFit="1" customWidth="1"/>
    <col min="10513" max="10513" width="9.5546875" bestFit="1" customWidth="1"/>
    <col min="10514" max="10514" width="11.5546875" bestFit="1" customWidth="1"/>
    <col min="10755" max="10755" width="25" customWidth="1"/>
    <col min="10756" max="10760" width="11.33203125" customWidth="1"/>
    <col min="10761" max="10764" width="9.5546875" bestFit="1" customWidth="1"/>
    <col min="10765" max="10768" width="10.5546875" bestFit="1" customWidth="1"/>
    <col min="10769" max="10769" width="9.5546875" bestFit="1" customWidth="1"/>
    <col min="10770" max="10770" width="11.5546875" bestFit="1" customWidth="1"/>
    <col min="11011" max="11011" width="25" customWidth="1"/>
    <col min="11012" max="11016" width="11.33203125" customWidth="1"/>
    <col min="11017" max="11020" width="9.5546875" bestFit="1" customWidth="1"/>
    <col min="11021" max="11024" width="10.5546875" bestFit="1" customWidth="1"/>
    <col min="11025" max="11025" width="9.5546875" bestFit="1" customWidth="1"/>
    <col min="11026" max="11026" width="11.5546875" bestFit="1" customWidth="1"/>
    <col min="11267" max="11267" width="25" customWidth="1"/>
    <col min="11268" max="11272" width="11.33203125" customWidth="1"/>
    <col min="11273" max="11276" width="9.5546875" bestFit="1" customWidth="1"/>
    <col min="11277" max="11280" width="10.5546875" bestFit="1" customWidth="1"/>
    <col min="11281" max="11281" width="9.5546875" bestFit="1" customWidth="1"/>
    <col min="11282" max="11282" width="11.5546875" bestFit="1" customWidth="1"/>
    <col min="11523" max="11523" width="25" customWidth="1"/>
    <col min="11524" max="11528" width="11.33203125" customWidth="1"/>
    <col min="11529" max="11532" width="9.5546875" bestFit="1" customWidth="1"/>
    <col min="11533" max="11536" width="10.5546875" bestFit="1" customWidth="1"/>
    <col min="11537" max="11537" width="9.5546875" bestFit="1" customWidth="1"/>
    <col min="11538" max="11538" width="11.5546875" bestFit="1" customWidth="1"/>
    <col min="11779" max="11779" width="25" customWidth="1"/>
    <col min="11780" max="11784" width="11.33203125" customWidth="1"/>
    <col min="11785" max="11788" width="9.5546875" bestFit="1" customWidth="1"/>
    <col min="11789" max="11792" width="10.5546875" bestFit="1" customWidth="1"/>
    <col min="11793" max="11793" width="9.5546875" bestFit="1" customWidth="1"/>
    <col min="11794" max="11794" width="11.5546875" bestFit="1" customWidth="1"/>
    <col min="12035" max="12035" width="25" customWidth="1"/>
    <col min="12036" max="12040" width="11.33203125" customWidth="1"/>
    <col min="12041" max="12044" width="9.5546875" bestFit="1" customWidth="1"/>
    <col min="12045" max="12048" width="10.5546875" bestFit="1" customWidth="1"/>
    <col min="12049" max="12049" width="9.5546875" bestFit="1" customWidth="1"/>
    <col min="12050" max="12050" width="11.5546875" bestFit="1" customWidth="1"/>
    <col min="12291" max="12291" width="25" customWidth="1"/>
    <col min="12292" max="12296" width="11.33203125" customWidth="1"/>
    <col min="12297" max="12300" width="9.5546875" bestFit="1" customWidth="1"/>
    <col min="12301" max="12304" width="10.5546875" bestFit="1" customWidth="1"/>
    <col min="12305" max="12305" width="9.5546875" bestFit="1" customWidth="1"/>
    <col min="12306" max="12306" width="11.5546875" bestFit="1" customWidth="1"/>
    <col min="12547" max="12547" width="25" customWidth="1"/>
    <col min="12548" max="12552" width="11.33203125" customWidth="1"/>
    <col min="12553" max="12556" width="9.5546875" bestFit="1" customWidth="1"/>
    <col min="12557" max="12560" width="10.5546875" bestFit="1" customWidth="1"/>
    <col min="12561" max="12561" width="9.5546875" bestFit="1" customWidth="1"/>
    <col min="12562" max="12562" width="11.5546875" bestFit="1" customWidth="1"/>
    <col min="12803" max="12803" width="25" customWidth="1"/>
    <col min="12804" max="12808" width="11.33203125" customWidth="1"/>
    <col min="12809" max="12812" width="9.5546875" bestFit="1" customWidth="1"/>
    <col min="12813" max="12816" width="10.5546875" bestFit="1" customWidth="1"/>
    <col min="12817" max="12817" width="9.5546875" bestFit="1" customWidth="1"/>
    <col min="12818" max="12818" width="11.5546875" bestFit="1" customWidth="1"/>
    <col min="13059" max="13059" width="25" customWidth="1"/>
    <col min="13060" max="13064" width="11.33203125" customWidth="1"/>
    <col min="13065" max="13068" width="9.5546875" bestFit="1" customWidth="1"/>
    <col min="13069" max="13072" width="10.5546875" bestFit="1" customWidth="1"/>
    <col min="13073" max="13073" width="9.5546875" bestFit="1" customWidth="1"/>
    <col min="13074" max="13074" width="11.5546875" bestFit="1" customWidth="1"/>
    <col min="13315" max="13315" width="25" customWidth="1"/>
    <col min="13316" max="13320" width="11.33203125" customWidth="1"/>
    <col min="13321" max="13324" width="9.5546875" bestFit="1" customWidth="1"/>
    <col min="13325" max="13328" width="10.5546875" bestFit="1" customWidth="1"/>
    <col min="13329" max="13329" width="9.5546875" bestFit="1" customWidth="1"/>
    <col min="13330" max="13330" width="11.5546875" bestFit="1" customWidth="1"/>
    <col min="13571" max="13571" width="25" customWidth="1"/>
    <col min="13572" max="13576" width="11.33203125" customWidth="1"/>
    <col min="13577" max="13580" width="9.5546875" bestFit="1" customWidth="1"/>
    <col min="13581" max="13584" width="10.5546875" bestFit="1" customWidth="1"/>
    <col min="13585" max="13585" width="9.5546875" bestFit="1" customWidth="1"/>
    <col min="13586" max="13586" width="11.5546875" bestFit="1" customWidth="1"/>
    <col min="13827" max="13827" width="25" customWidth="1"/>
    <col min="13828" max="13832" width="11.33203125" customWidth="1"/>
    <col min="13833" max="13836" width="9.5546875" bestFit="1" customWidth="1"/>
    <col min="13837" max="13840" width="10.5546875" bestFit="1" customWidth="1"/>
    <col min="13841" max="13841" width="9.5546875" bestFit="1" customWidth="1"/>
    <col min="13842" max="13842" width="11.5546875" bestFit="1" customWidth="1"/>
    <col min="14083" max="14083" width="25" customWidth="1"/>
    <col min="14084" max="14088" width="11.33203125" customWidth="1"/>
    <col min="14089" max="14092" width="9.5546875" bestFit="1" customWidth="1"/>
    <col min="14093" max="14096" width="10.5546875" bestFit="1" customWidth="1"/>
    <col min="14097" max="14097" width="9.5546875" bestFit="1" customWidth="1"/>
    <col min="14098" max="14098" width="11.5546875" bestFit="1" customWidth="1"/>
    <col min="14339" max="14339" width="25" customWidth="1"/>
    <col min="14340" max="14344" width="11.33203125" customWidth="1"/>
    <col min="14345" max="14348" width="9.5546875" bestFit="1" customWidth="1"/>
    <col min="14349" max="14352" width="10.5546875" bestFit="1" customWidth="1"/>
    <col min="14353" max="14353" width="9.5546875" bestFit="1" customWidth="1"/>
    <col min="14354" max="14354" width="11.5546875" bestFit="1" customWidth="1"/>
    <col min="14595" max="14595" width="25" customWidth="1"/>
    <col min="14596" max="14600" width="11.33203125" customWidth="1"/>
    <col min="14601" max="14604" width="9.5546875" bestFit="1" customWidth="1"/>
    <col min="14605" max="14608" width="10.5546875" bestFit="1" customWidth="1"/>
    <col min="14609" max="14609" width="9.5546875" bestFit="1" customWidth="1"/>
    <col min="14610" max="14610" width="11.5546875" bestFit="1" customWidth="1"/>
    <col min="14851" max="14851" width="25" customWidth="1"/>
    <col min="14852" max="14856" width="11.33203125" customWidth="1"/>
    <col min="14857" max="14860" width="9.5546875" bestFit="1" customWidth="1"/>
    <col min="14861" max="14864" width="10.5546875" bestFit="1" customWidth="1"/>
    <col min="14865" max="14865" width="9.5546875" bestFit="1" customWidth="1"/>
    <col min="14866" max="14866" width="11.5546875" bestFit="1" customWidth="1"/>
    <col min="15107" max="15107" width="25" customWidth="1"/>
    <col min="15108" max="15112" width="11.33203125" customWidth="1"/>
    <col min="15113" max="15116" width="9.5546875" bestFit="1" customWidth="1"/>
    <col min="15117" max="15120" width="10.5546875" bestFit="1" customWidth="1"/>
    <col min="15121" max="15121" width="9.5546875" bestFit="1" customWidth="1"/>
    <col min="15122" max="15122" width="11.5546875" bestFit="1" customWidth="1"/>
    <col min="15363" max="15363" width="25" customWidth="1"/>
    <col min="15364" max="15368" width="11.33203125" customWidth="1"/>
    <col min="15369" max="15372" width="9.5546875" bestFit="1" customWidth="1"/>
    <col min="15373" max="15376" width="10.5546875" bestFit="1" customWidth="1"/>
    <col min="15377" max="15377" width="9.5546875" bestFit="1" customWidth="1"/>
    <col min="15378" max="15378" width="11.5546875" bestFit="1" customWidth="1"/>
    <col min="15619" max="15619" width="25" customWidth="1"/>
    <col min="15620" max="15624" width="11.33203125" customWidth="1"/>
    <col min="15625" max="15628" width="9.5546875" bestFit="1" customWidth="1"/>
    <col min="15629" max="15632" width="10.5546875" bestFit="1" customWidth="1"/>
    <col min="15633" max="15633" width="9.5546875" bestFit="1" customWidth="1"/>
    <col min="15634" max="15634" width="11.5546875" bestFit="1" customWidth="1"/>
    <col min="15875" max="15875" width="25" customWidth="1"/>
    <col min="15876" max="15880" width="11.33203125" customWidth="1"/>
    <col min="15881" max="15884" width="9.5546875" bestFit="1" customWidth="1"/>
    <col min="15885" max="15888" width="10.5546875" bestFit="1" customWidth="1"/>
    <col min="15889" max="15889" width="9.5546875" bestFit="1" customWidth="1"/>
    <col min="15890" max="15890" width="11.5546875" bestFit="1" customWidth="1"/>
    <col min="16131" max="16131" width="25" customWidth="1"/>
    <col min="16132" max="16136" width="11.33203125" customWidth="1"/>
    <col min="16137" max="16140" width="9.5546875" bestFit="1" customWidth="1"/>
    <col min="16141" max="16144" width="10.5546875" bestFit="1" customWidth="1"/>
    <col min="16145" max="16145" width="9.5546875" bestFit="1" customWidth="1"/>
    <col min="16146" max="16146" width="11.5546875" bestFit="1" customWidth="1"/>
  </cols>
  <sheetData>
    <row r="1" spans="1:29" x14ac:dyDescent="0.3">
      <c r="C1" s="128" t="s">
        <v>38</v>
      </c>
      <c r="D1" s="129"/>
      <c r="E1" s="130"/>
      <c r="F1" s="131" t="s">
        <v>34</v>
      </c>
      <c r="G1" s="131"/>
      <c r="H1" s="132"/>
      <c r="J1" s="128" t="s">
        <v>39</v>
      </c>
      <c r="K1" s="129"/>
      <c r="L1" s="130"/>
      <c r="Q1" s="128" t="s">
        <v>41</v>
      </c>
      <c r="R1" s="129"/>
      <c r="S1" s="130"/>
      <c r="T1" s="2"/>
    </row>
    <row r="2" spans="1:29" s="3" customFormat="1" ht="48.75" customHeight="1" x14ac:dyDescent="0.3">
      <c r="B2" s="4"/>
      <c r="C2" s="54" t="s">
        <v>0</v>
      </c>
      <c r="D2" s="55" t="s">
        <v>0</v>
      </c>
      <c r="E2" s="56" t="s">
        <v>0</v>
      </c>
      <c r="F2" s="93" t="s">
        <v>0</v>
      </c>
      <c r="G2" s="93" t="s">
        <v>0</v>
      </c>
      <c r="H2" s="94" t="s">
        <v>0</v>
      </c>
      <c r="I2" s="4"/>
      <c r="J2" s="54" t="s">
        <v>0</v>
      </c>
      <c r="K2" s="55" t="s">
        <v>0</v>
      </c>
      <c r="L2" s="56" t="s">
        <v>0</v>
      </c>
      <c r="M2" s="4"/>
      <c r="N2" s="4"/>
      <c r="O2" s="4" t="s">
        <v>1</v>
      </c>
      <c r="P2" s="4" t="s">
        <v>1</v>
      </c>
      <c r="Q2" s="54" t="s">
        <v>0</v>
      </c>
      <c r="R2" s="55" t="s">
        <v>0</v>
      </c>
      <c r="S2" s="56" t="s">
        <v>0</v>
      </c>
      <c r="T2" s="4"/>
      <c r="U2" s="4"/>
      <c r="V2" s="4"/>
      <c r="W2" s="4"/>
      <c r="X2" s="5"/>
      <c r="Y2" s="5"/>
      <c r="Z2" s="4"/>
      <c r="AA2" s="4"/>
      <c r="AB2" s="4"/>
      <c r="AC2" s="4"/>
    </row>
    <row r="3" spans="1:29" x14ac:dyDescent="0.3">
      <c r="A3" t="s">
        <v>2</v>
      </c>
      <c r="C3" s="125">
        <v>2998.5</v>
      </c>
      <c r="D3" s="126">
        <v>2998.5</v>
      </c>
      <c r="E3" s="127">
        <v>2998.5</v>
      </c>
      <c r="F3" s="95">
        <v>2998.5</v>
      </c>
      <c r="G3" s="95">
        <v>2998.5</v>
      </c>
      <c r="H3" s="96">
        <v>2998.5</v>
      </c>
      <c r="J3" s="125">
        <v>2998.5</v>
      </c>
      <c r="K3" s="126">
        <v>2998.5</v>
      </c>
      <c r="L3" s="127">
        <v>2998.5</v>
      </c>
      <c r="N3" s="1"/>
      <c r="O3" s="27">
        <v>2998.5</v>
      </c>
      <c r="P3" s="44">
        <v>2998.5</v>
      </c>
      <c r="Q3" s="125">
        <v>2998.5</v>
      </c>
      <c r="R3" s="126">
        <v>2998.5</v>
      </c>
      <c r="S3" s="127">
        <v>2998.5</v>
      </c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t="s">
        <v>28</v>
      </c>
      <c r="C4" s="57" t="s">
        <v>23</v>
      </c>
      <c r="D4" s="58" t="s">
        <v>23</v>
      </c>
      <c r="E4" s="59" t="s">
        <v>23</v>
      </c>
      <c r="F4" s="58" t="s">
        <v>23</v>
      </c>
      <c r="G4" s="58" t="s">
        <v>23</v>
      </c>
      <c r="H4" s="59" t="s">
        <v>23</v>
      </c>
      <c r="J4" s="57" t="s">
        <v>23</v>
      </c>
      <c r="K4" s="58" t="s">
        <v>23</v>
      </c>
      <c r="L4" s="59" t="s">
        <v>23</v>
      </c>
      <c r="N4" s="1"/>
      <c r="O4" s="46"/>
      <c r="P4" s="46"/>
      <c r="Q4" s="57" t="s">
        <v>23</v>
      </c>
      <c r="R4" s="58" t="s">
        <v>23</v>
      </c>
      <c r="S4" s="59" t="s">
        <v>23</v>
      </c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t="s">
        <v>24</v>
      </c>
      <c r="C5" s="60">
        <v>2.15</v>
      </c>
      <c r="D5" s="61">
        <v>2.15</v>
      </c>
      <c r="E5" s="62">
        <v>2.15</v>
      </c>
      <c r="F5" s="61">
        <v>2.15</v>
      </c>
      <c r="G5" s="61">
        <v>2.15</v>
      </c>
      <c r="H5" s="62">
        <v>2.15</v>
      </c>
      <c r="J5" s="60">
        <v>2.15</v>
      </c>
      <c r="K5" s="61">
        <v>2.15</v>
      </c>
      <c r="L5" s="62">
        <v>2.15</v>
      </c>
      <c r="N5" s="1"/>
      <c r="O5" s="30">
        <v>0.5</v>
      </c>
      <c r="P5" s="30">
        <v>0.5</v>
      </c>
      <c r="Q5" s="60">
        <v>2.15</v>
      </c>
      <c r="R5" s="61">
        <v>2.15</v>
      </c>
      <c r="S5" s="62">
        <v>2.15</v>
      </c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t="s">
        <v>25</v>
      </c>
      <c r="C6" s="60">
        <v>61</v>
      </c>
      <c r="D6" s="61">
        <v>61</v>
      </c>
      <c r="E6" s="62">
        <v>61</v>
      </c>
      <c r="F6" s="58">
        <f>122/2</f>
        <v>61</v>
      </c>
      <c r="G6" s="58">
        <f t="shared" ref="G6:H6" si="0">122/2</f>
        <v>61</v>
      </c>
      <c r="H6" s="59">
        <f t="shared" si="0"/>
        <v>61</v>
      </c>
      <c r="J6" s="60">
        <v>61</v>
      </c>
      <c r="K6" s="61">
        <v>61</v>
      </c>
      <c r="L6" s="62">
        <v>61</v>
      </c>
      <c r="N6" s="1"/>
      <c r="O6" s="30">
        <v>5</v>
      </c>
      <c r="P6" s="30">
        <v>5</v>
      </c>
      <c r="Q6" s="60">
        <v>61</v>
      </c>
      <c r="R6" s="61">
        <v>61</v>
      </c>
      <c r="S6" s="62">
        <v>61</v>
      </c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s="26" customFormat="1" ht="15.6" x14ac:dyDescent="0.35">
      <c r="A7" s="26" t="s">
        <v>26</v>
      </c>
      <c r="B7" s="27"/>
      <c r="C7" s="63">
        <f t="shared" ref="C7:H7" si="1">(1/3)*299792458/(C3*1000000)</f>
        <v>3.3326936579400807E-2</v>
      </c>
      <c r="D7" s="64">
        <f t="shared" si="1"/>
        <v>3.3326936579400807E-2</v>
      </c>
      <c r="E7" s="65">
        <f t="shared" si="1"/>
        <v>3.3326936579400807E-2</v>
      </c>
      <c r="F7" s="64">
        <f t="shared" si="1"/>
        <v>3.3326936579400807E-2</v>
      </c>
      <c r="G7" s="64">
        <f t="shared" si="1"/>
        <v>3.3326936579400807E-2</v>
      </c>
      <c r="H7" s="65">
        <f t="shared" si="1"/>
        <v>3.3326936579400807E-2</v>
      </c>
      <c r="I7" s="27"/>
      <c r="J7" s="63">
        <f>(1/3)*299792458/(J3*1000000)</f>
        <v>3.3326936579400807E-2</v>
      </c>
      <c r="K7" s="64">
        <f>(1/3)*299792458/(K3*1000000)</f>
        <v>3.3326936579400807E-2</v>
      </c>
      <c r="L7" s="65">
        <f>(1/3)*299792458/(L3*1000000)</f>
        <v>3.3326936579400807E-2</v>
      </c>
      <c r="M7" s="27"/>
      <c r="N7" s="27"/>
      <c r="O7" s="31">
        <f>(1)*299792458/(O3*1000000)</f>
        <v>9.9980809738202434E-2</v>
      </c>
      <c r="P7" s="31">
        <f>(1)*299792458/(P3*1000000)</f>
        <v>9.9980809738202434E-2</v>
      </c>
      <c r="Q7" s="63">
        <f>(1/3)*299792458/(Q3*1000000)</f>
        <v>3.3326936579400807E-2</v>
      </c>
      <c r="R7" s="64">
        <f>(1/3)*299792458/(R3*1000000)</f>
        <v>3.3326936579400807E-2</v>
      </c>
      <c r="S7" s="65">
        <f>(1/3)*299792458/(S3*1000000)</f>
        <v>3.3326936579400807E-2</v>
      </c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s="26" customFormat="1" ht="15.6" x14ac:dyDescent="0.35">
      <c r="A8" s="26" t="s">
        <v>27</v>
      </c>
      <c r="B8" s="27"/>
      <c r="C8" s="63">
        <f>C7*C6</f>
        <v>2.0329431313434494</v>
      </c>
      <c r="D8" s="64">
        <f t="shared" ref="D8" si="2">D7*D6</f>
        <v>2.0329431313434494</v>
      </c>
      <c r="E8" s="65">
        <f t="shared" ref="E8:H8" si="3">E7*E6</f>
        <v>2.0329431313434494</v>
      </c>
      <c r="F8" s="64">
        <f t="shared" si="3"/>
        <v>2.0329431313434494</v>
      </c>
      <c r="G8" s="64">
        <f t="shared" si="3"/>
        <v>2.0329431313434494</v>
      </c>
      <c r="H8" s="65">
        <f t="shared" si="3"/>
        <v>2.0329431313434494</v>
      </c>
      <c r="I8" s="27"/>
      <c r="J8" s="63">
        <f>J7*J6</f>
        <v>2.0329431313434494</v>
      </c>
      <c r="K8" s="64">
        <f t="shared" ref="K8:L8" si="4">K7*K6</f>
        <v>2.0329431313434494</v>
      </c>
      <c r="L8" s="65">
        <f t="shared" si="4"/>
        <v>2.0329431313434494</v>
      </c>
      <c r="M8" s="27"/>
      <c r="N8" s="27"/>
      <c r="O8" s="31">
        <f>O7*O6</f>
        <v>0.49990404869101218</v>
      </c>
      <c r="P8" s="31">
        <f>P7*P6</f>
        <v>0.49990404869101218</v>
      </c>
      <c r="Q8" s="63">
        <f>Q7*Q6</f>
        <v>2.0329431313434494</v>
      </c>
      <c r="R8" s="64">
        <f t="shared" ref="R8:S8" si="5">R7*R6</f>
        <v>2.0329431313434494</v>
      </c>
      <c r="S8" s="65">
        <f t="shared" si="5"/>
        <v>2.0329431313434494</v>
      </c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ht="15.6" x14ac:dyDescent="0.35">
      <c r="A9" t="s">
        <v>3</v>
      </c>
      <c r="B9" s="28"/>
      <c r="C9" s="97">
        <v>54000000</v>
      </c>
      <c r="D9" s="98">
        <v>54000000</v>
      </c>
      <c r="E9" s="99">
        <v>54000000</v>
      </c>
      <c r="F9" s="98">
        <v>62000000</v>
      </c>
      <c r="G9" s="98">
        <v>62000000</v>
      </c>
      <c r="H9" s="99">
        <v>62000000</v>
      </c>
      <c r="I9" s="28"/>
      <c r="J9" s="97">
        <v>54000000</v>
      </c>
      <c r="K9" s="98">
        <v>54000000</v>
      </c>
      <c r="L9" s="99">
        <v>54000000</v>
      </c>
      <c r="M9" s="28"/>
      <c r="N9" s="6"/>
      <c r="O9" s="47">
        <f>O11/O8</f>
        <v>4800921.3093679631</v>
      </c>
      <c r="P9" s="47">
        <f>P11/P8</f>
        <v>4800921.3093679631</v>
      </c>
      <c r="Q9" s="97">
        <v>54000000</v>
      </c>
      <c r="R9" s="98">
        <v>54000000</v>
      </c>
      <c r="S9" s="99">
        <v>54000000</v>
      </c>
      <c r="T9" s="6"/>
      <c r="U9" s="6"/>
      <c r="V9" s="6"/>
      <c r="W9" s="6"/>
      <c r="X9" s="1"/>
      <c r="Y9" s="1"/>
      <c r="Z9" s="6"/>
      <c r="AA9" s="6"/>
      <c r="AB9" s="6"/>
      <c r="AC9" s="6"/>
    </row>
    <row r="10" spans="1:29" ht="15.6" hidden="1" x14ac:dyDescent="0.35">
      <c r="A10" t="s">
        <v>4</v>
      </c>
      <c r="B10" s="7"/>
      <c r="C10" s="69">
        <v>2.15</v>
      </c>
      <c r="D10" s="70">
        <v>2.15</v>
      </c>
      <c r="E10" s="71">
        <v>2.15</v>
      </c>
      <c r="F10" s="70"/>
      <c r="G10" s="70"/>
      <c r="H10" s="71"/>
      <c r="I10" s="8"/>
      <c r="J10" s="69">
        <v>2.15</v>
      </c>
      <c r="K10" s="70">
        <v>2.15</v>
      </c>
      <c r="L10" s="71">
        <v>2.15</v>
      </c>
      <c r="M10" s="8"/>
      <c r="N10" s="8"/>
      <c r="O10" s="33"/>
      <c r="P10" s="33"/>
      <c r="Q10" s="69">
        <v>2.15</v>
      </c>
      <c r="R10" s="70">
        <v>2.15</v>
      </c>
      <c r="S10" s="71">
        <v>2.15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6" x14ac:dyDescent="0.35">
      <c r="A11" t="s">
        <v>5</v>
      </c>
      <c r="B11" s="28"/>
      <c r="C11" s="66">
        <f>C9*C8</f>
        <v>109778929.09254627</v>
      </c>
      <c r="D11" s="67">
        <f t="shared" ref="D11:E11" si="6">D9*D8</f>
        <v>109778929.09254627</v>
      </c>
      <c r="E11" s="68">
        <f t="shared" si="6"/>
        <v>109778929.09254627</v>
      </c>
      <c r="F11" s="67">
        <f>F9*F8</f>
        <v>126042474.14329386</v>
      </c>
      <c r="G11" s="67">
        <f t="shared" ref="G11:H11" si="7">G9*G8</f>
        <v>126042474.14329386</v>
      </c>
      <c r="H11" s="68">
        <f t="shared" si="7"/>
        <v>126042474.14329386</v>
      </c>
      <c r="I11" s="28"/>
      <c r="J11" s="66">
        <f>J9*J8</f>
        <v>109778929.09254627</v>
      </c>
      <c r="K11" s="67">
        <f t="shared" ref="K11:L11" si="8">K9*K8</f>
        <v>109778929.09254627</v>
      </c>
      <c r="L11" s="68">
        <f t="shared" si="8"/>
        <v>109778929.09254627</v>
      </c>
      <c r="M11" s="28"/>
      <c r="N11" s="6"/>
      <c r="O11" s="32">
        <v>2400000</v>
      </c>
      <c r="P11" s="32">
        <v>2400000</v>
      </c>
      <c r="Q11" s="66">
        <f>Q9*Q8</f>
        <v>109778929.09254627</v>
      </c>
      <c r="R11" s="67">
        <f t="shared" ref="R11:S11" si="9">R9*R8</f>
        <v>109778929.09254627</v>
      </c>
      <c r="S11" s="68">
        <f t="shared" si="9"/>
        <v>109778929.09254627</v>
      </c>
      <c r="T11" s="6"/>
      <c r="U11" s="6"/>
      <c r="V11" s="6"/>
      <c r="W11" s="6"/>
      <c r="X11" s="1"/>
      <c r="Y11" s="1"/>
      <c r="Z11" s="6"/>
      <c r="AA11" s="6"/>
      <c r="AB11" s="6"/>
      <c r="AC11" s="6"/>
    </row>
    <row r="12" spans="1:29" ht="15.6" x14ac:dyDescent="0.35">
      <c r="A12" t="s">
        <v>6</v>
      </c>
      <c r="B12" s="10"/>
      <c r="C12" s="72"/>
      <c r="D12" s="73"/>
      <c r="E12" s="74"/>
      <c r="F12" s="73">
        <f>F11/F14</f>
        <v>8402.8316095529244</v>
      </c>
      <c r="G12" s="73">
        <f t="shared" ref="G12:H12" si="10">G11/G14</f>
        <v>8402.8316095529244</v>
      </c>
      <c r="H12" s="74">
        <f t="shared" si="10"/>
        <v>8402.8316095529244</v>
      </c>
      <c r="I12" s="11"/>
      <c r="J12" s="72"/>
      <c r="K12" s="73"/>
      <c r="L12" s="74"/>
      <c r="M12" s="11"/>
      <c r="N12" s="11"/>
      <c r="O12" s="23">
        <f>O11/O14</f>
        <v>160</v>
      </c>
      <c r="P12" s="23">
        <f>P11/P14</f>
        <v>160</v>
      </c>
      <c r="Q12" s="72"/>
      <c r="R12" s="73"/>
      <c r="S12" s="74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6" hidden="1" x14ac:dyDescent="0.3">
      <c r="A13" s="12" t="s">
        <v>7</v>
      </c>
      <c r="B13" s="13"/>
      <c r="C13" s="75">
        <v>11000</v>
      </c>
      <c r="D13" s="76">
        <v>11000</v>
      </c>
      <c r="E13" s="77">
        <v>11000</v>
      </c>
      <c r="F13" s="76"/>
      <c r="G13" s="76"/>
      <c r="H13" s="77"/>
      <c r="I13" s="14"/>
      <c r="J13" s="75">
        <v>11000</v>
      </c>
      <c r="K13" s="76">
        <v>11000</v>
      </c>
      <c r="L13" s="77">
        <v>11000</v>
      </c>
      <c r="M13" s="14"/>
      <c r="N13" s="14"/>
      <c r="O13" s="35"/>
      <c r="P13" s="35"/>
      <c r="Q13" s="75">
        <v>11000</v>
      </c>
      <c r="R13" s="76">
        <v>11000</v>
      </c>
      <c r="S13" s="77">
        <v>11000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6" x14ac:dyDescent="0.35">
      <c r="A14" s="15" t="s">
        <v>8</v>
      </c>
      <c r="B14" s="10"/>
      <c r="C14" s="75">
        <f>2*PI()*C3*1000000*C20*0.000000001/(2*C25)</f>
        <v>12111.512878014424</v>
      </c>
      <c r="D14" s="76">
        <f t="shared" ref="D14:E14" si="11">2*PI()*D3*1000000*D20*0.000000001/(2*D25)</f>
        <v>12111.512878014424</v>
      </c>
      <c r="E14" s="77">
        <f t="shared" si="11"/>
        <v>12111.512878014424</v>
      </c>
      <c r="F14" s="100">
        <v>15000</v>
      </c>
      <c r="G14" s="100">
        <v>15000</v>
      </c>
      <c r="H14" s="101">
        <v>15000</v>
      </c>
      <c r="I14" s="11"/>
      <c r="J14" s="75">
        <f t="shared" ref="J14:L14" si="12">2*PI()*J3*1000000*J20*0.000000001/(2*J25)</f>
        <v>12111.512878014424</v>
      </c>
      <c r="K14" s="76">
        <f t="shared" si="12"/>
        <v>12111.512878014424</v>
      </c>
      <c r="L14" s="77">
        <f t="shared" si="12"/>
        <v>12111.512878014424</v>
      </c>
      <c r="M14" s="11"/>
      <c r="N14" s="11"/>
      <c r="O14" s="45">
        <v>15000</v>
      </c>
      <c r="P14" s="45">
        <v>15000</v>
      </c>
      <c r="Q14" s="75">
        <f t="shared" ref="Q14:S14" si="13">2*PI()*Q3*1000000*Q20*0.000000001/(2*Q25)</f>
        <v>12111.512878014424</v>
      </c>
      <c r="R14" s="76">
        <f t="shared" si="13"/>
        <v>12111.512878014424</v>
      </c>
      <c r="S14" s="77">
        <f t="shared" si="13"/>
        <v>12111.512878014424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6" hidden="1" x14ac:dyDescent="0.35">
      <c r="A15" s="15" t="s">
        <v>9</v>
      </c>
      <c r="B15" s="10"/>
      <c r="C15" s="72">
        <f t="shared" ref="C15" si="14">1/((1/C13)+(1/C14))</f>
        <v>5764.5140913684982</v>
      </c>
      <c r="D15" s="73">
        <f t="shared" ref="D15:E15" si="15">1/((1/D13)+(1/D14))</f>
        <v>5764.5140913684982</v>
      </c>
      <c r="E15" s="74">
        <f t="shared" si="15"/>
        <v>5764.5140913684982</v>
      </c>
      <c r="F15" s="76" t="e">
        <f t="shared" ref="F15:G15" si="16">1/((1/F13)+(1/F14))</f>
        <v>#DIV/0!</v>
      </c>
      <c r="G15" s="76" t="e">
        <f t="shared" si="16"/>
        <v>#DIV/0!</v>
      </c>
      <c r="H15" s="77" t="e">
        <f t="shared" ref="H15" si="17">1/((1/H13)+(1/H14))</f>
        <v>#DIV/0!</v>
      </c>
      <c r="I15" s="11"/>
      <c r="J15" s="72">
        <f t="shared" ref="J15:L15" si="18">1/((1/J13)+(1/J14))</f>
        <v>5764.5140913684982</v>
      </c>
      <c r="K15" s="73">
        <f t="shared" si="18"/>
        <v>5764.5140913684982</v>
      </c>
      <c r="L15" s="74">
        <f t="shared" si="18"/>
        <v>5764.5140913684982</v>
      </c>
      <c r="M15" s="11"/>
      <c r="N15" s="11"/>
      <c r="O15" s="23"/>
      <c r="P15" s="23"/>
      <c r="Q15" s="72">
        <f t="shared" ref="Q15:S15" si="19">1/((1/Q13)+(1/Q14))</f>
        <v>5764.5140913684982</v>
      </c>
      <c r="R15" s="73">
        <f t="shared" si="19"/>
        <v>5764.5140913684982</v>
      </c>
      <c r="S15" s="74">
        <f t="shared" si="19"/>
        <v>5764.5140913684982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6" hidden="1" x14ac:dyDescent="0.35">
      <c r="A16" s="16" t="s">
        <v>10</v>
      </c>
      <c r="B16" s="28"/>
      <c r="C16" s="66">
        <f>2*PI()*C3*1000000</f>
        <v>18840131143.577991</v>
      </c>
      <c r="D16" s="67">
        <f t="shared" ref="D16:E16" si="20">2*PI()*D3*1000000</f>
        <v>18840131143.577991</v>
      </c>
      <c r="E16" s="68">
        <f t="shared" si="20"/>
        <v>18840131143.577991</v>
      </c>
      <c r="F16" s="102">
        <f>2*PI()*F3*1000000</f>
        <v>18840131143.577991</v>
      </c>
      <c r="G16" s="102">
        <f>2*PI()*G3*1000000</f>
        <v>18840131143.577991</v>
      </c>
      <c r="H16" s="103">
        <f>2*PI()*H3*1000000</f>
        <v>18840131143.577991</v>
      </c>
      <c r="I16" s="17"/>
      <c r="J16" s="66">
        <f t="shared" ref="J16:L16" si="21">2*PI()*J3*1000000</f>
        <v>18840131143.577991</v>
      </c>
      <c r="K16" s="67">
        <f t="shared" si="21"/>
        <v>18840131143.577991</v>
      </c>
      <c r="L16" s="68">
        <f t="shared" si="21"/>
        <v>18840131143.577991</v>
      </c>
      <c r="M16" s="17"/>
      <c r="N16" s="17"/>
      <c r="O16" s="34"/>
      <c r="P16" s="34"/>
      <c r="Q16" s="66">
        <f t="shared" ref="Q16:S16" si="22">2*PI()*Q3*1000000</f>
        <v>18840131143.577991</v>
      </c>
      <c r="R16" s="67">
        <f t="shared" si="22"/>
        <v>18840131143.577991</v>
      </c>
      <c r="S16" s="68">
        <f t="shared" si="22"/>
        <v>18840131143.577991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idden="1" x14ac:dyDescent="0.3">
      <c r="A17" s="15" t="s">
        <v>11</v>
      </c>
      <c r="B17" s="18"/>
      <c r="C17" s="81">
        <f t="shared" ref="C17" si="23">C14/C13</f>
        <v>1.1010466252740385</v>
      </c>
      <c r="D17" s="82">
        <f t="shared" ref="D17:E17" si="24">D14/D13</f>
        <v>1.1010466252740385</v>
      </c>
      <c r="E17" s="83">
        <f t="shared" si="24"/>
        <v>1.1010466252740385</v>
      </c>
      <c r="F17" s="104" t="e">
        <f t="shared" ref="F17:G17" si="25">F14/F13</f>
        <v>#DIV/0!</v>
      </c>
      <c r="G17" s="104" t="e">
        <f t="shared" si="25"/>
        <v>#DIV/0!</v>
      </c>
      <c r="H17" s="105" t="e">
        <f t="shared" ref="H17" si="26">H14/H13</f>
        <v>#DIV/0!</v>
      </c>
      <c r="I17" s="19"/>
      <c r="J17" s="81">
        <f t="shared" ref="J17:L17" si="27">J14/J13</f>
        <v>1.1010466252740385</v>
      </c>
      <c r="K17" s="82">
        <f t="shared" si="27"/>
        <v>1.1010466252740385</v>
      </c>
      <c r="L17" s="83">
        <f t="shared" si="27"/>
        <v>1.1010466252740385</v>
      </c>
      <c r="M17" s="19"/>
      <c r="N17" s="19"/>
      <c r="O17" s="36"/>
      <c r="P17" s="36"/>
      <c r="Q17" s="81">
        <f t="shared" ref="Q17:S17" si="28">Q14/Q13</f>
        <v>1.1010466252740385</v>
      </c>
      <c r="R17" s="82">
        <f t="shared" si="28"/>
        <v>1.1010466252740385</v>
      </c>
      <c r="S17" s="83">
        <f t="shared" si="28"/>
        <v>1.1010466252740385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idden="1" x14ac:dyDescent="0.3">
      <c r="A18" s="20" t="s">
        <v>12</v>
      </c>
      <c r="B18" s="9"/>
      <c r="C18" s="69">
        <f t="shared" ref="C18" si="29">(C16/C15)/1000000</f>
        <v>3.268294750426282</v>
      </c>
      <c r="D18" s="70">
        <f t="shared" ref="D18:E18" si="30">(D16/D15)/1000000</f>
        <v>3.268294750426282</v>
      </c>
      <c r="E18" s="71">
        <f t="shared" si="30"/>
        <v>3.268294750426282</v>
      </c>
      <c r="F18" s="106" t="e">
        <f t="shared" ref="F18:G18" si="31">(F16/F15)/1000000</f>
        <v>#DIV/0!</v>
      </c>
      <c r="G18" s="106" t="e">
        <f t="shared" si="31"/>
        <v>#DIV/0!</v>
      </c>
      <c r="H18" s="107" t="e">
        <f t="shared" ref="H18" si="32">(H16/H15)/1000000</f>
        <v>#DIV/0!</v>
      </c>
      <c r="I18" s="8"/>
      <c r="J18" s="69">
        <f t="shared" ref="J18:L18" si="33">(J16/J15)/1000000</f>
        <v>3.268294750426282</v>
      </c>
      <c r="K18" s="70">
        <f t="shared" si="33"/>
        <v>3.268294750426282</v>
      </c>
      <c r="L18" s="71">
        <f t="shared" si="33"/>
        <v>3.268294750426282</v>
      </c>
      <c r="M18" s="8"/>
      <c r="N18" s="8"/>
      <c r="O18" s="33"/>
      <c r="P18" s="33"/>
      <c r="Q18" s="69">
        <f t="shared" ref="Q18:S18" si="34">(Q16/Q15)/1000000</f>
        <v>3.268294750426282</v>
      </c>
      <c r="R18" s="70">
        <f t="shared" si="34"/>
        <v>3.268294750426282</v>
      </c>
      <c r="S18" s="71">
        <f t="shared" si="34"/>
        <v>3.268294750426282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idden="1" x14ac:dyDescent="0.3">
      <c r="A19" s="15" t="s">
        <v>13</v>
      </c>
      <c r="B19" s="21"/>
      <c r="C19" s="84">
        <f>4*C15^2*C27*(1-EXP(-C16/(2*C15)))^2/(C16*C13)</f>
        <v>1.5091078649841136E-5</v>
      </c>
      <c r="D19" s="85">
        <f t="shared" ref="D19:E19" si="35">4*D15^2*D27*(1-EXP(-D16/(2*D15)))^2/(D16*D13)</f>
        <v>1.1686531306436976E-5</v>
      </c>
      <c r="E19" s="86">
        <f t="shared" si="35"/>
        <v>1.0648265095327909E-5</v>
      </c>
      <c r="F19" s="85" t="e">
        <f t="shared" ref="F19:G19" si="36">4*F15^2*F27*(1-EXP(-F16/(2*F15)))^2/(F16*F13)</f>
        <v>#DIV/0!</v>
      </c>
      <c r="G19" s="85" t="e">
        <f t="shared" si="36"/>
        <v>#DIV/0!</v>
      </c>
      <c r="H19" s="86" t="e">
        <f>4*H15^2*H27*(1-EXP(-H16/(2*H15)))^2/(H16*H13)</f>
        <v>#DIV/0!</v>
      </c>
      <c r="I19" s="22"/>
      <c r="J19" s="84">
        <f t="shared" ref="J19:L19" si="37">4*J15^2*J27*(1-EXP(-J16/(2*J15)))^2/(J16*J13)</f>
        <v>1.5091078649841136E-5</v>
      </c>
      <c r="K19" s="85">
        <f t="shared" si="37"/>
        <v>1.1686531306436976E-5</v>
      </c>
      <c r="L19" s="86">
        <f t="shared" si="37"/>
        <v>1.0648265095327909E-5</v>
      </c>
      <c r="M19" s="22"/>
      <c r="N19" s="22"/>
      <c r="O19" s="37"/>
      <c r="P19" s="37"/>
      <c r="Q19" s="84">
        <f t="shared" ref="Q19:S19" si="38">4*Q15^2*Q27*(1-EXP(-Q16/(2*Q15)))^2/(Q16*Q13)</f>
        <v>1.5091078649841136E-5</v>
      </c>
      <c r="R19" s="85">
        <f t="shared" si="38"/>
        <v>1.1686531306436976E-5</v>
      </c>
      <c r="S19" s="86">
        <f t="shared" si="38"/>
        <v>1.0648265095327909E-5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5" t="s">
        <v>14</v>
      </c>
      <c r="B20" s="9"/>
      <c r="C20" s="78">
        <v>540</v>
      </c>
      <c r="D20" s="79">
        <v>540</v>
      </c>
      <c r="E20" s="80">
        <v>540</v>
      </c>
      <c r="F20" s="45">
        <v>995</v>
      </c>
      <c r="G20" s="45">
        <v>995</v>
      </c>
      <c r="H20" s="80">
        <v>995</v>
      </c>
      <c r="I20" s="8"/>
      <c r="J20" s="78">
        <v>540</v>
      </c>
      <c r="K20" s="79">
        <v>540</v>
      </c>
      <c r="L20" s="80">
        <v>540</v>
      </c>
      <c r="M20" s="8"/>
      <c r="N20" s="8"/>
      <c r="O20" s="45">
        <v>800</v>
      </c>
      <c r="P20" s="45">
        <v>800</v>
      </c>
      <c r="Q20" s="78">
        <v>540</v>
      </c>
      <c r="R20" s="79">
        <v>540</v>
      </c>
      <c r="S20" s="80">
        <v>540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20" t="s">
        <v>15</v>
      </c>
      <c r="B21" s="18"/>
      <c r="C21" s="81">
        <v>1</v>
      </c>
      <c r="D21" s="82">
        <v>1</v>
      </c>
      <c r="E21" s="83">
        <v>1</v>
      </c>
      <c r="F21" s="104">
        <v>3</v>
      </c>
      <c r="G21" s="104">
        <v>3</v>
      </c>
      <c r="H21" s="105">
        <v>3</v>
      </c>
      <c r="I21" s="18"/>
      <c r="J21" s="81">
        <v>1</v>
      </c>
      <c r="K21" s="82">
        <v>1</v>
      </c>
      <c r="L21" s="83">
        <v>1</v>
      </c>
      <c r="M21" s="18"/>
      <c r="N21" s="10"/>
      <c r="O21" s="23">
        <v>3</v>
      </c>
      <c r="P21" s="23">
        <v>3</v>
      </c>
      <c r="Q21" s="81">
        <v>1</v>
      </c>
      <c r="R21" s="82">
        <v>1</v>
      </c>
      <c r="S21" s="83">
        <v>1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20" t="s">
        <v>16</v>
      </c>
      <c r="B22" s="10"/>
      <c r="C22" s="72">
        <v>400</v>
      </c>
      <c r="D22" s="73">
        <v>400</v>
      </c>
      <c r="E22" s="74">
        <v>400</v>
      </c>
      <c r="F22" s="76">
        <v>400</v>
      </c>
      <c r="G22" s="76">
        <v>400</v>
      </c>
      <c r="H22" s="77">
        <v>400</v>
      </c>
      <c r="I22" s="10"/>
      <c r="J22" s="72">
        <v>100</v>
      </c>
      <c r="K22" s="73">
        <v>100</v>
      </c>
      <c r="L22" s="74">
        <v>100</v>
      </c>
      <c r="M22" s="10"/>
      <c r="N22" s="10"/>
      <c r="O22" s="23">
        <v>10</v>
      </c>
      <c r="P22" s="23">
        <v>10</v>
      </c>
      <c r="Q22" s="72">
        <v>50</v>
      </c>
      <c r="R22" s="73">
        <v>50</v>
      </c>
      <c r="S22" s="74">
        <v>50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6" customFormat="1" ht="15.6" x14ac:dyDescent="0.35">
      <c r="A23" s="26" t="s">
        <v>18</v>
      </c>
      <c r="B23" s="10"/>
      <c r="C23" s="133">
        <v>25</v>
      </c>
      <c r="D23" s="134">
        <v>22</v>
      </c>
      <c r="E23" s="135">
        <v>21</v>
      </c>
      <c r="F23" s="79">
        <v>25</v>
      </c>
      <c r="G23" s="79">
        <v>22.1</v>
      </c>
      <c r="H23" s="80">
        <v>21</v>
      </c>
      <c r="I23" s="11"/>
      <c r="J23" s="133">
        <v>25</v>
      </c>
      <c r="K23" s="134">
        <v>22</v>
      </c>
      <c r="L23" s="135">
        <v>21</v>
      </c>
      <c r="M23" s="11"/>
      <c r="N23" s="23"/>
      <c r="O23" s="36">
        <f t="shared" ref="O23" si="39">O24/O8</f>
        <v>20.003838789033178</v>
      </c>
      <c r="P23" s="36">
        <f t="shared" ref="P23" si="40">P24/P8</f>
        <v>40.007677578066357</v>
      </c>
      <c r="Q23" s="133">
        <v>25</v>
      </c>
      <c r="R23" s="134">
        <v>22</v>
      </c>
      <c r="S23" s="135">
        <v>21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 ht="15.6" x14ac:dyDescent="0.35">
      <c r="A24" t="s">
        <v>17</v>
      </c>
      <c r="B24" s="10"/>
      <c r="C24" s="81">
        <f>C23*C8</f>
        <v>50.823578283586237</v>
      </c>
      <c r="D24" s="82">
        <f t="shared" ref="D24" si="41">D23*D8</f>
        <v>44.724748889555883</v>
      </c>
      <c r="E24" s="83">
        <f t="shared" ref="E24:G24" si="42">E23*E8</f>
        <v>42.691805758212439</v>
      </c>
      <c r="F24" s="104">
        <f t="shared" si="42"/>
        <v>50.823578283586237</v>
      </c>
      <c r="G24" s="104">
        <f t="shared" si="42"/>
        <v>44.928043202690233</v>
      </c>
      <c r="H24" s="105">
        <f>H23*H8</f>
        <v>42.691805758212439</v>
      </c>
      <c r="I24" s="11"/>
      <c r="J24" s="81">
        <f t="shared" ref="J24:L24" si="43">J23*J8</f>
        <v>50.823578283586237</v>
      </c>
      <c r="K24" s="82">
        <f t="shared" si="43"/>
        <v>44.724748889555883</v>
      </c>
      <c r="L24" s="83">
        <f t="shared" si="43"/>
        <v>42.691805758212439</v>
      </c>
      <c r="M24" s="11"/>
      <c r="N24" s="11"/>
      <c r="O24" s="38">
        <v>10</v>
      </c>
      <c r="P24" s="38">
        <v>20</v>
      </c>
      <c r="Q24" s="81">
        <f t="shared" ref="Q24:S24" si="44">Q23*Q8</f>
        <v>50.823578283586237</v>
      </c>
      <c r="R24" s="82">
        <f t="shared" si="44"/>
        <v>44.724748889555883</v>
      </c>
      <c r="S24" s="83">
        <f t="shared" si="44"/>
        <v>42.691805758212439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t="s">
        <v>29</v>
      </c>
      <c r="B25" s="9"/>
      <c r="C25" s="122">
        <v>0.42</v>
      </c>
      <c r="D25" s="123">
        <v>0.42</v>
      </c>
      <c r="E25" s="124">
        <v>0.42</v>
      </c>
      <c r="F25" s="108">
        <f>2*PI()*F3*1000000*F20*0.000000001/(2*F14)</f>
        <v>0.62486434959533677</v>
      </c>
      <c r="G25" s="108">
        <f>2*PI()*G3*1000000*G20*0.000000001/(2*G14)</f>
        <v>0.62486434959533677</v>
      </c>
      <c r="H25" s="109">
        <f>2*PI()*H3*1000000*H20*0.000000001/(2*H14)</f>
        <v>0.62486434959533677</v>
      </c>
      <c r="I25" s="8"/>
      <c r="J25" s="122">
        <v>0.42</v>
      </c>
      <c r="K25" s="123">
        <v>0.42</v>
      </c>
      <c r="L25" s="124">
        <v>0.42</v>
      </c>
      <c r="M25" s="8"/>
      <c r="N25" s="8"/>
      <c r="O25" s="39"/>
      <c r="P25" s="39"/>
      <c r="Q25" s="122">
        <v>0.42</v>
      </c>
      <c r="R25" s="123">
        <v>0.42</v>
      </c>
      <c r="S25" s="124">
        <v>0.42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6" customFormat="1" ht="16.8" x14ac:dyDescent="0.35">
      <c r="A26" s="26" t="s">
        <v>33</v>
      </c>
      <c r="B26" s="9"/>
      <c r="C26" s="69"/>
      <c r="D26" s="70"/>
      <c r="E26" s="71"/>
      <c r="F26" s="108"/>
      <c r="G26" s="108"/>
      <c r="H26" s="109"/>
      <c r="I26" s="8"/>
      <c r="J26" s="69"/>
      <c r="K26" s="70"/>
      <c r="L26" s="71"/>
      <c r="M26" s="8"/>
      <c r="N26" s="8"/>
      <c r="O26" s="39"/>
      <c r="P26" s="39"/>
      <c r="Q26" s="69"/>
      <c r="R26" s="70"/>
      <c r="S26" s="71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s="49" customFormat="1" ht="15.6" x14ac:dyDescent="0.35">
      <c r="A27" s="49" t="s">
        <v>19</v>
      </c>
      <c r="B27" s="50"/>
      <c r="C27" s="87">
        <f>((C24*1000000)^2/C11)/1000000</f>
        <v>23.529434390549181</v>
      </c>
      <c r="D27" s="88">
        <f>((D24*1000000)^2/D11)/1000000</f>
        <v>18.221193992041286</v>
      </c>
      <c r="E27" s="89">
        <f>((E24*1000000)^2/E11)/1000000</f>
        <v>16.602368905971506</v>
      </c>
      <c r="F27" s="88">
        <f t="shared" ref="F27:G27" si="45">((F24*1000000)^2/F11)/1000000</f>
        <v>20.49337834015574</v>
      </c>
      <c r="G27" s="88">
        <f t="shared" si="45"/>
        <v>16.014673464184746</v>
      </c>
      <c r="H27" s="89">
        <f>((H24*1000000)^2/H11)/1000000</f>
        <v>14.460127756813892</v>
      </c>
      <c r="I27" s="52"/>
      <c r="J27" s="87">
        <f>((J24*1000000)^2/J11)/1000000</f>
        <v>23.529434390549181</v>
      </c>
      <c r="K27" s="88">
        <f>((K24*1000000)^2/K11)/1000000</f>
        <v>18.221193992041286</v>
      </c>
      <c r="L27" s="89">
        <f>((L24*1000000)^2/L11)/1000000</f>
        <v>16.602368905971506</v>
      </c>
      <c r="M27" s="52"/>
      <c r="N27" s="52"/>
      <c r="O27" s="51">
        <f>((O24*1000000)^2/(2*O11))/1000000</f>
        <v>20.833333333333332</v>
      </c>
      <c r="P27" s="51">
        <f>((P24*1000000)^2/(2*P11))/1000000</f>
        <v>83.333333333333329</v>
      </c>
      <c r="Q27" s="87">
        <f>((Q24*1000000)^2/Q11)/1000000</f>
        <v>23.529434390549181</v>
      </c>
      <c r="R27" s="88">
        <f>((R24*1000000)^2/R11)/1000000</f>
        <v>18.221193992041286</v>
      </c>
      <c r="S27" s="89">
        <f>((S24*1000000)^2/S11)/1000000</f>
        <v>16.602368905971506</v>
      </c>
      <c r="T27" s="50"/>
      <c r="U27" s="50"/>
      <c r="V27" s="50"/>
      <c r="W27" s="50"/>
      <c r="X27" s="53"/>
      <c r="Y27" s="53"/>
      <c r="Z27" s="50"/>
      <c r="AA27" s="50"/>
      <c r="AB27" s="50"/>
      <c r="AC27" s="50"/>
    </row>
    <row r="28" spans="1:29" s="40" customFormat="1" ht="15.6" x14ac:dyDescent="0.35">
      <c r="A28" s="40" t="s">
        <v>35</v>
      </c>
      <c r="B28" s="41"/>
      <c r="C28" s="69">
        <f>C27*C21*0.000001*C22*1000</f>
        <v>9.4117737562196719</v>
      </c>
      <c r="D28" s="70">
        <f>D27*D21*0.000001*D22*1000</f>
        <v>7.2884775968165147</v>
      </c>
      <c r="E28" s="71">
        <f>E27*E21*0.000001*E22*1000</f>
        <v>6.640947562388603</v>
      </c>
      <c r="F28" s="106">
        <f t="shared" ref="F28:G28" si="46">F27*F21*0.000001*F22*1000</f>
        <v>24.592054008186889</v>
      </c>
      <c r="G28" s="106">
        <f t="shared" si="46"/>
        <v>19.217608157021694</v>
      </c>
      <c r="H28" s="107">
        <f t="shared" ref="H28" si="47">H27*H21*0.000001*H22*1000</f>
        <v>17.352153308176668</v>
      </c>
      <c r="I28" s="43"/>
      <c r="J28" s="69">
        <f>J27*J21*0.000001*J22*1000</f>
        <v>2.352943439054918</v>
      </c>
      <c r="K28" s="70">
        <f>K27*K21*0.000001*K22*1000</f>
        <v>1.8221193992041287</v>
      </c>
      <c r="L28" s="71">
        <f>L27*L21*0.000001*L22*1000</f>
        <v>1.6602368905971507</v>
      </c>
      <c r="M28" s="43"/>
      <c r="N28" s="43"/>
      <c r="O28" s="33">
        <f t="shared" ref="O28" si="48">O27*O21*0.000001*O22*1000</f>
        <v>0.625</v>
      </c>
      <c r="P28" s="33">
        <f t="shared" ref="P28" si="49">P27*P21*0.000001*P22*1000</f>
        <v>2.5</v>
      </c>
      <c r="Q28" s="69">
        <f>Q27*Q21*0.000001*Q22*1000</f>
        <v>1.176471719527459</v>
      </c>
      <c r="R28" s="70">
        <f>R27*R21*0.000001*R22*1000</f>
        <v>0.91105969960206434</v>
      </c>
      <c r="S28" s="71">
        <f>S27*S21*0.000001*S22*1000</f>
        <v>0.83011844529857537</v>
      </c>
      <c r="T28" s="41"/>
      <c r="U28" s="41"/>
      <c r="V28" s="41"/>
      <c r="W28" s="41"/>
      <c r="X28" s="44"/>
      <c r="Y28" s="44"/>
      <c r="Z28" s="41"/>
      <c r="AA28" s="41"/>
      <c r="AB28" s="41"/>
      <c r="AC28" s="41"/>
    </row>
    <row r="29" spans="1:29" s="49" customFormat="1" ht="15.6" x14ac:dyDescent="0.35">
      <c r="A29" s="49" t="s">
        <v>30</v>
      </c>
      <c r="B29" s="50"/>
      <c r="C29" s="87">
        <f>C27/(1-EXP(-2*C25))</f>
        <v>41.403959356289079</v>
      </c>
      <c r="D29" s="88">
        <f>D27/(1-EXP(-2*D25))</f>
        <v>32.063226125510262</v>
      </c>
      <c r="E29" s="89">
        <f>E27/(1-EXP(-2*E25))</f>
        <v>29.214633721797583</v>
      </c>
      <c r="F29" s="88">
        <f t="shared" ref="F29:G29" si="50">F27/(1-EXP(-2*F25))</f>
        <v>28.725647163737062</v>
      </c>
      <c r="G29" s="88">
        <f t="shared" si="50"/>
        <v>22.447829329985311</v>
      </c>
      <c r="H29" s="89">
        <f>H27/(1-EXP(-2*H25))</f>
        <v>20.268816638732872</v>
      </c>
      <c r="I29" s="52"/>
      <c r="J29" s="87">
        <f>J27/(1-EXP(-2*J25))</f>
        <v>41.403959356289079</v>
      </c>
      <c r="K29" s="88">
        <f>K27/(1-EXP(-2*K25))</f>
        <v>32.063226125510262</v>
      </c>
      <c r="L29" s="89">
        <f>L27/(1-EXP(-2*L25))</f>
        <v>29.214633721797583</v>
      </c>
      <c r="M29" s="52"/>
      <c r="N29" s="52"/>
      <c r="O29" s="51">
        <f>O27</f>
        <v>20.833333333333332</v>
      </c>
      <c r="P29" s="51">
        <f>P27</f>
        <v>83.333333333333329</v>
      </c>
      <c r="Q29" s="87">
        <f>Q27/(1-EXP(-2*Q25))</f>
        <v>41.403959356289079</v>
      </c>
      <c r="R29" s="88">
        <f>R27/(1-EXP(-2*R25))</f>
        <v>32.063226125510262</v>
      </c>
      <c r="S29" s="89">
        <f>S27/(1-EXP(-2*S25))</f>
        <v>29.214633721797583</v>
      </c>
      <c r="T29" s="50"/>
      <c r="U29" s="50"/>
      <c r="V29" s="50"/>
      <c r="W29" s="50"/>
      <c r="X29" s="53"/>
      <c r="Y29" s="53"/>
      <c r="Z29" s="50"/>
      <c r="AA29" s="50"/>
      <c r="AB29" s="50"/>
      <c r="AC29" s="50"/>
    </row>
    <row r="30" spans="1:29" ht="15.6" x14ac:dyDescent="0.35">
      <c r="A30" s="20" t="s">
        <v>20</v>
      </c>
      <c r="C30" s="69">
        <f>C29*C21*0.000001*C22*1000</f>
        <v>16.56158374251563</v>
      </c>
      <c r="D30" s="70">
        <f>D29*D21*0.000001*D22*1000</f>
        <v>12.825290450204102</v>
      </c>
      <c r="E30" s="71">
        <f>E29*E21*0.000001*E22*1000</f>
        <v>11.685853488719031</v>
      </c>
      <c r="F30" s="106">
        <f t="shared" ref="F30:G30" si="51">F29*F21*0.000001*F22*1000</f>
        <v>34.47077659648447</v>
      </c>
      <c r="G30" s="106">
        <f t="shared" si="51"/>
        <v>26.937395195982372</v>
      </c>
      <c r="H30" s="107">
        <f>H29*H21*0.000001*H22*1000</f>
        <v>24.322579966479445</v>
      </c>
      <c r="I30" s="9"/>
      <c r="J30" s="69">
        <f>J29*J21*0.000001*J22*1000</f>
        <v>4.1403959356289075</v>
      </c>
      <c r="K30" s="70">
        <f>K29*K21*0.000001*K22*1000</f>
        <v>3.2063226125510256</v>
      </c>
      <c r="L30" s="71">
        <f>L29*L21*0.000001*L22*1000</f>
        <v>2.9214633721797578</v>
      </c>
      <c r="M30" s="9"/>
      <c r="N30" s="9"/>
      <c r="O30" s="33">
        <f>O29*O21*0.000001*O22*1000</f>
        <v>0.625</v>
      </c>
      <c r="P30" s="42">
        <f>P29*P21*0.000001*P22*1000</f>
        <v>2.5</v>
      </c>
      <c r="Q30" s="69">
        <f>Q29*Q21*0.000001*Q22*1000</f>
        <v>2.0701979678144538</v>
      </c>
      <c r="R30" s="70">
        <f>R29*R21*0.000001*R22*1000</f>
        <v>1.6031613062755128</v>
      </c>
      <c r="S30" s="71">
        <f>S29*S21*0.000001*S22*1000</f>
        <v>1.4607316860898789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9" s="26" customFormat="1" x14ac:dyDescent="0.3">
      <c r="A31" s="20" t="s">
        <v>40</v>
      </c>
      <c r="B31" s="27"/>
      <c r="C31" s="136">
        <v>17</v>
      </c>
      <c r="D31" s="73">
        <f>$C31</f>
        <v>17</v>
      </c>
      <c r="E31" s="74">
        <f>$C31</f>
        <v>17</v>
      </c>
      <c r="F31" s="76"/>
      <c r="G31" s="76"/>
      <c r="H31" s="77"/>
      <c r="I31" s="10"/>
      <c r="J31" s="72">
        <f>$C31</f>
        <v>17</v>
      </c>
      <c r="K31" s="73">
        <f>$C31</f>
        <v>17</v>
      </c>
      <c r="L31" s="74">
        <f>$C31</f>
        <v>17</v>
      </c>
      <c r="M31" s="9"/>
      <c r="N31" s="9"/>
      <c r="O31" s="33"/>
      <c r="P31" s="42"/>
      <c r="Q31" s="72">
        <f>$C31</f>
        <v>17</v>
      </c>
      <c r="R31" s="73">
        <f>$C31</f>
        <v>17</v>
      </c>
      <c r="S31" s="74">
        <f>$C31</f>
        <v>17</v>
      </c>
      <c r="T31" s="27"/>
      <c r="U31" s="27"/>
      <c r="V31" s="27"/>
      <c r="W31" s="27"/>
      <c r="X31" s="27"/>
      <c r="Y31" s="27"/>
      <c r="Z31" s="27"/>
      <c r="AA31" s="27"/>
      <c r="AB31" s="27"/>
    </row>
    <row r="32" spans="1:29" s="112" customFormat="1" x14ac:dyDescent="0.3">
      <c r="A32" s="112" t="s">
        <v>21</v>
      </c>
      <c r="B32" s="113"/>
      <c r="C32" s="115">
        <f>C29*(1+C31/100)</f>
        <v>48.442632446858219</v>
      </c>
      <c r="D32" s="116">
        <f>D29*(1+D31/100)</f>
        <v>37.513974566847004</v>
      </c>
      <c r="E32" s="117">
        <f>E29*(1+E31/100)</f>
        <v>34.18112145450317</v>
      </c>
      <c r="F32" s="116">
        <f>F29*1.3</f>
        <v>37.343341312858179</v>
      </c>
      <c r="G32" s="116">
        <f>G29*1.3</f>
        <v>29.182178128980905</v>
      </c>
      <c r="H32" s="117">
        <f>H29*1.3</f>
        <v>26.349461630352735</v>
      </c>
      <c r="I32" s="113"/>
      <c r="J32" s="115">
        <f>J29*(1+J31/100)</f>
        <v>48.442632446858219</v>
      </c>
      <c r="K32" s="116">
        <f>K29*(1+K31/100)</f>
        <v>37.513974566847004</v>
      </c>
      <c r="L32" s="117">
        <f>L29*(1+L31/100)</f>
        <v>34.18112145450317</v>
      </c>
      <c r="M32" s="113"/>
      <c r="N32" s="113"/>
      <c r="O32" s="114">
        <f>O29*1.3</f>
        <v>27.083333333333332</v>
      </c>
      <c r="P32" s="114">
        <f>P29*1.3</f>
        <v>108.33333333333333</v>
      </c>
      <c r="Q32" s="115">
        <f>Q29*(1+Q31/100)</f>
        <v>48.442632446858219</v>
      </c>
      <c r="R32" s="116">
        <f>R29*(1+R31/100)</f>
        <v>37.513974566847004</v>
      </c>
      <c r="S32" s="117">
        <f>S29*(1+S31/100)</f>
        <v>34.18112145450317</v>
      </c>
      <c r="T32" s="113"/>
      <c r="U32" s="113"/>
      <c r="V32" s="113"/>
      <c r="W32" s="113"/>
      <c r="X32" s="118"/>
      <c r="Y32" s="118"/>
      <c r="Z32" s="113"/>
      <c r="AA32" s="113"/>
      <c r="AB32" s="113"/>
      <c r="AC32" s="113"/>
    </row>
    <row r="33" spans="1:29" s="112" customFormat="1" x14ac:dyDescent="0.3">
      <c r="A33" s="119" t="s">
        <v>22</v>
      </c>
      <c r="B33" s="113"/>
      <c r="C33" s="115">
        <f>C30*(1+C31/100)</f>
        <v>19.377052978743286</v>
      </c>
      <c r="D33" s="116">
        <f t="shared" ref="D33:E33" si="52">D30*(1+D31/100)</f>
        <v>15.005589826738799</v>
      </c>
      <c r="E33" s="117">
        <f t="shared" si="52"/>
        <v>13.672448581801266</v>
      </c>
      <c r="F33" s="116">
        <f>F30*1.3</f>
        <v>44.812009575429812</v>
      </c>
      <c r="G33" s="116">
        <f>G30*1.3</f>
        <v>35.018613754777085</v>
      </c>
      <c r="H33" s="117">
        <f>H30*1.3</f>
        <v>31.619353956423279</v>
      </c>
      <c r="I33" s="113"/>
      <c r="J33" s="115">
        <f t="shared" ref="J33:L33" si="53">J30*(1+J31/100)</f>
        <v>4.8442632446858216</v>
      </c>
      <c r="K33" s="116">
        <f t="shared" si="53"/>
        <v>3.7513974566846997</v>
      </c>
      <c r="L33" s="117">
        <f t="shared" si="53"/>
        <v>3.4181121454503165</v>
      </c>
      <c r="M33" s="113"/>
      <c r="N33" s="113"/>
      <c r="O33" s="114">
        <f>O30*1.3</f>
        <v>0.8125</v>
      </c>
      <c r="P33" s="114">
        <f>P30*1.3</f>
        <v>3.25</v>
      </c>
      <c r="Q33" s="115">
        <f t="shared" ref="Q33:S33" si="54">Q30*(1+Q31/100)</f>
        <v>2.4221316223429108</v>
      </c>
      <c r="R33" s="116">
        <f t="shared" si="54"/>
        <v>1.8756987283423499</v>
      </c>
      <c r="S33" s="117">
        <f t="shared" si="54"/>
        <v>1.7090560727251582</v>
      </c>
      <c r="T33" s="113"/>
      <c r="U33" s="113"/>
      <c r="V33" s="113"/>
      <c r="W33" s="113"/>
      <c r="X33" s="118"/>
      <c r="Y33" s="118"/>
      <c r="Z33" s="113"/>
      <c r="AA33" s="113"/>
      <c r="AB33" s="113"/>
      <c r="AC33" s="113"/>
    </row>
    <row r="34" spans="1:29" x14ac:dyDescent="0.3">
      <c r="A34" s="20" t="s">
        <v>31</v>
      </c>
      <c r="C34" s="69">
        <f t="shared" ref="C34:E35" si="55">C32/0.4</f>
        <v>121.10658111714554</v>
      </c>
      <c r="D34" s="70">
        <f t="shared" si="55"/>
        <v>93.784936417117507</v>
      </c>
      <c r="E34" s="71">
        <f t="shared" si="55"/>
        <v>85.452803636257926</v>
      </c>
      <c r="F34" s="106">
        <f t="shared" ref="F34:G34" si="56">F32/0.4</f>
        <v>93.358353282145444</v>
      </c>
      <c r="G34" s="106">
        <f t="shared" si="56"/>
        <v>72.955445322452263</v>
      </c>
      <c r="H34" s="107">
        <f>H32/0.4</f>
        <v>65.873654075881831</v>
      </c>
      <c r="J34" s="69">
        <f t="shared" ref="J34:L35" si="57">J32/0.4</f>
        <v>121.10658111714554</v>
      </c>
      <c r="K34" s="70">
        <f t="shared" si="57"/>
        <v>93.784936417117507</v>
      </c>
      <c r="L34" s="71">
        <f t="shared" si="57"/>
        <v>85.452803636257926</v>
      </c>
      <c r="O34" s="33">
        <f>O32/0.4</f>
        <v>67.708333333333329</v>
      </c>
      <c r="P34" s="42">
        <f>P32/0.4</f>
        <v>270.83333333333331</v>
      </c>
      <c r="Q34" s="69">
        <f t="shared" ref="Q34:S34" si="58">Q32/0.4</f>
        <v>121.10658111714554</v>
      </c>
      <c r="R34" s="70">
        <f t="shared" si="58"/>
        <v>93.784936417117507</v>
      </c>
      <c r="S34" s="71">
        <f t="shared" si="58"/>
        <v>85.452803636257926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9" x14ac:dyDescent="0.3">
      <c r="A35" s="20" t="s">
        <v>32</v>
      </c>
      <c r="C35" s="90">
        <f t="shared" si="55"/>
        <v>48.442632446858212</v>
      </c>
      <c r="D35" s="91">
        <f t="shared" si="55"/>
        <v>37.513974566846997</v>
      </c>
      <c r="E35" s="92">
        <f t="shared" si="55"/>
        <v>34.181121454503163</v>
      </c>
      <c r="F35" s="110">
        <f t="shared" ref="F35:G35" si="59">F33/0.4</f>
        <v>112.03002393857453</v>
      </c>
      <c r="G35" s="110">
        <f t="shared" si="59"/>
        <v>87.54653438694271</v>
      </c>
      <c r="H35" s="111">
        <f>H33/0.4</f>
        <v>79.048384891058191</v>
      </c>
      <c r="J35" s="90">
        <f t="shared" si="57"/>
        <v>12.110658111714553</v>
      </c>
      <c r="K35" s="91">
        <f t="shared" si="57"/>
        <v>9.3784936417117493</v>
      </c>
      <c r="L35" s="92">
        <f t="shared" si="57"/>
        <v>8.5452803636257908</v>
      </c>
      <c r="N35" s="24"/>
      <c r="O35" s="33">
        <f>O33/0.4</f>
        <v>2.03125</v>
      </c>
      <c r="P35" s="42">
        <f>P33/0.4</f>
        <v>8.125</v>
      </c>
      <c r="Q35" s="90">
        <f t="shared" ref="Q35:S35" si="60">Q33/0.4</f>
        <v>6.0553290558572765</v>
      </c>
      <c r="R35" s="91">
        <f t="shared" si="60"/>
        <v>4.6892468208558746</v>
      </c>
      <c r="S35" s="92">
        <f t="shared" si="60"/>
        <v>4.2726401818128954</v>
      </c>
      <c r="U35" s="24"/>
    </row>
    <row r="36" spans="1:29" x14ac:dyDescent="0.3">
      <c r="A36" s="27"/>
      <c r="U36" s="24"/>
    </row>
    <row r="37" spans="1:29" x14ac:dyDescent="0.3">
      <c r="A37" s="120" t="s">
        <v>36</v>
      </c>
      <c r="C37" s="29">
        <v>45</v>
      </c>
      <c r="D37" s="29">
        <v>45</v>
      </c>
      <c r="E37" s="29">
        <v>45</v>
      </c>
      <c r="J37" s="29">
        <v>45</v>
      </c>
      <c r="K37" s="29">
        <v>45</v>
      </c>
      <c r="L37" s="29">
        <v>45</v>
      </c>
      <c r="Q37" s="29">
        <v>45</v>
      </c>
      <c r="R37" s="29">
        <v>45</v>
      </c>
      <c r="S37" s="29">
        <v>45</v>
      </c>
      <c r="U37" s="24"/>
    </row>
    <row r="38" spans="1:29" x14ac:dyDescent="0.3">
      <c r="A38" s="121" t="s">
        <v>37</v>
      </c>
      <c r="C38" s="29">
        <v>22</v>
      </c>
      <c r="D38" s="29">
        <v>22</v>
      </c>
      <c r="E38" s="29">
        <v>22</v>
      </c>
      <c r="J38" s="29">
        <v>22</v>
      </c>
      <c r="K38" s="29">
        <v>22</v>
      </c>
      <c r="L38" s="29">
        <v>22</v>
      </c>
      <c r="Q38" s="29">
        <v>22</v>
      </c>
      <c r="R38" s="29">
        <v>22</v>
      </c>
      <c r="S38" s="29">
        <v>22</v>
      </c>
    </row>
    <row r="39" spans="1:29" x14ac:dyDescent="0.3">
      <c r="A39" s="27"/>
      <c r="U39" s="25"/>
    </row>
    <row r="40" spans="1:29" x14ac:dyDescent="0.3">
      <c r="A40" s="27"/>
      <c r="E40" s="33"/>
    </row>
    <row r="41" spans="1:29" x14ac:dyDescent="0.3">
      <c r="A41" s="27"/>
    </row>
    <row r="42" spans="1:29" x14ac:dyDescent="0.3">
      <c r="A42" s="27"/>
    </row>
    <row r="43" spans="1:29" x14ac:dyDescent="0.3">
      <c r="A43" s="27"/>
    </row>
    <row r="44" spans="1:29" x14ac:dyDescent="0.3">
      <c r="A44" s="27"/>
    </row>
    <row r="45" spans="1:29" x14ac:dyDescent="0.3">
      <c r="A45" s="27"/>
    </row>
    <row r="46" spans="1:29" x14ac:dyDescent="0.3">
      <c r="A46" s="27"/>
    </row>
  </sheetData>
  <mergeCells count="4">
    <mergeCell ref="C1:E1"/>
    <mergeCell ref="F1:H1"/>
    <mergeCell ref="J1:L1"/>
    <mergeCell ref="Q1:S1"/>
  </mergeCells>
  <conditionalFormatting sqref="C32">
    <cfRule type="cellIs" dxfId="11" priority="6" operator="greaterThan">
      <formula>45</formula>
    </cfRule>
  </conditionalFormatting>
  <conditionalFormatting sqref="J32:L32 D32:E32">
    <cfRule type="cellIs" dxfId="9" priority="5" operator="greaterThan">
      <formula>45</formula>
    </cfRule>
  </conditionalFormatting>
  <conditionalFormatting sqref="C33">
    <cfRule type="cellIs" dxfId="7" priority="4" operator="greaterThan">
      <formula>22</formula>
    </cfRule>
  </conditionalFormatting>
  <conditionalFormatting sqref="J33:L33 D33:E33">
    <cfRule type="cellIs" dxfId="5" priority="3" operator="greaterThan">
      <formula>22</formula>
    </cfRule>
  </conditionalFormatting>
  <conditionalFormatting sqref="Q32:S32">
    <cfRule type="cellIs" dxfId="3" priority="2" operator="greaterThan">
      <formula>45</formula>
    </cfRule>
  </conditionalFormatting>
  <conditionalFormatting sqref="Q33:S33">
    <cfRule type="cellIs" dxfId="1" priority="1" operator="greaterThan">
      <formula>22</formula>
    </cfRule>
  </conditionalFormatting>
  <pageMargins left="0.25" right="0.25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Linac1</vt:lpstr>
      <vt:lpstr>Sheet3</vt:lpstr>
    </vt:vector>
  </TitlesOfParts>
  <Company>Daresbury Laboratory (STFC)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2015-07-29T08:34:43Z</cp:lastPrinted>
  <dcterms:created xsi:type="dcterms:W3CDTF">2013-03-27T09:49:33Z</dcterms:created>
  <dcterms:modified xsi:type="dcterms:W3CDTF">2017-09-11T10:32:12Z</dcterms:modified>
</cp:coreProperties>
</file>