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[IV SEMESTRE]\ECONOMIA DE LA INGENIERIA\SEGUNDO PARCIAL\"/>
    </mc:Choice>
  </mc:AlternateContent>
  <xr:revisionPtr revIDLastSave="0" documentId="13_ncr:1_{142302B7-061E-44D9-A801-8D2AF268C6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 Valores Relativos" sheetId="2" r:id="rId1"/>
    <sheet name="Con Valor absoluto de U" sheetId="1" r:id="rId2"/>
    <sheet name="Hoja3" sheetId="3" r:id="rId3"/>
  </sheets>
  <definedNames>
    <definedName name="_xlnm.Print_Area" localSheetId="1">'Con Valor absoluto de U'!$B$158:$J$186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2" l="1"/>
  <c r="I74" i="2"/>
  <c r="I73" i="2"/>
  <c r="I21" i="2"/>
  <c r="I20" i="2"/>
  <c r="I36" i="2"/>
  <c r="G141" i="1"/>
  <c r="E116" i="1"/>
  <c r="J84" i="1"/>
  <c r="I84" i="1"/>
  <c r="E87" i="1"/>
  <c r="I22" i="2"/>
  <c r="J83" i="1"/>
  <c r="E83" i="1"/>
  <c r="J17" i="2"/>
  <c r="D83" i="1"/>
  <c r="I16" i="2"/>
  <c r="I13" i="2"/>
  <c r="E46" i="2" l="1"/>
  <c r="E47" i="2" s="1"/>
  <c r="E44" i="2"/>
  <c r="I37" i="2"/>
  <c r="I14" i="2"/>
  <c r="D25" i="2" l="1"/>
  <c r="I38" i="2"/>
  <c r="D150" i="1"/>
  <c r="D149" i="1"/>
  <c r="D151" i="1" s="1"/>
  <c r="D148" i="1"/>
  <c r="I141" i="1"/>
  <c r="G143" i="1"/>
  <c r="J141" i="1"/>
  <c r="K141" i="1" s="1"/>
  <c r="I140" i="1"/>
  <c r="K140" i="1"/>
  <c r="J140" i="1"/>
  <c r="G140" i="1"/>
  <c r="D26" i="2" l="1"/>
  <c r="D121" i="1"/>
  <c r="K107" i="1"/>
  <c r="D27" i="2" l="1"/>
  <c r="D29" i="2" s="1"/>
  <c r="D31" i="2" s="1"/>
  <c r="D122" i="1"/>
  <c r="D123" i="1" s="1"/>
  <c r="E113" i="1"/>
  <c r="E114" i="1"/>
  <c r="M46" i="1"/>
  <c r="M45" i="1"/>
  <c r="M44" i="1"/>
  <c r="M43" i="1"/>
  <c r="M42" i="1"/>
  <c r="M41" i="1"/>
  <c r="F87" i="1"/>
  <c r="I83" i="1"/>
  <c r="E81" i="1"/>
  <c r="D82" i="1"/>
  <c r="L53" i="1"/>
  <c r="J53" i="1"/>
  <c r="F55" i="1"/>
  <c r="H55" i="1" s="1"/>
  <c r="D54" i="1"/>
  <c r="F54" i="1" s="1"/>
  <c r="G53" i="1"/>
  <c r="D53" i="1"/>
  <c r="F53" i="1" s="1"/>
  <c r="H53" i="1" s="1"/>
  <c r="K53" i="1" s="1"/>
  <c r="M53" i="1" s="1"/>
  <c r="H66" i="1"/>
  <c r="H65" i="1"/>
  <c r="K65" i="1" s="1"/>
  <c r="M65" i="1" s="1"/>
  <c r="H64" i="1"/>
  <c r="H63" i="1"/>
  <c r="K63" i="1" s="1"/>
  <c r="G65" i="1"/>
  <c r="G64" i="1"/>
  <c r="F66" i="1"/>
  <c r="G66" i="1" s="1"/>
  <c r="F65" i="1"/>
  <c r="F64" i="1"/>
  <c r="F63" i="1"/>
  <c r="G63" i="1" s="1"/>
  <c r="F19" i="1"/>
  <c r="F20" i="1" s="1"/>
  <c r="L38" i="1"/>
  <c r="G54" i="1" l="1"/>
  <c r="H54" i="1" s="1"/>
  <c r="J55" i="1"/>
  <c r="K55" i="1" s="1"/>
  <c r="H87" i="1"/>
  <c r="I87" i="1"/>
  <c r="M64" i="1"/>
  <c r="M63" i="1"/>
  <c r="G55" i="1"/>
  <c r="K64" i="1"/>
  <c r="K66" i="1"/>
  <c r="M66" i="1" s="1"/>
  <c r="D52" i="1"/>
  <c r="F52" i="1" s="1"/>
  <c r="J50" i="1"/>
  <c r="K50" i="1" s="1"/>
  <c r="I50" i="1"/>
  <c r="E48" i="1"/>
  <c r="F48" i="1" s="1"/>
  <c r="E47" i="1"/>
  <c r="F47" i="1" s="1"/>
  <c r="E46" i="1"/>
  <c r="F46" i="1" s="1"/>
  <c r="E45" i="1"/>
  <c r="F45" i="1" s="1"/>
  <c r="E40" i="1"/>
  <c r="E39" i="1"/>
  <c r="E38" i="1"/>
  <c r="E37" i="1"/>
  <c r="G35" i="1"/>
  <c r="H35" i="1" s="1"/>
  <c r="G34" i="1"/>
  <c r="H34" i="1" s="1"/>
  <c r="G33" i="1"/>
  <c r="H33" i="1" s="1"/>
  <c r="G32" i="1"/>
  <c r="H32" i="1" s="1"/>
  <c r="E26" i="1"/>
  <c r="D20" i="1"/>
  <c r="D21" i="1" s="1"/>
  <c r="I20" i="1"/>
  <c r="I21" i="1" s="1"/>
  <c r="G16" i="1"/>
  <c r="G15" i="1"/>
  <c r="F16" i="1"/>
  <c r="F15" i="1"/>
  <c r="E16" i="1"/>
  <c r="E15" i="1"/>
  <c r="D16" i="1"/>
  <c r="D15" i="1"/>
  <c r="D23" i="1" l="1"/>
  <c r="D22" i="1"/>
  <c r="L55" i="1"/>
  <c r="M55" i="1"/>
  <c r="G52" i="1"/>
  <c r="H52" i="1" s="1"/>
  <c r="J52" i="1" s="1"/>
  <c r="K52" i="1" s="1"/>
  <c r="J54" i="1"/>
  <c r="K54" i="1" s="1"/>
  <c r="L69" i="2"/>
  <c r="K69" i="2"/>
  <c r="I105" i="1"/>
  <c r="L54" i="1" l="1"/>
  <c r="M54" i="1" s="1"/>
  <c r="L164" i="1"/>
  <c r="E96" i="2" l="1"/>
  <c r="E98" i="2" s="1"/>
  <c r="I88" i="2"/>
  <c r="I89" i="2" l="1"/>
  <c r="I90" i="2" s="1"/>
  <c r="I72" i="2" l="1"/>
  <c r="D77" i="2" s="1"/>
  <c r="I68" i="2"/>
  <c r="I66" i="2"/>
  <c r="I65" i="2"/>
  <c r="D78" i="2" l="1"/>
  <c r="D79" i="2" s="1"/>
  <c r="D81" i="2" s="1"/>
  <c r="D83" i="2" s="1"/>
  <c r="D185" i="1" l="1"/>
  <c r="D179" i="1"/>
  <c r="D181" i="1" s="1"/>
  <c r="J176" i="1"/>
  <c r="J164" i="1"/>
  <c r="J162" i="1"/>
  <c r="J161" i="1"/>
  <c r="I108" i="1"/>
  <c r="I110" i="1" s="1"/>
  <c r="I116" i="1" s="1"/>
  <c r="I106" i="1"/>
  <c r="I104" i="1"/>
  <c r="I103" i="1"/>
  <c r="D186" i="1" l="1"/>
  <c r="J163" i="1"/>
  <c r="J165" i="1" s="1"/>
  <c r="J167" i="1" s="1"/>
  <c r="J177" i="1" s="1"/>
  <c r="J178" i="1" s="1"/>
</calcChain>
</file>

<file path=xl/sharedStrings.xml><?xml version="1.0" encoding="utf-8"?>
<sst xmlns="http://schemas.openxmlformats.org/spreadsheetml/2006/main" count="300" uniqueCount="186">
  <si>
    <t>Materiales directos</t>
  </si>
  <si>
    <t>Obra de Mano Directa</t>
  </si>
  <si>
    <t>Gastos de comercializacion</t>
  </si>
  <si>
    <t>Gastos financieros</t>
  </si>
  <si>
    <t>Gastos de distribucion</t>
  </si>
  <si>
    <t>Gastos administrativos</t>
  </si>
  <si>
    <t>Unidades Producidas</t>
  </si>
  <si>
    <t>Utilidad 50% de Costo de produccion</t>
  </si>
  <si>
    <t>Determinar:</t>
  </si>
  <si>
    <t>b)Costo Primo</t>
  </si>
  <si>
    <t>c) Costo de Coversion o transformacion</t>
  </si>
  <si>
    <t>d) Costo unitario de Produccion</t>
  </si>
  <si>
    <t>e)Costo Total</t>
  </si>
  <si>
    <t>a) Costo de Produccion</t>
  </si>
  <si>
    <t>Mater. Dirct.</t>
  </si>
  <si>
    <t>OMDirecta</t>
  </si>
  <si>
    <t>Gast Ind Fabr</t>
  </si>
  <si>
    <t>C Prod</t>
  </si>
  <si>
    <t>G Comerc</t>
  </si>
  <si>
    <t>G. Financ</t>
  </si>
  <si>
    <t>G. Distrib</t>
  </si>
  <si>
    <t>G. Adm</t>
  </si>
  <si>
    <t>Utilidad</t>
  </si>
  <si>
    <t>f) Precio de Venta Unitario=C. Tot/Total Unidades</t>
  </si>
  <si>
    <t>IVA con regla de tres</t>
  </si>
  <si>
    <t>X</t>
  </si>
  <si>
    <t>X=</t>
  </si>
  <si>
    <t>9,196*100/87</t>
  </si>
  <si>
    <t>IVA con terminos relativos</t>
  </si>
  <si>
    <t>=</t>
  </si>
  <si>
    <t>EJERCICIO</t>
  </si>
  <si>
    <t>Empresa "W"</t>
  </si>
  <si>
    <t>1.- Volumen produccion</t>
  </si>
  <si>
    <t>Material Indirecto</t>
  </si>
  <si>
    <t>Depreciacion de maquinaria</t>
  </si>
  <si>
    <t>Energia electrica</t>
  </si>
  <si>
    <t>Seguros</t>
  </si>
  <si>
    <t>Mantenimiento y Reparacion maquinaria</t>
  </si>
  <si>
    <t>Alquileres</t>
  </si>
  <si>
    <t>Gastos de Comercializacion</t>
  </si>
  <si>
    <t>ESTADO DE COSTO DE ARTICULOS PRODUCIDOS</t>
  </si>
  <si>
    <t>Inventario inicial materiales 400kgr*Bs 10</t>
  </si>
  <si>
    <t>Mas compras</t>
  </si>
  <si>
    <t>1000kgr*17,4</t>
  </si>
  <si>
    <t>Material disponible para la fabricacion</t>
  </si>
  <si>
    <t>Menos: Inventario Final 400 kgr*Bs 17,40</t>
  </si>
  <si>
    <t>2.-Materia prima al inicio 400 kgr a bs 10 c/u</t>
  </si>
  <si>
    <t>4.-Se compra  1,000 Kgr de materia prima a Bs. 20 el kgr</t>
  </si>
  <si>
    <t>5.-Se necesita 1/2 kgr de Mat Prima para fabricar cada unidad</t>
  </si>
  <si>
    <t>7.-Los gatos incurridos fueron:</t>
  </si>
  <si>
    <t>Mas: Salarios directos</t>
  </si>
  <si>
    <t>COSTO PRIMO</t>
  </si>
  <si>
    <t>Mas: Gastos de Fabricacion</t>
  </si>
  <si>
    <t>Salarios Indirectos</t>
  </si>
  <si>
    <t>Depreciaicion Maquinaria</t>
  </si>
  <si>
    <t>Mtto y reparacion</t>
  </si>
  <si>
    <t>Otros gastos de fabrica</t>
  </si>
  <si>
    <t>COSTO DE ARTICULOS PRODUCIDOS</t>
  </si>
  <si>
    <t>Otros Gastos de fabricacion</t>
  </si>
  <si>
    <t>Material consumido en la fabricacion</t>
  </si>
  <si>
    <t>3.-Se pago O. Mano directa Bs. 14,000 y O. Mano Indirecta Bs 5,000</t>
  </si>
  <si>
    <t>2,000 unidades</t>
  </si>
  <si>
    <t>6.-En el periodo se vendieron 1,600 Unidades a Bs. 30 c/u</t>
  </si>
  <si>
    <t>Ventas (1600 aBs. 30)</t>
  </si>
  <si>
    <t>Menos Costo de lo Vendido: (1,600*20,92)</t>
  </si>
  <si>
    <t>UTILIDAD BRUTA EN VENTAS</t>
  </si>
  <si>
    <t>Menos Gastos de Operación</t>
  </si>
  <si>
    <t>Gastos de Administracion</t>
  </si>
  <si>
    <t>UTILIDAD OPERACIONAL</t>
  </si>
  <si>
    <t>Precio Unitario</t>
  </si>
  <si>
    <t>Gastos indirectos de fabricacion</t>
  </si>
  <si>
    <t>f) Costo total mas utilidad</t>
  </si>
  <si>
    <t>e) Costo de produccion mas utilidad</t>
  </si>
  <si>
    <t>g) Precio total de venta incluye IVA</t>
  </si>
  <si>
    <t>h) precio unitario de venta</t>
  </si>
  <si>
    <t>Precio total de venta</t>
  </si>
  <si>
    <t>menos IVA</t>
  </si>
  <si>
    <t>menos otros gastos</t>
  </si>
  <si>
    <t>Menos Utilidad</t>
  </si>
  <si>
    <t>COSTO DE FABRICACION</t>
  </si>
  <si>
    <t>12,196*100/87</t>
  </si>
  <si>
    <t>12,196 ---------------</t>
  </si>
  <si>
    <t>12,196*,1494</t>
  </si>
  <si>
    <t>f) Costo Total  entre Total Unidades</t>
  </si>
  <si>
    <t>g) Precio Factura (costo mas IVA)</t>
  </si>
  <si>
    <t>TOTAL</t>
  </si>
  <si>
    <t>COSTO POR UNIDAD</t>
  </si>
  <si>
    <t>DATOS DE PRODUCCION  DE LA EMPRESA ABC</t>
  </si>
  <si>
    <t>VERIFICANDO:</t>
  </si>
  <si>
    <t>DETERMINAR:</t>
  </si>
  <si>
    <t>CÁLCULOS ADICIONALES</t>
  </si>
  <si>
    <t>Precio de venta con incidencia relativa del IVA</t>
  </si>
  <si>
    <t xml:space="preserve">EJERCICIO Nº 1 </t>
  </si>
  <si>
    <t>La empresa TOM y CIA. PRESENTA  la siguiente informacion para que Ud. Pueda colaborar, determinando</t>
  </si>
  <si>
    <t>el Precio de Venta de los siguientes Productos:</t>
  </si>
  <si>
    <t>PRODUCTO</t>
  </si>
  <si>
    <t xml:space="preserve">IVA </t>
  </si>
  <si>
    <t xml:space="preserve">TOTAL </t>
  </si>
  <si>
    <t>2. Par de calzado de varon</t>
  </si>
  <si>
    <t>3. Botas de mujer (par)</t>
  </si>
  <si>
    <t>4. Cartera de Mujer</t>
  </si>
  <si>
    <t>EJERCICIOS PRÁCTICOS DE COSTO DE PRODUCCION, COSTO PRIMO, APLICACIÓN DE UTILIDADES E IMPUESTOS</t>
  </si>
  <si>
    <t>1. Par de calzado de mujer</t>
  </si>
  <si>
    <t>COSTO PRODUCCION + UTILIDAD</t>
  </si>
  <si>
    <t>COSTO+UTI</t>
  </si>
  <si>
    <t>PRECIO</t>
  </si>
  <si>
    <t>ABSOLUTO</t>
  </si>
  <si>
    <t>RELATIVO</t>
  </si>
  <si>
    <t>13/87</t>
  </si>
  <si>
    <t>MAS IVA (REL)</t>
  </si>
  <si>
    <t>VALOR NETO</t>
  </si>
  <si>
    <t>%</t>
  </si>
  <si>
    <t>PRUEBA</t>
  </si>
  <si>
    <t>IVA</t>
  </si>
  <si>
    <t>COSTOS MAS UTILIDAD</t>
  </si>
  <si>
    <t>IVA REL. 14,94%</t>
  </si>
  <si>
    <t>EJERCICIO Nº 2</t>
  </si>
  <si>
    <t>COSTO</t>
  </si>
  <si>
    <t>UTILIDAD 20% RELATIVO</t>
  </si>
  <si>
    <t>IVA 14,94</t>
  </si>
  <si>
    <t>SUMA C+UT</t>
  </si>
  <si>
    <t>PRECIO VENTA</t>
  </si>
  <si>
    <t>Costo de  1 camisa                200</t>
  </si>
  <si>
    <t>IVA                                                26</t>
  </si>
  <si>
    <t>Total facutra                              226</t>
  </si>
  <si>
    <t>FACTURA EN CHILE IMPUESTOS POR FUERA</t>
  </si>
  <si>
    <t>FACTURA EN BOLIVIA IMPUESTOS POR DENTRO</t>
  </si>
  <si>
    <t>Costo de 1 camisa                 226</t>
  </si>
  <si>
    <t>TOTAL                                        226</t>
  </si>
  <si>
    <t>X= 13*100/87</t>
  </si>
  <si>
    <t>X=1300/87</t>
  </si>
  <si>
    <t>X=+1300/87</t>
  </si>
  <si>
    <t xml:space="preserve">                     X</t>
  </si>
  <si>
    <t>EJERCICIO Nº 3</t>
  </si>
  <si>
    <t>COSTO TOTAL</t>
  </si>
  <si>
    <t>DEMOSTRACION DE OBTENCION DEL PRECIO DE COSTO</t>
  </si>
  <si>
    <t>137,93*,13</t>
  </si>
  <si>
    <t>206,89*,13</t>
  </si>
  <si>
    <t>287,35*,13</t>
  </si>
  <si>
    <t>459,76*,13</t>
  </si>
  <si>
    <t>Absolutos</t>
  </si>
  <si>
    <t>Relativos</t>
  </si>
  <si>
    <t>Resolver el siguiente problema</t>
  </si>
  <si>
    <t>Obra de mano directa</t>
  </si>
  <si>
    <t>Material directo</t>
  </si>
  <si>
    <t>Obra de mano indirecta</t>
  </si>
  <si>
    <t>Materiales Indirectos</t>
  </si>
  <si>
    <t>Otros gastos</t>
  </si>
  <si>
    <t>Se pide:</t>
  </si>
  <si>
    <t>1. Costo de Produccion</t>
  </si>
  <si>
    <t>2. Costo Primo</t>
  </si>
  <si>
    <t>3. Costo de  transformacion</t>
  </si>
  <si>
    <t>5. Costo de produccion mas utilidad de 40%</t>
  </si>
  <si>
    <t>6. Costo Total considerando IVA 13 adicional</t>
  </si>
  <si>
    <t>4. Gastos Indirectos de Fabricacion</t>
  </si>
  <si>
    <t>Bs.</t>
  </si>
  <si>
    <t>Bs</t>
  </si>
  <si>
    <t>28200*,6667</t>
  </si>
  <si>
    <t>28200*1,6667</t>
  </si>
  <si>
    <t>COMPROBANDO</t>
  </si>
  <si>
    <t>VALOR DE COSTO MAS UTILIDAD MAS IVA</t>
  </si>
  <si>
    <t>EJERCICIO Nº 4</t>
  </si>
  <si>
    <t>50/50=1*100=100%</t>
  </si>
  <si>
    <t>Comprobando Globalmente:</t>
  </si>
  <si>
    <t>Costo Total</t>
  </si>
  <si>
    <t>Menos ottros gastos Com,Fin, Dist,Adm</t>
  </si>
  <si>
    <t>Costo de Produccion mas Utilidad</t>
  </si>
  <si>
    <t>Menos Utilidad 50%</t>
  </si>
  <si>
    <t xml:space="preserve">Costo de Produccion  </t>
  </si>
  <si>
    <t>EJERCICIO Nº 5</t>
  </si>
  <si>
    <t>Utilidad aplicable al costo 20%</t>
  </si>
  <si>
    <t>Numero de unidades producidas</t>
  </si>
  <si>
    <t>Costo Total de produccion</t>
  </si>
  <si>
    <t>Costo primo</t>
  </si>
  <si>
    <t>Costo de transformacion</t>
  </si>
  <si>
    <t>Utilidad 20%</t>
  </si>
  <si>
    <t>agregar iva 13%</t>
  </si>
  <si>
    <t>Costo unitario de produccion incluyendo utilidad relativa  e IVA relativo</t>
  </si>
  <si>
    <t>Otros gastos de produccion</t>
  </si>
  <si>
    <t>Costo Unitario  total</t>
  </si>
  <si>
    <t>Gif</t>
  </si>
  <si>
    <t>56034,48/500</t>
  </si>
  <si>
    <t>COMPROBANDO:</t>
  </si>
  <si>
    <t>COSTO TOTAL CON UTIL E IVA</t>
  </si>
  <si>
    <t>Menos IVA 13%</t>
  </si>
  <si>
    <t>Menos Utilidad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</si>
</sst>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0.00000"/>
    <numFmt numFmtId="167" formatCode="_-* #,##0\ _€_-;\-* #,##0\ _€_-;_-* &quot;-&quot;??\ _€_-;_-@_-"/>
    <numFmt numFmtId="168" formatCode="0.0000"/>
    <numFmt numFmtId="169" formatCode="0.0"/>
    <numFmt numFmtId="170" formatCode="_-* #,##0.0\ _€_-;\-* #,##0.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" xfId="1" applyFont="1" applyBorder="1"/>
    <xf numFmtId="164" fontId="0" fillId="0" borderId="0" xfId="0" applyNumberFormat="1"/>
    <xf numFmtId="164" fontId="0" fillId="0" borderId="2" xfId="1" applyFont="1" applyBorder="1"/>
    <xf numFmtId="13" fontId="0" fillId="0" borderId="2" xfId="1" applyNumberFormat="1" applyFont="1" applyBorder="1"/>
    <xf numFmtId="166" fontId="0" fillId="0" borderId="2" xfId="1" applyNumberFormat="1" applyFont="1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2" fillId="4" borderId="1" xfId="1" applyFont="1" applyFill="1" applyBorder="1"/>
    <xf numFmtId="164" fontId="0" fillId="5" borderId="1" xfId="1" applyFont="1" applyFill="1" applyBorder="1"/>
    <xf numFmtId="0" fontId="0" fillId="6" borderId="0" xfId="0" applyFill="1"/>
    <xf numFmtId="164" fontId="0" fillId="7" borderId="1" xfId="1" applyFont="1" applyFill="1" applyBorder="1"/>
    <xf numFmtId="164" fontId="2" fillId="7" borderId="1" xfId="1" applyFont="1" applyFill="1" applyBorder="1"/>
    <xf numFmtId="164" fontId="0" fillId="8" borderId="1" xfId="1" applyFont="1" applyFill="1" applyBorder="1"/>
    <xf numFmtId="0" fontId="2" fillId="6" borderId="0" xfId="0" applyFont="1" applyFill="1"/>
    <xf numFmtId="164" fontId="2" fillId="6" borderId="1" xfId="1" applyFont="1" applyFill="1" applyBorder="1"/>
    <xf numFmtId="0" fontId="0" fillId="0" borderId="11" xfId="0" applyBorder="1"/>
    <xf numFmtId="165" fontId="0" fillId="0" borderId="12" xfId="1" applyNumberFormat="1" applyFont="1" applyBorder="1"/>
    <xf numFmtId="0" fontId="0" fillId="0" borderId="0" xfId="0" applyBorder="1"/>
    <xf numFmtId="0" fontId="2" fillId="0" borderId="0" xfId="0" applyFont="1" applyBorder="1"/>
    <xf numFmtId="0" fontId="2" fillId="4" borderId="13" xfId="0" applyFont="1" applyFill="1" applyBorder="1"/>
    <xf numFmtId="164" fontId="0" fillId="0" borderId="2" xfId="0" applyNumberFormat="1" applyBorder="1"/>
    <xf numFmtId="0" fontId="0" fillId="0" borderId="14" xfId="0" applyBorder="1"/>
    <xf numFmtId="0" fontId="0" fillId="0" borderId="3" xfId="0" applyBorder="1"/>
    <xf numFmtId="0" fontId="0" fillId="2" borderId="4" xfId="0" applyFill="1" applyBorder="1"/>
    <xf numFmtId="164" fontId="2" fillId="4" borderId="2" xfId="1" applyFont="1" applyFill="1" applyBorder="1"/>
    <xf numFmtId="0" fontId="0" fillId="0" borderId="15" xfId="0" applyBorder="1"/>
    <xf numFmtId="164" fontId="0" fillId="0" borderId="15" xfId="1" applyFont="1" applyBorder="1"/>
    <xf numFmtId="165" fontId="0" fillId="0" borderId="15" xfId="1" applyNumberFormat="1" applyFont="1" applyBorder="1"/>
    <xf numFmtId="164" fontId="0" fillId="0" borderId="3" xfId="1" applyFont="1" applyBorder="1"/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0" fontId="0" fillId="0" borderId="16" xfId="0" applyBorder="1"/>
    <xf numFmtId="165" fontId="0" fillId="0" borderId="14" xfId="1" applyNumberFormat="1" applyFont="1" applyBorder="1"/>
    <xf numFmtId="0" fontId="0" fillId="3" borderId="8" xfId="0" applyFill="1" applyBorder="1"/>
    <xf numFmtId="164" fontId="0" fillId="3" borderId="9" xfId="1" applyFont="1" applyFill="1" applyBorder="1"/>
    <xf numFmtId="164" fontId="0" fillId="2" borderId="1" xfId="1" applyFont="1" applyFill="1" applyBorder="1"/>
    <xf numFmtId="0" fontId="0" fillId="3" borderId="1" xfId="0" applyFill="1" applyBorder="1"/>
    <xf numFmtId="164" fontId="0" fillId="3" borderId="1" xfId="1" applyFont="1" applyFill="1" applyBorder="1"/>
    <xf numFmtId="0" fontId="0" fillId="9" borderId="1" xfId="0" applyFill="1" applyBorder="1"/>
    <xf numFmtId="164" fontId="0" fillId="9" borderId="1" xfId="1" applyFont="1" applyFill="1" applyBorder="1"/>
    <xf numFmtId="0" fontId="0" fillId="9" borderId="0" xfId="0" applyFill="1"/>
    <xf numFmtId="0" fontId="0" fillId="4" borderId="1" xfId="0" applyFill="1" applyBorder="1"/>
    <xf numFmtId="164" fontId="0" fillId="4" borderId="1" xfId="1" applyFont="1" applyFill="1" applyBorder="1"/>
    <xf numFmtId="0" fontId="0" fillId="11" borderId="1" xfId="0" applyFill="1" applyBorder="1"/>
    <xf numFmtId="0" fontId="0" fillId="12" borderId="1" xfId="0" applyFill="1" applyBorder="1"/>
    <xf numFmtId="164" fontId="0" fillId="11" borderId="1" xfId="1" applyFont="1" applyFill="1" applyBorder="1"/>
    <xf numFmtId="164" fontId="0" fillId="12" borderId="1" xfId="1" applyFont="1" applyFill="1" applyBorder="1"/>
    <xf numFmtId="165" fontId="0" fillId="5" borderId="1" xfId="1" applyNumberFormat="1" applyFont="1" applyFill="1" applyBorder="1"/>
    <xf numFmtId="0" fontId="0" fillId="13" borderId="1" xfId="0" applyFill="1" applyBorder="1"/>
    <xf numFmtId="164" fontId="0" fillId="13" borderId="1" xfId="1" applyFont="1" applyFill="1" applyBorder="1"/>
    <xf numFmtId="0" fontId="0" fillId="5" borderId="1" xfId="0" applyFill="1" applyBorder="1"/>
    <xf numFmtId="0" fontId="0" fillId="14" borderId="1" xfId="0" applyFill="1" applyBorder="1"/>
    <xf numFmtId="164" fontId="0" fillId="14" borderId="1" xfId="1" applyFont="1" applyFill="1" applyBorder="1"/>
    <xf numFmtId="164" fontId="0" fillId="10" borderId="1" xfId="1" applyFont="1" applyFill="1" applyBorder="1"/>
    <xf numFmtId="165" fontId="0" fillId="10" borderId="1" xfId="1" applyNumberFormat="1" applyFont="1" applyFill="1" applyBorder="1"/>
    <xf numFmtId="0" fontId="3" fillId="0" borderId="1" xfId="0" applyFont="1" applyBorder="1"/>
    <xf numFmtId="164" fontId="3" fillId="0" borderId="1" xfId="1" applyFont="1" applyBorder="1"/>
    <xf numFmtId="0" fontId="2" fillId="4" borderId="1" xfId="0" applyFont="1" applyFill="1" applyBorder="1"/>
    <xf numFmtId="0" fontId="4" fillId="0" borderId="1" xfId="0" applyFont="1" applyBorder="1"/>
    <xf numFmtId="0" fontId="0" fillId="2" borderId="0" xfId="0" applyFill="1"/>
    <xf numFmtId="164" fontId="2" fillId="15" borderId="1" xfId="1" applyFont="1" applyFill="1" applyBorder="1"/>
    <xf numFmtId="164" fontId="2" fillId="3" borderId="10" xfId="1" applyFont="1" applyFill="1" applyBorder="1"/>
    <xf numFmtId="0" fontId="2" fillId="16" borderId="0" xfId="0" applyFont="1" applyFill="1"/>
    <xf numFmtId="0" fontId="0" fillId="16" borderId="0" xfId="0" applyFill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0" fillId="3" borderId="0" xfId="0" applyFill="1"/>
    <xf numFmtId="164" fontId="0" fillId="2" borderId="0" xfId="1" applyFont="1" applyFill="1" applyBorder="1"/>
    <xf numFmtId="0" fontId="5" fillId="0" borderId="0" xfId="0" applyFont="1"/>
    <xf numFmtId="164" fontId="0" fillId="2" borderId="0" xfId="1" applyFont="1" applyFill="1"/>
    <xf numFmtId="0" fontId="0" fillId="0" borderId="1" xfId="0" applyFill="1" applyBorder="1" applyAlignment="1">
      <alignment horizontal="center"/>
    </xf>
    <xf numFmtId="164" fontId="6" fillId="2" borderId="0" xfId="1" applyFont="1" applyFill="1"/>
    <xf numFmtId="43" fontId="0" fillId="0" borderId="1" xfId="0" applyNumberFormat="1" applyBorder="1"/>
    <xf numFmtId="164" fontId="0" fillId="7" borderId="0" xfId="1" applyFont="1" applyFill="1"/>
    <xf numFmtId="0" fontId="0" fillId="7" borderId="1" xfId="0" applyFill="1" applyBorder="1"/>
    <xf numFmtId="167" fontId="0" fillId="7" borderId="0" xfId="1" applyNumberFormat="1" applyFont="1" applyFill="1"/>
    <xf numFmtId="167" fontId="0" fillId="0" borderId="0" xfId="1" applyNumberFormat="1" applyFont="1"/>
    <xf numFmtId="164" fontId="0" fillId="2" borderId="0" xfId="0" applyNumberFormat="1" applyFill="1"/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0" borderId="19" xfId="0" applyBorder="1"/>
    <xf numFmtId="0" fontId="2" fillId="0" borderId="15" xfId="0" applyFont="1" applyBorder="1"/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0" xfId="0" applyFont="1" applyBorder="1"/>
    <xf numFmtId="9" fontId="0" fillId="0" borderId="0" xfId="0" applyNumberFormat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16" borderId="0" xfId="0" applyNumberFormat="1" applyFill="1"/>
    <xf numFmtId="169" fontId="0" fillId="16" borderId="0" xfId="0" applyNumberFormat="1" applyFill="1"/>
    <xf numFmtId="0" fontId="0" fillId="16" borderId="1" xfId="0" applyFill="1" applyBorder="1"/>
    <xf numFmtId="9" fontId="0" fillId="16" borderId="0" xfId="0" applyNumberFormat="1" applyFill="1"/>
    <xf numFmtId="9" fontId="0" fillId="16" borderId="1" xfId="0" applyNumberFormat="1" applyFill="1" applyBorder="1"/>
    <xf numFmtId="2" fontId="0" fillId="16" borderId="1" xfId="0" applyNumberFormat="1" applyFill="1" applyBorder="1"/>
    <xf numFmtId="170" fontId="0" fillId="0" borderId="1" xfId="1" applyNumberFormat="1" applyFont="1" applyBorder="1"/>
    <xf numFmtId="170" fontId="0" fillId="0" borderId="1" xfId="0" applyNumberFormat="1" applyBorder="1"/>
    <xf numFmtId="170" fontId="0" fillId="0" borderId="0" xfId="0" applyNumberFormat="1"/>
    <xf numFmtId="170" fontId="0" fillId="16" borderId="0" xfId="0" applyNumberFormat="1" applyFill="1"/>
    <xf numFmtId="0" fontId="2" fillId="0" borderId="0" xfId="0" applyFont="1"/>
    <xf numFmtId="164" fontId="2" fillId="0" borderId="0" xfId="1" applyFont="1"/>
    <xf numFmtId="43" fontId="0" fillId="0" borderId="0" xfId="0" applyNumberFormat="1"/>
    <xf numFmtId="164" fontId="2" fillId="4" borderId="0" xfId="1" applyFont="1" applyFill="1"/>
    <xf numFmtId="167" fontId="2" fillId="4" borderId="0" xfId="1" applyNumberFormat="1" applyFont="1" applyFill="1"/>
    <xf numFmtId="43" fontId="2" fillId="0" borderId="0" xfId="0" applyNumberFormat="1" applyFont="1"/>
    <xf numFmtId="0" fontId="2" fillId="1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7" fillId="10" borderId="1" xfId="1" applyFont="1" applyFill="1" applyBorder="1"/>
    <xf numFmtId="9" fontId="0" fillId="0" borderId="4" xfId="0" applyNumberFormat="1" applyBorder="1"/>
    <xf numFmtId="9" fontId="0" fillId="0" borderId="1" xfId="0" applyNumberFormat="1" applyBorder="1"/>
    <xf numFmtId="165" fontId="0" fillId="2" borderId="7" xfId="1" applyNumberFormat="1" applyFont="1" applyFill="1" applyBorder="1"/>
    <xf numFmtId="164" fontId="0" fillId="3" borderId="1" xfId="0" applyNumberFormat="1" applyFill="1" applyBorder="1"/>
    <xf numFmtId="0" fontId="0" fillId="2" borderId="0" xfId="0" applyFill="1" applyAlignment="1">
      <alignment horizontal="left"/>
    </xf>
    <xf numFmtId="0" fontId="0" fillId="0" borderId="15" xfId="0" applyFill="1" applyBorder="1"/>
    <xf numFmtId="0" fontId="0" fillId="18" borderId="1" xfId="0" applyFill="1" applyBorder="1"/>
    <xf numFmtId="0" fontId="0" fillId="19" borderId="1" xfId="0" applyFill="1" applyBorder="1"/>
    <xf numFmtId="164" fontId="0" fillId="19" borderId="0" xfId="1" applyFont="1" applyFill="1"/>
    <xf numFmtId="164" fontId="0" fillId="17" borderId="0" xfId="1" applyFont="1" applyFill="1"/>
    <xf numFmtId="164" fontId="0" fillId="19" borderId="24" xfId="1" applyFont="1" applyFill="1" applyBorder="1"/>
    <xf numFmtId="164" fontId="0" fillId="18" borderId="1" xfId="1" applyFont="1" applyFill="1" applyBorder="1"/>
    <xf numFmtId="164" fontId="0" fillId="19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64</xdr:row>
      <xdr:rowOff>95250</xdr:rowOff>
    </xdr:from>
    <xdr:to>
      <xdr:col>8</xdr:col>
      <xdr:colOff>400050</xdr:colOff>
      <xdr:row>82</xdr:row>
      <xdr:rowOff>142875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5486400" y="2571750"/>
          <a:ext cx="3343275" cy="3476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87</xdr:row>
      <xdr:rowOff>19050</xdr:rowOff>
    </xdr:from>
    <xdr:to>
      <xdr:col>8</xdr:col>
      <xdr:colOff>1009650</xdr:colOff>
      <xdr:row>93</xdr:row>
      <xdr:rowOff>76200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152900" y="16640175"/>
          <a:ext cx="5286375" cy="1219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12</xdr:row>
      <xdr:rowOff>95250</xdr:rowOff>
    </xdr:from>
    <xdr:to>
      <xdr:col>8</xdr:col>
      <xdr:colOff>400050</xdr:colOff>
      <xdr:row>30</xdr:row>
      <xdr:rowOff>142875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5486400" y="12287250"/>
          <a:ext cx="3343275" cy="3476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35</xdr:row>
      <xdr:rowOff>76200</xdr:rowOff>
    </xdr:from>
    <xdr:to>
      <xdr:col>8</xdr:col>
      <xdr:colOff>581025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3724275" y="16659225"/>
          <a:ext cx="5286375" cy="1219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78</xdr:row>
      <xdr:rowOff>0</xdr:rowOff>
    </xdr:from>
    <xdr:to>
      <xdr:col>7</xdr:col>
      <xdr:colOff>809625</xdr:colOff>
      <xdr:row>85</xdr:row>
      <xdr:rowOff>9525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724525" y="14859000"/>
          <a:ext cx="2438400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</xdr:row>
      <xdr:rowOff>161925</xdr:rowOff>
    </xdr:from>
    <xdr:to>
      <xdr:col>6</xdr:col>
      <xdr:colOff>200025</xdr:colOff>
      <xdr:row>150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914900" y="26069925"/>
          <a:ext cx="1990725" cy="262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opLeftCell="A89" workbookViewId="0">
      <selection activeCell="E103" sqref="E103"/>
    </sheetView>
  </sheetViews>
  <sheetFormatPr baseColWidth="10" defaultRowHeight="15" x14ac:dyDescent="0.25"/>
  <cols>
    <col min="2" max="2" width="37.28515625" customWidth="1"/>
    <col min="3" max="3" width="17.140625" customWidth="1"/>
    <col min="4" max="4" width="13.7109375" customWidth="1"/>
    <col min="7" max="8" width="12" bestFit="1" customWidth="1"/>
    <col min="9" max="9" width="17.85546875" customWidth="1"/>
  </cols>
  <sheetData>
    <row r="1" spans="2:9" x14ac:dyDescent="0.25">
      <c r="B1" s="25" t="s">
        <v>87</v>
      </c>
      <c r="C1" s="21"/>
    </row>
    <row r="2" spans="2:9" x14ac:dyDescent="0.25">
      <c r="B2" s="20" t="s">
        <v>0</v>
      </c>
      <c r="C2" s="20">
        <v>10000</v>
      </c>
      <c r="D2" s="2"/>
      <c r="E2" s="2"/>
      <c r="F2" s="2"/>
      <c r="G2" s="2"/>
      <c r="H2" s="2"/>
      <c r="I2" s="2"/>
    </row>
    <row r="3" spans="2:9" x14ac:dyDescent="0.25">
      <c r="B3" s="20" t="s">
        <v>1</v>
      </c>
      <c r="C3" s="20">
        <v>3500</v>
      </c>
      <c r="D3" s="2"/>
      <c r="E3" s="2"/>
      <c r="F3" s="2"/>
      <c r="G3" s="2"/>
      <c r="H3" s="2"/>
      <c r="I3" s="2"/>
    </row>
    <row r="4" spans="2:9" x14ac:dyDescent="0.25">
      <c r="B4" s="20" t="s">
        <v>70</v>
      </c>
      <c r="C4" s="20">
        <v>1500</v>
      </c>
      <c r="D4" s="2"/>
      <c r="E4" s="2"/>
      <c r="F4" s="2"/>
      <c r="G4" s="2"/>
      <c r="H4" s="2"/>
      <c r="I4" s="2"/>
    </row>
    <row r="5" spans="2:9" x14ac:dyDescent="0.25">
      <c r="B5" s="20" t="s">
        <v>2</v>
      </c>
      <c r="C5" s="20">
        <v>150</v>
      </c>
      <c r="D5" s="2"/>
      <c r="E5" s="2"/>
      <c r="F5" s="2"/>
      <c r="G5" s="2"/>
      <c r="H5" s="2"/>
      <c r="I5" s="2"/>
    </row>
    <row r="6" spans="2:9" x14ac:dyDescent="0.25">
      <c r="B6" s="20" t="s">
        <v>3</v>
      </c>
      <c r="C6" s="20">
        <v>75</v>
      </c>
      <c r="D6" s="2"/>
      <c r="E6" s="2"/>
      <c r="F6" s="2"/>
      <c r="G6" s="2"/>
      <c r="H6" s="2"/>
      <c r="I6" s="2"/>
    </row>
    <row r="7" spans="2:9" x14ac:dyDescent="0.25">
      <c r="B7" s="20" t="s">
        <v>4</v>
      </c>
      <c r="C7" s="20">
        <v>15</v>
      </c>
      <c r="D7" s="2"/>
      <c r="E7" s="2"/>
      <c r="F7" s="2"/>
      <c r="G7" s="2"/>
      <c r="H7" s="2"/>
      <c r="I7" s="2"/>
    </row>
    <row r="8" spans="2:9" x14ac:dyDescent="0.25">
      <c r="B8" s="20" t="s">
        <v>5</v>
      </c>
      <c r="C8" s="20">
        <v>250</v>
      </c>
      <c r="D8" s="2"/>
      <c r="E8" s="2"/>
      <c r="F8" s="2"/>
      <c r="G8" s="2"/>
      <c r="H8" s="2"/>
      <c r="I8" s="2"/>
    </row>
    <row r="9" spans="2:9" x14ac:dyDescent="0.25">
      <c r="B9" s="20" t="s">
        <v>6</v>
      </c>
      <c r="C9" s="20">
        <v>2500</v>
      </c>
      <c r="D9" s="2"/>
      <c r="E9" s="2"/>
      <c r="F9" s="2"/>
      <c r="G9" s="2"/>
      <c r="H9" s="2"/>
      <c r="I9" s="2"/>
    </row>
    <row r="10" spans="2:9" x14ac:dyDescent="0.25">
      <c r="B10" s="20" t="s">
        <v>7</v>
      </c>
      <c r="C10" s="20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6" t="s">
        <v>89</v>
      </c>
      <c r="C12" s="2" t="s">
        <v>14</v>
      </c>
      <c r="D12" s="2" t="s">
        <v>15</v>
      </c>
      <c r="E12" s="2" t="s">
        <v>16</v>
      </c>
      <c r="F12" s="2"/>
      <c r="G12" s="2"/>
      <c r="H12" s="2"/>
      <c r="I12" s="2"/>
    </row>
    <row r="13" spans="2:9" x14ac:dyDescent="0.25">
      <c r="B13" s="24" t="s">
        <v>13</v>
      </c>
      <c r="C13" s="2">
        <v>10000</v>
      </c>
      <c r="D13" s="2">
        <v>3500</v>
      </c>
      <c r="E13" s="2">
        <v>1500</v>
      </c>
      <c r="F13" s="2"/>
      <c r="G13" s="2"/>
      <c r="H13" s="2"/>
      <c r="I13" s="2">
        <f>SUM(C13:E13)</f>
        <v>15000</v>
      </c>
    </row>
    <row r="14" spans="2:9" x14ac:dyDescent="0.25">
      <c r="B14" s="24" t="s">
        <v>9</v>
      </c>
      <c r="C14" s="2">
        <v>10000</v>
      </c>
      <c r="D14" s="2">
        <v>3500</v>
      </c>
      <c r="E14" s="2"/>
      <c r="F14" s="2"/>
      <c r="G14" s="2"/>
      <c r="H14" s="2"/>
      <c r="I14" s="2">
        <f>SUM(C14:E14)</f>
        <v>13500</v>
      </c>
    </row>
    <row r="15" spans="2:9" x14ac:dyDescent="0.25">
      <c r="B15" s="24" t="s">
        <v>10</v>
      </c>
      <c r="C15" s="2"/>
      <c r="D15" s="2">
        <v>3500</v>
      </c>
      <c r="E15" s="2">
        <v>1500</v>
      </c>
      <c r="F15" s="2"/>
      <c r="G15" s="2"/>
      <c r="H15" s="2"/>
      <c r="I15" s="2">
        <v>5000</v>
      </c>
    </row>
    <row r="16" spans="2:9" x14ac:dyDescent="0.25">
      <c r="B16" s="24" t="s">
        <v>11</v>
      </c>
      <c r="C16" s="2">
        <v>15000</v>
      </c>
      <c r="D16" s="2">
        <v>2500</v>
      </c>
      <c r="E16" s="2"/>
      <c r="F16" s="2"/>
      <c r="G16" s="2"/>
      <c r="H16" s="2"/>
      <c r="I16" s="2">
        <f>+C16/D16</f>
        <v>6</v>
      </c>
    </row>
    <row r="17" spans="2:11" x14ac:dyDescent="0.25">
      <c r="B17" s="24" t="s">
        <v>72</v>
      </c>
      <c r="C17" s="48">
        <v>15000</v>
      </c>
      <c r="D17" s="2"/>
      <c r="E17" s="2"/>
      <c r="F17" s="2"/>
      <c r="G17" s="2"/>
      <c r="H17" s="2"/>
      <c r="I17" s="2">
        <v>30000</v>
      </c>
      <c r="J17">
        <f>50/50</f>
        <v>1</v>
      </c>
      <c r="K17">
        <v>100</v>
      </c>
    </row>
    <row r="18" spans="2:11" x14ac:dyDescent="0.25">
      <c r="B18" s="24"/>
      <c r="C18" s="2"/>
      <c r="D18" s="2"/>
      <c r="E18" s="2"/>
      <c r="F18" s="2"/>
      <c r="G18" s="2"/>
      <c r="H18" s="2"/>
      <c r="I18" s="2"/>
    </row>
    <row r="19" spans="2:11" x14ac:dyDescent="0.25">
      <c r="B19" s="24"/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H19" s="2" t="s">
        <v>22</v>
      </c>
      <c r="I19" s="2"/>
    </row>
    <row r="20" spans="2:11" x14ac:dyDescent="0.25">
      <c r="B20" s="24" t="s">
        <v>71</v>
      </c>
      <c r="C20" s="2">
        <v>15000</v>
      </c>
      <c r="D20" s="2">
        <v>150</v>
      </c>
      <c r="E20" s="2">
        <v>75</v>
      </c>
      <c r="F20" s="2">
        <v>15</v>
      </c>
      <c r="G20" s="2">
        <v>250</v>
      </c>
      <c r="H20" s="2">
        <v>15000</v>
      </c>
      <c r="I20" s="2">
        <f>SUM(C20:H20)</f>
        <v>30490</v>
      </c>
    </row>
    <row r="21" spans="2:11" x14ac:dyDescent="0.25">
      <c r="B21" s="24" t="s">
        <v>73</v>
      </c>
      <c r="C21" s="2"/>
      <c r="D21" s="2"/>
      <c r="E21" s="2"/>
      <c r="F21" s="2"/>
      <c r="G21" s="2"/>
      <c r="H21" s="2"/>
      <c r="I21" s="2">
        <f>+I20*1.1494</f>
        <v>35045.205999999998</v>
      </c>
    </row>
    <row r="22" spans="2:11" x14ac:dyDescent="0.25">
      <c r="B22" s="24" t="s">
        <v>74</v>
      </c>
      <c r="C22" s="2"/>
      <c r="D22" s="2"/>
      <c r="E22" s="2"/>
      <c r="F22" s="2"/>
      <c r="G22" s="2"/>
      <c r="H22" s="2"/>
      <c r="I22" s="73">
        <f>+I21/2500</f>
        <v>14.018082399999999</v>
      </c>
    </row>
    <row r="23" spans="2:11" x14ac:dyDescent="0.25">
      <c r="B23" s="2"/>
      <c r="C23" s="2"/>
      <c r="D23" s="2"/>
      <c r="E23" s="2"/>
      <c r="F23" s="2"/>
      <c r="G23" s="2"/>
      <c r="H23" s="2"/>
      <c r="I23" s="2"/>
    </row>
    <row r="24" spans="2:11" x14ac:dyDescent="0.25">
      <c r="B24" s="19" t="s">
        <v>88</v>
      </c>
      <c r="C24" s="2"/>
      <c r="D24" s="2"/>
      <c r="E24" s="2"/>
      <c r="F24" s="2"/>
      <c r="G24" s="2"/>
      <c r="H24" s="2"/>
      <c r="I24" s="2"/>
    </row>
    <row r="25" spans="2:11" x14ac:dyDescent="0.25">
      <c r="B25" s="22" t="s">
        <v>75</v>
      </c>
      <c r="C25" s="22"/>
      <c r="D25" s="22">
        <f>+I21</f>
        <v>35045.205999999998</v>
      </c>
      <c r="E25" s="2"/>
      <c r="F25" s="2"/>
      <c r="G25" s="2"/>
      <c r="H25" s="2"/>
      <c r="I25" s="2"/>
    </row>
    <row r="26" spans="2:11" x14ac:dyDescent="0.25">
      <c r="B26" s="22" t="s">
        <v>76</v>
      </c>
      <c r="C26" s="22"/>
      <c r="D26" s="22">
        <f>+D25*0.13</f>
        <v>4555.8767799999996</v>
      </c>
      <c r="E26" s="2"/>
      <c r="F26" s="2"/>
      <c r="G26" s="2"/>
      <c r="H26" s="2"/>
      <c r="I26" s="2"/>
    </row>
    <row r="27" spans="2:11" x14ac:dyDescent="0.25">
      <c r="B27" s="22"/>
      <c r="C27" s="22"/>
      <c r="D27" s="22">
        <f>+D25-D26</f>
        <v>30489.32922</v>
      </c>
      <c r="E27" s="2"/>
      <c r="F27" s="2"/>
      <c r="G27" s="2"/>
      <c r="H27" s="2"/>
      <c r="I27" s="2"/>
    </row>
    <row r="28" spans="2:11" x14ac:dyDescent="0.25">
      <c r="B28" s="22" t="s">
        <v>77</v>
      </c>
      <c r="C28" s="22"/>
      <c r="D28" s="22">
        <v>490</v>
      </c>
      <c r="E28" s="2"/>
      <c r="F28" s="2"/>
      <c r="G28" s="2"/>
      <c r="H28" s="2"/>
      <c r="I28" s="2"/>
    </row>
    <row r="29" spans="2:11" x14ac:dyDescent="0.25">
      <c r="B29" s="22"/>
      <c r="C29" s="22"/>
      <c r="D29" s="22">
        <f>+D27-D28+0.67</f>
        <v>29999.999219999998</v>
      </c>
      <c r="E29" s="2"/>
      <c r="F29" s="2"/>
      <c r="G29" s="2"/>
      <c r="H29" s="2"/>
      <c r="I29" s="2"/>
    </row>
    <row r="30" spans="2:11" x14ac:dyDescent="0.25">
      <c r="B30" s="22" t="s">
        <v>78</v>
      </c>
      <c r="C30" s="22"/>
      <c r="D30" s="22">
        <v>15000</v>
      </c>
      <c r="E30" s="2"/>
      <c r="F30" s="2"/>
      <c r="G30" s="2"/>
      <c r="H30" s="2"/>
      <c r="I30" s="2"/>
    </row>
    <row r="31" spans="2:11" x14ac:dyDescent="0.25">
      <c r="B31" s="23" t="s">
        <v>79</v>
      </c>
      <c r="C31" s="23"/>
      <c r="D31" s="23">
        <f>+D29-D30</f>
        <v>14999.999219999998</v>
      </c>
      <c r="E31" s="2"/>
      <c r="F31" s="2"/>
      <c r="G31" s="2"/>
      <c r="H31" s="2"/>
      <c r="I31" s="2"/>
    </row>
    <row r="32" spans="2:11" x14ac:dyDescent="0.25">
      <c r="B32" s="22"/>
      <c r="C32" s="22"/>
      <c r="D32" s="2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ht="15.75" thickBot="1" x14ac:dyDescent="0.3">
      <c r="B34" s="36" t="s">
        <v>86</v>
      </c>
      <c r="C34" s="7"/>
      <c r="D34" s="7"/>
      <c r="E34" s="7"/>
      <c r="F34" s="7"/>
      <c r="G34" s="7"/>
      <c r="H34" s="7"/>
      <c r="I34" s="7"/>
    </row>
    <row r="35" spans="2:9" x14ac:dyDescent="0.25">
      <c r="B35" s="40" t="s">
        <v>6</v>
      </c>
      <c r="C35" s="41"/>
      <c r="D35" s="41"/>
      <c r="E35" s="41"/>
      <c r="F35" s="41"/>
      <c r="G35" s="41"/>
      <c r="H35" s="41"/>
      <c r="I35" s="42">
        <v>2500</v>
      </c>
    </row>
    <row r="36" spans="2:9" x14ac:dyDescent="0.25">
      <c r="B36" s="43" t="s">
        <v>83</v>
      </c>
      <c r="C36" s="2"/>
      <c r="D36" s="2"/>
      <c r="E36" s="2"/>
      <c r="F36" s="2"/>
      <c r="G36" s="2">
        <v>30490</v>
      </c>
      <c r="H36" s="2">
        <v>2500</v>
      </c>
      <c r="I36" s="129">
        <f>+G36/H36</f>
        <v>12.196</v>
      </c>
    </row>
    <row r="37" spans="2:9" x14ac:dyDescent="0.25">
      <c r="B37" s="44" t="s">
        <v>84</v>
      </c>
      <c r="C37" s="7"/>
      <c r="D37" s="7"/>
      <c r="E37" s="7"/>
      <c r="F37" s="7"/>
      <c r="G37" s="8">
        <v>0.14942528735632185</v>
      </c>
      <c r="H37" s="9">
        <v>0.14942528735632185</v>
      </c>
      <c r="I37" s="45">
        <f>+I36*H37</f>
        <v>1.8223908045977013</v>
      </c>
    </row>
    <row r="38" spans="2:9" ht="15.75" thickBot="1" x14ac:dyDescent="0.3">
      <c r="B38" s="46" t="s">
        <v>85</v>
      </c>
      <c r="C38" s="47"/>
      <c r="D38" s="47"/>
      <c r="E38" s="47"/>
      <c r="F38" s="47"/>
      <c r="G38" s="47"/>
      <c r="H38" s="47"/>
      <c r="I38" s="74">
        <f>+I36+I37</f>
        <v>14.018390804597701</v>
      </c>
    </row>
    <row r="39" spans="2:9" x14ac:dyDescent="0.25">
      <c r="B39" s="37"/>
      <c r="C39" s="38"/>
      <c r="D39" s="38"/>
      <c r="E39" s="38"/>
      <c r="F39" s="38"/>
      <c r="G39" s="38"/>
      <c r="H39" s="38"/>
      <c r="I39" s="39"/>
    </row>
    <row r="40" spans="2:9" x14ac:dyDescent="0.25">
      <c r="B40" s="27"/>
      <c r="C40" s="7"/>
      <c r="D40" s="7"/>
      <c r="E40" s="7"/>
      <c r="F40" s="7"/>
      <c r="G40" s="7"/>
      <c r="H40" s="7"/>
      <c r="I40" s="28"/>
    </row>
    <row r="41" spans="2:9" ht="15.75" thickBot="1" x14ac:dyDescent="0.3">
      <c r="B41" s="31" t="s">
        <v>90</v>
      </c>
      <c r="C41" s="32"/>
      <c r="D41" s="11"/>
      <c r="E41" s="11"/>
      <c r="F41" s="11"/>
      <c r="G41" s="11"/>
      <c r="H41" s="11"/>
      <c r="I41" s="33"/>
    </row>
    <row r="42" spans="2:9" x14ac:dyDescent="0.25">
      <c r="B42" s="34" t="s">
        <v>24</v>
      </c>
      <c r="C42" s="35" t="s">
        <v>81</v>
      </c>
      <c r="D42" s="35"/>
      <c r="E42" s="35">
        <v>0.87</v>
      </c>
      <c r="F42" s="127">
        <v>0.87</v>
      </c>
      <c r="G42" s="12"/>
      <c r="H42" s="12"/>
      <c r="I42" s="13"/>
    </row>
    <row r="43" spans="2:9" x14ac:dyDescent="0.25">
      <c r="B43" s="15"/>
      <c r="C43" s="10" t="s">
        <v>25</v>
      </c>
      <c r="D43" s="10"/>
      <c r="E43" s="10">
        <v>1</v>
      </c>
      <c r="F43" s="128">
        <v>1</v>
      </c>
      <c r="G43" s="1"/>
      <c r="H43" s="1"/>
      <c r="I43" s="14"/>
    </row>
    <row r="44" spans="2:9" x14ac:dyDescent="0.25">
      <c r="B44" s="15" t="s">
        <v>28</v>
      </c>
      <c r="C44" s="1" t="s">
        <v>26</v>
      </c>
      <c r="D44" s="1" t="s">
        <v>80</v>
      </c>
      <c r="E44" s="2">
        <f>12.197*100/87</f>
        <v>14.019540229885056</v>
      </c>
      <c r="F44" s="1"/>
      <c r="G44" s="1"/>
      <c r="H44" s="1"/>
      <c r="I44" s="14"/>
    </row>
    <row r="45" spans="2:9" x14ac:dyDescent="0.25">
      <c r="B45" s="15"/>
      <c r="C45" s="1" t="s">
        <v>82</v>
      </c>
      <c r="D45" s="1" t="s">
        <v>29</v>
      </c>
      <c r="E45" s="50">
        <v>1.3738824000000001</v>
      </c>
      <c r="F45" s="1"/>
      <c r="G45" s="1"/>
      <c r="H45" s="1"/>
      <c r="I45" s="14"/>
    </row>
    <row r="46" spans="2:9" x14ac:dyDescent="0.25">
      <c r="B46" s="15"/>
      <c r="C46" s="1"/>
      <c r="D46" s="1"/>
      <c r="E46" s="50">
        <f>+E44-E45</f>
        <v>12.645657829885057</v>
      </c>
      <c r="F46" s="1"/>
      <c r="G46" s="1"/>
      <c r="H46" s="1"/>
      <c r="I46" s="14"/>
    </row>
    <row r="47" spans="2:9" x14ac:dyDescent="0.25">
      <c r="B47" s="15"/>
      <c r="C47" s="1"/>
      <c r="D47" s="1"/>
      <c r="E47" s="130">
        <f>+E45+E46</f>
        <v>14.019540229885056</v>
      </c>
      <c r="F47" s="1"/>
      <c r="G47" s="1"/>
      <c r="H47" s="1"/>
      <c r="I47" s="14"/>
    </row>
    <row r="48" spans="2:9" ht="15.75" thickBot="1" x14ac:dyDescent="0.3">
      <c r="B48" s="16"/>
      <c r="C48" s="17"/>
      <c r="D48" s="17"/>
      <c r="E48" s="17"/>
      <c r="F48" s="17"/>
      <c r="G48" s="17"/>
      <c r="H48" s="17"/>
      <c r="I48" s="18"/>
    </row>
    <row r="53" spans="2:9" x14ac:dyDescent="0.25">
      <c r="B53" s="25" t="s">
        <v>87</v>
      </c>
      <c r="C53" s="21"/>
    </row>
    <row r="54" spans="2:9" x14ac:dyDescent="0.25">
      <c r="B54" s="20" t="s">
        <v>0</v>
      </c>
      <c r="C54" s="20">
        <v>10000</v>
      </c>
      <c r="D54" s="2"/>
      <c r="E54" s="2"/>
      <c r="F54" s="2"/>
      <c r="G54" s="2"/>
      <c r="H54" s="2"/>
      <c r="I54" s="2"/>
    </row>
    <row r="55" spans="2:9" x14ac:dyDescent="0.25">
      <c r="B55" s="20" t="s">
        <v>1</v>
      </c>
      <c r="C55" s="20">
        <v>3500</v>
      </c>
      <c r="D55" s="2"/>
      <c r="E55" s="2"/>
      <c r="F55" s="2"/>
      <c r="G55" s="2"/>
      <c r="H55" s="2"/>
      <c r="I55" s="2"/>
    </row>
    <row r="56" spans="2:9" x14ac:dyDescent="0.25">
      <c r="B56" s="20" t="s">
        <v>70</v>
      </c>
      <c r="C56" s="20">
        <v>1500</v>
      </c>
      <c r="D56" s="2"/>
      <c r="E56" s="2"/>
      <c r="F56" s="2"/>
      <c r="G56" s="2"/>
      <c r="H56" s="2"/>
      <c r="I56" s="2"/>
    </row>
    <row r="57" spans="2:9" x14ac:dyDescent="0.25">
      <c r="B57" s="20" t="s">
        <v>2</v>
      </c>
      <c r="C57" s="20">
        <v>150</v>
      </c>
      <c r="D57" s="2"/>
      <c r="E57" s="2"/>
      <c r="F57" s="2"/>
      <c r="G57" s="2"/>
      <c r="H57" s="2"/>
      <c r="I57" s="2"/>
    </row>
    <row r="58" spans="2:9" x14ac:dyDescent="0.25">
      <c r="B58" s="20" t="s">
        <v>3</v>
      </c>
      <c r="C58" s="20">
        <v>75</v>
      </c>
      <c r="D58" s="2"/>
      <c r="E58" s="2"/>
      <c r="F58" s="2"/>
      <c r="G58" s="2"/>
      <c r="H58" s="2"/>
      <c r="I58" s="2"/>
    </row>
    <row r="59" spans="2:9" x14ac:dyDescent="0.25">
      <c r="B59" s="20" t="s">
        <v>4</v>
      </c>
      <c r="C59" s="20">
        <v>15</v>
      </c>
      <c r="D59" s="2"/>
      <c r="E59" s="2"/>
      <c r="F59" s="2"/>
      <c r="G59" s="2"/>
      <c r="H59" s="2"/>
      <c r="I59" s="2"/>
    </row>
    <row r="60" spans="2:9" x14ac:dyDescent="0.25">
      <c r="B60" s="20" t="s">
        <v>5</v>
      </c>
      <c r="C60" s="20">
        <v>250</v>
      </c>
      <c r="D60" s="2"/>
      <c r="E60" s="2"/>
      <c r="F60" s="2"/>
      <c r="G60" s="2"/>
      <c r="H60" s="2"/>
      <c r="I60" s="2"/>
    </row>
    <row r="61" spans="2:9" x14ac:dyDescent="0.25">
      <c r="B61" s="20" t="s">
        <v>6</v>
      </c>
      <c r="C61" s="20">
        <v>2500</v>
      </c>
      <c r="D61" s="2"/>
      <c r="E61" s="2"/>
      <c r="F61" s="2"/>
      <c r="G61" s="2"/>
      <c r="H61" s="2"/>
      <c r="I61" s="2"/>
    </row>
    <row r="62" spans="2:9" x14ac:dyDescent="0.25">
      <c r="B62" s="20" t="s">
        <v>7</v>
      </c>
      <c r="C62" s="20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6" t="s">
        <v>89</v>
      </c>
      <c r="C64" s="2" t="s">
        <v>14</v>
      </c>
      <c r="D64" s="2" t="s">
        <v>15</v>
      </c>
      <c r="E64" s="2" t="s">
        <v>16</v>
      </c>
      <c r="F64" s="2"/>
      <c r="G64" s="2"/>
      <c r="H64" s="2"/>
      <c r="I64" s="2"/>
    </row>
    <row r="65" spans="2:12" x14ac:dyDescent="0.25">
      <c r="B65" s="24" t="s">
        <v>13</v>
      </c>
      <c r="C65" s="2">
        <v>10000</v>
      </c>
      <c r="D65" s="2">
        <v>3500</v>
      </c>
      <c r="E65" s="2">
        <v>1500</v>
      </c>
      <c r="F65" s="2"/>
      <c r="G65" s="2"/>
      <c r="H65" s="2"/>
      <c r="I65" s="2">
        <f>SUM(C65:E65)</f>
        <v>15000</v>
      </c>
    </row>
    <row r="66" spans="2:12" x14ac:dyDescent="0.25">
      <c r="B66" s="24" t="s">
        <v>9</v>
      </c>
      <c r="C66" s="2">
        <v>10000</v>
      </c>
      <c r="D66" s="2">
        <v>3500</v>
      </c>
      <c r="E66" s="2"/>
      <c r="F66" s="2"/>
      <c r="G66" s="2"/>
      <c r="H66" s="2"/>
      <c r="I66" s="2">
        <f>SUM(C66:E66)</f>
        <v>13500</v>
      </c>
    </row>
    <row r="67" spans="2:12" x14ac:dyDescent="0.25">
      <c r="B67" s="24" t="s">
        <v>10</v>
      </c>
      <c r="C67" s="2"/>
      <c r="D67" s="2">
        <v>3500</v>
      </c>
      <c r="E67" s="2">
        <v>1500</v>
      </c>
      <c r="F67" s="2"/>
      <c r="G67" s="2"/>
      <c r="H67" s="2"/>
      <c r="I67" s="2">
        <v>5000</v>
      </c>
    </row>
    <row r="68" spans="2:12" x14ac:dyDescent="0.25">
      <c r="B68" s="24" t="s">
        <v>11</v>
      </c>
      <c r="C68" s="2">
        <v>15000</v>
      </c>
      <c r="D68" s="2">
        <v>2500</v>
      </c>
      <c r="E68" s="2"/>
      <c r="F68" s="2"/>
      <c r="G68" s="2"/>
      <c r="H68" s="2"/>
      <c r="I68" s="2">
        <f>+C68/D68</f>
        <v>6</v>
      </c>
    </row>
    <row r="69" spans="2:12" x14ac:dyDescent="0.25">
      <c r="B69" s="24" t="s">
        <v>72</v>
      </c>
      <c r="C69" s="48">
        <v>15000</v>
      </c>
      <c r="D69" s="2"/>
      <c r="E69" s="2"/>
      <c r="F69" s="2"/>
      <c r="G69" s="2"/>
      <c r="H69" s="2"/>
      <c r="I69" s="2">
        <v>30000</v>
      </c>
      <c r="K69">
        <f>50/50*100</f>
        <v>100</v>
      </c>
      <c r="L69" s="72">
        <f>15000*100/100</f>
        <v>15000</v>
      </c>
    </row>
    <row r="70" spans="2:12" x14ac:dyDescent="0.25">
      <c r="B70" s="24"/>
      <c r="C70" s="2"/>
      <c r="D70" s="2"/>
      <c r="E70" s="2"/>
      <c r="F70" s="2"/>
      <c r="G70" s="2"/>
      <c r="H70" s="2"/>
      <c r="I70" s="2"/>
    </row>
    <row r="71" spans="2:12" x14ac:dyDescent="0.25">
      <c r="B71" s="24"/>
      <c r="C71" s="2" t="s">
        <v>17</v>
      </c>
      <c r="D71" s="2" t="s">
        <v>18</v>
      </c>
      <c r="E71" s="2" t="s">
        <v>19</v>
      </c>
      <c r="F71" s="2" t="s">
        <v>20</v>
      </c>
      <c r="G71" s="2" t="s">
        <v>21</v>
      </c>
      <c r="H71" s="2" t="s">
        <v>22</v>
      </c>
      <c r="I71" s="2"/>
    </row>
    <row r="72" spans="2:12" x14ac:dyDescent="0.25">
      <c r="B72" s="24" t="s">
        <v>71</v>
      </c>
      <c r="C72" s="2">
        <v>15000</v>
      </c>
      <c r="D72" s="2">
        <v>150</v>
      </c>
      <c r="E72" s="2">
        <v>75</v>
      </c>
      <c r="F72" s="2">
        <v>15</v>
      </c>
      <c r="G72" s="2">
        <v>250</v>
      </c>
      <c r="H72" s="2">
        <v>15000</v>
      </c>
      <c r="I72" s="2">
        <f>SUM(C72:H72)</f>
        <v>30490</v>
      </c>
    </row>
    <row r="73" spans="2:12" x14ac:dyDescent="0.25">
      <c r="B73" s="24" t="s">
        <v>73</v>
      </c>
      <c r="C73" s="2"/>
      <c r="D73" s="2"/>
      <c r="E73" s="2"/>
      <c r="F73" s="2"/>
      <c r="G73" s="2"/>
      <c r="H73" s="2"/>
      <c r="I73" s="2">
        <f>+I72*1.1494</f>
        <v>35045.205999999998</v>
      </c>
    </row>
    <row r="74" spans="2:12" x14ac:dyDescent="0.25">
      <c r="B74" s="24" t="s">
        <v>74</v>
      </c>
      <c r="C74" s="2"/>
      <c r="D74" s="2"/>
      <c r="E74" s="2"/>
      <c r="F74" s="2"/>
      <c r="G74" s="2"/>
      <c r="H74" s="2"/>
      <c r="I74" s="73">
        <f>+I73/2500</f>
        <v>14.018082399999999</v>
      </c>
    </row>
    <row r="75" spans="2:12" x14ac:dyDescent="0.25">
      <c r="B75" s="2"/>
      <c r="C75" s="2"/>
      <c r="D75" s="2"/>
      <c r="E75" s="2"/>
      <c r="F75" s="2"/>
      <c r="G75" s="2"/>
      <c r="H75" s="2"/>
      <c r="I75" s="2"/>
    </row>
    <row r="76" spans="2:12" x14ac:dyDescent="0.25">
      <c r="B76" s="19" t="s">
        <v>88</v>
      </c>
      <c r="C76" s="2"/>
      <c r="D76" s="2"/>
      <c r="E76" s="2"/>
      <c r="F76" s="2"/>
      <c r="G76" s="2"/>
      <c r="H76" s="2"/>
      <c r="I76" s="2"/>
    </row>
    <row r="77" spans="2:12" x14ac:dyDescent="0.25">
      <c r="B77" s="22" t="s">
        <v>75</v>
      </c>
      <c r="C77" s="22"/>
      <c r="D77" s="22">
        <f>+I73</f>
        <v>35045.205999999998</v>
      </c>
      <c r="E77" s="2"/>
      <c r="F77" s="2"/>
      <c r="G77" s="2"/>
      <c r="H77" s="2"/>
      <c r="I77" s="2"/>
    </row>
    <row r="78" spans="2:12" x14ac:dyDescent="0.25">
      <c r="B78" s="22" t="s">
        <v>76</v>
      </c>
      <c r="C78" s="22"/>
      <c r="D78" s="22">
        <f>+D77*0.13</f>
        <v>4555.8767799999996</v>
      </c>
      <c r="E78" s="2"/>
      <c r="F78" s="2"/>
      <c r="G78" s="2"/>
      <c r="H78" s="2"/>
      <c r="I78" s="2"/>
    </row>
    <row r="79" spans="2:12" x14ac:dyDescent="0.25">
      <c r="B79" s="22"/>
      <c r="C79" s="22"/>
      <c r="D79" s="22">
        <f>+D77-D78</f>
        <v>30489.32922</v>
      </c>
      <c r="E79" s="2"/>
      <c r="F79" s="2"/>
      <c r="G79" s="2"/>
      <c r="H79" s="2"/>
      <c r="I79" s="2"/>
    </row>
    <row r="80" spans="2:12" x14ac:dyDescent="0.25">
      <c r="B80" s="22" t="s">
        <v>77</v>
      </c>
      <c r="C80" s="22"/>
      <c r="D80" s="22">
        <v>490</v>
      </c>
      <c r="E80" s="2"/>
      <c r="F80" s="2"/>
      <c r="G80" s="2"/>
      <c r="H80" s="2"/>
      <c r="I80" s="2"/>
    </row>
    <row r="81" spans="2:10" x14ac:dyDescent="0.25">
      <c r="B81" s="22"/>
      <c r="C81" s="22"/>
      <c r="D81" s="22">
        <f>+D79-D80+0.67</f>
        <v>29999.999219999998</v>
      </c>
      <c r="E81" s="2"/>
      <c r="F81" s="2"/>
      <c r="G81" s="2"/>
      <c r="H81" s="2"/>
      <c r="I81" s="2"/>
    </row>
    <row r="82" spans="2:10" x14ac:dyDescent="0.25">
      <c r="B82" s="22" t="s">
        <v>78</v>
      </c>
      <c r="C82" s="22"/>
      <c r="D82" s="22">
        <v>15000</v>
      </c>
      <c r="E82" s="2"/>
      <c r="F82" s="2"/>
      <c r="G82" s="2"/>
      <c r="H82" s="2"/>
      <c r="I82" s="2"/>
    </row>
    <row r="83" spans="2:10" x14ac:dyDescent="0.25">
      <c r="B83" s="23" t="s">
        <v>79</v>
      </c>
      <c r="C83" s="23"/>
      <c r="D83" s="23">
        <f>+D81-D82</f>
        <v>14999.999219999998</v>
      </c>
      <c r="E83" s="2"/>
      <c r="F83" s="2"/>
      <c r="G83" s="2"/>
      <c r="H83" s="2"/>
      <c r="I83" s="2"/>
    </row>
    <row r="84" spans="2:10" x14ac:dyDescent="0.25">
      <c r="B84" s="22"/>
      <c r="C84" s="22"/>
      <c r="D84" s="22"/>
      <c r="E84" s="2"/>
      <c r="F84" s="2"/>
      <c r="G84" s="2"/>
      <c r="H84" s="2"/>
      <c r="I84" s="2"/>
    </row>
    <row r="85" spans="2:10" x14ac:dyDescent="0.25">
      <c r="B85" s="2"/>
      <c r="C85" s="2"/>
      <c r="D85" s="2"/>
      <c r="E85" s="2"/>
      <c r="F85" s="2"/>
      <c r="G85" s="2"/>
      <c r="H85" s="2"/>
      <c r="I85" s="2"/>
    </row>
    <row r="86" spans="2:10" ht="15.75" thickBot="1" x14ac:dyDescent="0.3">
      <c r="B86" s="36" t="s">
        <v>86</v>
      </c>
      <c r="C86" s="7"/>
      <c r="D86" s="7"/>
      <c r="E86" s="7"/>
      <c r="F86" s="7"/>
      <c r="G86" s="7"/>
      <c r="H86" s="7"/>
      <c r="I86" s="7"/>
    </row>
    <row r="87" spans="2:10" x14ac:dyDescent="0.25">
      <c r="B87" s="40" t="s">
        <v>6</v>
      </c>
      <c r="C87" s="41"/>
      <c r="D87" s="41"/>
      <c r="E87" s="41"/>
      <c r="F87" s="41"/>
      <c r="G87" s="41"/>
      <c r="H87" s="41"/>
      <c r="I87" s="42">
        <v>2500</v>
      </c>
    </row>
    <row r="88" spans="2:10" x14ac:dyDescent="0.25">
      <c r="B88" s="43" t="s">
        <v>83</v>
      </c>
      <c r="C88" s="2"/>
      <c r="D88" s="2"/>
      <c r="E88" s="2"/>
      <c r="F88" s="2"/>
      <c r="G88" s="2">
        <v>30490</v>
      </c>
      <c r="H88" s="2">
        <v>2500</v>
      </c>
      <c r="I88" s="129">
        <f>+G88/H88</f>
        <v>12.196</v>
      </c>
    </row>
    <row r="89" spans="2:10" x14ac:dyDescent="0.25">
      <c r="B89" s="44" t="s">
        <v>84</v>
      </c>
      <c r="C89" s="7"/>
      <c r="D89" s="7"/>
      <c r="E89" s="7"/>
      <c r="F89" s="7"/>
      <c r="G89" s="8">
        <v>0.14942528735632185</v>
      </c>
      <c r="H89" s="9">
        <v>0.14942528735632185</v>
      </c>
      <c r="I89" s="45">
        <f>+I88*H89</f>
        <v>1.8223908045977013</v>
      </c>
      <c r="J89" s="6"/>
    </row>
    <row r="90" spans="2:10" ht="15.75" thickBot="1" x14ac:dyDescent="0.3">
      <c r="B90" s="46" t="s">
        <v>85</v>
      </c>
      <c r="C90" s="47"/>
      <c r="D90" s="47"/>
      <c r="E90" s="47"/>
      <c r="F90" s="47"/>
      <c r="G90" s="47"/>
      <c r="H90" s="47"/>
      <c r="I90" s="74">
        <f>+I88+I89</f>
        <v>14.018390804597701</v>
      </c>
      <c r="J90" s="6"/>
    </row>
    <row r="91" spans="2:10" x14ac:dyDescent="0.25">
      <c r="B91" s="37"/>
      <c r="C91" s="38"/>
      <c r="D91" s="38"/>
      <c r="E91" s="38"/>
      <c r="F91" s="38"/>
      <c r="G91" s="38"/>
      <c r="H91" s="38"/>
      <c r="I91" s="39"/>
      <c r="J91" s="6"/>
    </row>
    <row r="92" spans="2:10" x14ac:dyDescent="0.25">
      <c r="B92" s="27"/>
      <c r="C92" s="7"/>
      <c r="D92" s="7"/>
      <c r="E92" s="7"/>
      <c r="F92" s="7"/>
      <c r="G92" s="7"/>
      <c r="H92" s="7"/>
      <c r="I92" s="28"/>
      <c r="J92" s="6"/>
    </row>
    <row r="93" spans="2:10" ht="15.75" thickBot="1" x14ac:dyDescent="0.3">
      <c r="B93" s="31" t="s">
        <v>90</v>
      </c>
      <c r="C93" s="32"/>
      <c r="D93" s="11"/>
      <c r="E93" s="11"/>
      <c r="F93" s="11"/>
      <c r="G93" s="11"/>
      <c r="H93" s="11"/>
      <c r="I93" s="33"/>
    </row>
    <row r="94" spans="2:10" x14ac:dyDescent="0.25">
      <c r="B94" s="34" t="s">
        <v>24</v>
      </c>
      <c r="C94" s="35" t="s">
        <v>81</v>
      </c>
      <c r="D94" s="35"/>
      <c r="E94" s="35">
        <v>0.87</v>
      </c>
      <c r="F94" s="127">
        <v>0.87</v>
      </c>
      <c r="G94" s="12"/>
      <c r="H94" s="12"/>
      <c r="I94" s="13"/>
    </row>
    <row r="95" spans="2:10" x14ac:dyDescent="0.25">
      <c r="B95" s="15"/>
      <c r="C95" s="10" t="s">
        <v>25</v>
      </c>
      <c r="D95" s="10"/>
      <c r="E95" s="10">
        <v>1</v>
      </c>
      <c r="F95" s="128">
        <v>1</v>
      </c>
      <c r="G95" s="1"/>
      <c r="H95" s="1"/>
      <c r="I95" s="14"/>
    </row>
    <row r="96" spans="2:10" x14ac:dyDescent="0.25">
      <c r="B96" s="15" t="s">
        <v>28</v>
      </c>
      <c r="C96" s="1" t="s">
        <v>26</v>
      </c>
      <c r="D96" s="1" t="s">
        <v>80</v>
      </c>
      <c r="E96" s="2">
        <f>12.197*100/87</f>
        <v>14.019540229885056</v>
      </c>
      <c r="F96" s="1"/>
      <c r="G96" s="1"/>
      <c r="H96" s="1"/>
      <c r="I96" s="14"/>
    </row>
    <row r="97" spans="1:9" x14ac:dyDescent="0.25">
      <c r="B97" s="15"/>
      <c r="C97" s="1" t="s">
        <v>82</v>
      </c>
      <c r="D97" s="1" t="s">
        <v>29</v>
      </c>
      <c r="E97" s="50">
        <v>1.3738824000000001</v>
      </c>
      <c r="F97" s="1"/>
      <c r="G97" s="1"/>
      <c r="H97" s="1"/>
      <c r="I97" s="14"/>
    </row>
    <row r="98" spans="1:9" x14ac:dyDescent="0.25">
      <c r="B98" s="15"/>
      <c r="C98" s="1"/>
      <c r="D98" s="1"/>
      <c r="E98" s="50">
        <f>+E96-E97</f>
        <v>12.645657829885057</v>
      </c>
      <c r="F98" s="1"/>
      <c r="G98" s="1"/>
      <c r="H98" s="1"/>
      <c r="I98" s="14"/>
    </row>
    <row r="99" spans="1:9" x14ac:dyDescent="0.25">
      <c r="B99" s="15"/>
      <c r="C99" s="1"/>
      <c r="D99" s="1"/>
      <c r="E99" s="130">
        <f>+E97+E98</f>
        <v>14.019540229885056</v>
      </c>
      <c r="F99" s="1"/>
      <c r="G99" s="1"/>
      <c r="H99" s="1"/>
      <c r="I99" s="14"/>
    </row>
    <row r="100" spans="1:9" ht="15.75" thickBot="1" x14ac:dyDescent="0.3">
      <c r="B100" s="16"/>
      <c r="C100" s="17"/>
      <c r="D100" s="17"/>
      <c r="E100" s="17"/>
      <c r="F100" s="17"/>
      <c r="G100" s="17"/>
      <c r="H100" s="17"/>
      <c r="I100" s="18"/>
    </row>
    <row r="101" spans="1:9" x14ac:dyDescent="0.25">
      <c r="A101" s="29"/>
      <c r="B101" s="30"/>
      <c r="C101" s="29"/>
    </row>
    <row r="102" spans="1:9" x14ac:dyDescent="0.25">
      <c r="A102" s="29"/>
      <c r="B102" s="29"/>
      <c r="C102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86"/>
  <sheetViews>
    <sheetView tabSelected="1" topLeftCell="A167" workbookViewId="0">
      <selection activeCell="C132" sqref="C132"/>
    </sheetView>
  </sheetViews>
  <sheetFormatPr baseColWidth="10" defaultRowHeight="15" x14ac:dyDescent="0.25"/>
  <cols>
    <col min="2" max="2" width="34.5703125" customWidth="1"/>
    <col min="3" max="3" width="14.85546875" customWidth="1"/>
    <col min="4" max="4" width="12.5703125" customWidth="1"/>
    <col min="5" max="5" width="13.28515625" customWidth="1"/>
    <col min="6" max="6" width="13.85546875" customWidth="1"/>
    <col min="7" max="7" width="13.7109375" customWidth="1"/>
    <col min="8" max="8" width="12.85546875" customWidth="1"/>
    <col min="9" max="9" width="12.140625" bestFit="1" customWidth="1"/>
    <col min="10" max="10" width="12" bestFit="1" customWidth="1"/>
    <col min="11" max="11" width="34" customWidth="1"/>
  </cols>
  <sheetData>
    <row r="2" spans="2:11" x14ac:dyDescent="0.25">
      <c r="B2" s="75" t="s">
        <v>101</v>
      </c>
      <c r="C2" s="76"/>
      <c r="D2" s="76"/>
      <c r="E2" s="76"/>
      <c r="F2" s="76"/>
      <c r="G2" s="76"/>
      <c r="H2" s="76"/>
    </row>
    <row r="4" spans="2:11" x14ac:dyDescent="0.25">
      <c r="B4" t="s">
        <v>92</v>
      </c>
    </row>
    <row r="5" spans="2:11" x14ac:dyDescent="0.25">
      <c r="B5" t="s">
        <v>93</v>
      </c>
    </row>
    <row r="6" spans="2:11" x14ac:dyDescent="0.25">
      <c r="B6" t="s">
        <v>94</v>
      </c>
    </row>
    <row r="8" spans="2:11" x14ac:dyDescent="0.25">
      <c r="B8" s="79" t="s">
        <v>95</v>
      </c>
      <c r="C8" s="77" t="s">
        <v>103</v>
      </c>
      <c r="D8" s="78"/>
      <c r="E8" s="80" t="s">
        <v>96</v>
      </c>
      <c r="F8" s="80" t="s">
        <v>97</v>
      </c>
      <c r="G8" s="94"/>
      <c r="H8" s="94"/>
      <c r="I8" s="94"/>
    </row>
    <row r="9" spans="2:11" x14ac:dyDescent="0.25">
      <c r="B9" t="s">
        <v>102</v>
      </c>
      <c r="D9" s="72">
        <v>98</v>
      </c>
      <c r="G9" s="95"/>
      <c r="H9" s="95"/>
      <c r="I9" s="95"/>
    </row>
    <row r="10" spans="2:11" x14ac:dyDescent="0.25">
      <c r="B10" t="s">
        <v>98</v>
      </c>
      <c r="D10">
        <v>104</v>
      </c>
      <c r="G10" s="95"/>
      <c r="H10" s="95"/>
      <c r="I10" s="95"/>
      <c r="K10" t="s">
        <v>125</v>
      </c>
    </row>
    <row r="11" spans="2:11" x14ac:dyDescent="0.25">
      <c r="B11" t="s">
        <v>99</v>
      </c>
      <c r="D11">
        <v>202</v>
      </c>
      <c r="G11" s="95"/>
      <c r="H11" s="95"/>
      <c r="I11" s="95"/>
      <c r="K11" s="11"/>
    </row>
    <row r="12" spans="2:11" x14ac:dyDescent="0.25">
      <c r="B12" t="s">
        <v>100</v>
      </c>
      <c r="D12">
        <v>340</v>
      </c>
      <c r="G12" s="95"/>
      <c r="H12" s="95"/>
      <c r="I12" s="95"/>
      <c r="K12" s="37" t="s">
        <v>122</v>
      </c>
    </row>
    <row r="13" spans="2:11" x14ac:dyDescent="0.25">
      <c r="K13" s="37" t="s">
        <v>123</v>
      </c>
    </row>
    <row r="14" spans="2:11" x14ac:dyDescent="0.25">
      <c r="D14">
        <v>110.74</v>
      </c>
      <c r="E14" s="81">
        <v>117.52</v>
      </c>
      <c r="F14" s="81">
        <v>228.26</v>
      </c>
      <c r="G14" s="83">
        <v>384.2</v>
      </c>
      <c r="K14" s="37"/>
    </row>
    <row r="15" spans="2:11" x14ac:dyDescent="0.25">
      <c r="C15" t="s">
        <v>104</v>
      </c>
      <c r="D15" s="50">
        <f>+D14*0.87</f>
        <v>96.343800000000002</v>
      </c>
      <c r="E15" s="50">
        <f>+E14*0.87</f>
        <v>102.24239999999999</v>
      </c>
      <c r="F15" s="50">
        <f>+F14*0.87</f>
        <v>198.58619999999999</v>
      </c>
      <c r="G15" s="50">
        <f>+G14*0.87</f>
        <v>334.25399999999996</v>
      </c>
      <c r="K15" s="37"/>
    </row>
    <row r="16" spans="2:11" x14ac:dyDescent="0.25">
      <c r="D16" s="50">
        <f>+D14*0.13</f>
        <v>14.3962</v>
      </c>
      <c r="E16" s="50">
        <f>+E14*0.13</f>
        <v>15.2776</v>
      </c>
      <c r="F16" s="50">
        <f>+F14*0.13</f>
        <v>29.6738</v>
      </c>
      <c r="G16" s="50">
        <f>+G14*0.13</f>
        <v>49.945999999999998</v>
      </c>
      <c r="K16" s="97" t="s">
        <v>124</v>
      </c>
    </row>
    <row r="17" spans="2:12" x14ac:dyDescent="0.25">
      <c r="K17" s="96"/>
    </row>
    <row r="18" spans="2:12" x14ac:dyDescent="0.25">
      <c r="C18" t="s">
        <v>105</v>
      </c>
      <c r="D18" s="72">
        <v>98</v>
      </c>
      <c r="F18">
        <v>112.64</v>
      </c>
      <c r="H18" t="s">
        <v>106</v>
      </c>
      <c r="I18" s="84">
        <v>13</v>
      </c>
      <c r="J18" t="s">
        <v>111</v>
      </c>
    </row>
    <row r="19" spans="2:12" x14ac:dyDescent="0.25">
      <c r="C19" t="s">
        <v>109</v>
      </c>
      <c r="D19">
        <v>14.94</v>
      </c>
      <c r="F19">
        <f>110.74*0.13</f>
        <v>14.3962</v>
      </c>
      <c r="H19" t="s">
        <v>107</v>
      </c>
      <c r="I19" t="s">
        <v>108</v>
      </c>
      <c r="K19" s="98" t="s">
        <v>126</v>
      </c>
      <c r="L19" s="27"/>
    </row>
    <row r="20" spans="2:12" x14ac:dyDescent="0.25">
      <c r="D20">
        <f>98*D19/100</f>
        <v>14.6412</v>
      </c>
      <c r="F20" s="107">
        <f>+F18-F19</f>
        <v>98.243799999999993</v>
      </c>
      <c r="I20">
        <f>13/87</f>
        <v>0.14942528735632185</v>
      </c>
      <c r="K20" s="99"/>
      <c r="L20" s="100"/>
    </row>
    <row r="21" spans="2:12" x14ac:dyDescent="0.25">
      <c r="D21" s="82">
        <f>+D18+D20</f>
        <v>112.6412</v>
      </c>
      <c r="I21" s="87">
        <f>+I20*100</f>
        <v>14.942528735632186</v>
      </c>
      <c r="J21" t="s">
        <v>111</v>
      </c>
      <c r="K21" s="99" t="s">
        <v>127</v>
      </c>
      <c r="L21" s="100"/>
    </row>
    <row r="22" spans="2:12" x14ac:dyDescent="0.25">
      <c r="C22" t="s">
        <v>110</v>
      </c>
      <c r="D22" s="85">
        <f>+D21*0.87</f>
        <v>97.997844000000001</v>
      </c>
      <c r="K22" s="99"/>
      <c r="L22" s="100"/>
    </row>
    <row r="23" spans="2:12" x14ac:dyDescent="0.25">
      <c r="D23" s="81">
        <f>+D21*0.13</f>
        <v>14.643356000000001</v>
      </c>
      <c r="K23" s="99"/>
      <c r="L23" s="100"/>
    </row>
    <row r="24" spans="2:12" x14ac:dyDescent="0.25">
      <c r="D24" s="81"/>
      <c r="E24">
        <v>98</v>
      </c>
      <c r="K24" s="103" t="s">
        <v>128</v>
      </c>
      <c r="L24" s="100"/>
    </row>
    <row r="25" spans="2:12" x14ac:dyDescent="0.25">
      <c r="E25">
        <v>96.34</v>
      </c>
      <c r="K25" s="101"/>
      <c r="L25" s="102"/>
    </row>
    <row r="26" spans="2:12" x14ac:dyDescent="0.25">
      <c r="E26" s="72">
        <f>+E24-E25</f>
        <v>1.6599999999999966</v>
      </c>
    </row>
    <row r="27" spans="2:12" x14ac:dyDescent="0.25">
      <c r="E27" s="72"/>
    </row>
    <row r="28" spans="2:12" x14ac:dyDescent="0.25">
      <c r="E28" s="72"/>
    </row>
    <row r="29" spans="2:12" x14ac:dyDescent="0.25">
      <c r="K29" s="110">
        <v>13</v>
      </c>
      <c r="L29" s="110"/>
    </row>
    <row r="30" spans="2:12" x14ac:dyDescent="0.25">
      <c r="K30" s="110">
        <v>87</v>
      </c>
      <c r="L30" s="110"/>
    </row>
    <row r="31" spans="2:12" x14ac:dyDescent="0.25">
      <c r="B31" s="79" t="s">
        <v>95</v>
      </c>
      <c r="C31" s="1" t="s">
        <v>103</v>
      </c>
      <c r="D31" s="1"/>
      <c r="E31" s="79" t="s">
        <v>96</v>
      </c>
      <c r="F31" s="79" t="s">
        <v>97</v>
      </c>
      <c r="G31" s="86" t="s">
        <v>112</v>
      </c>
      <c r="H31" s="86" t="s">
        <v>113</v>
      </c>
      <c r="K31" s="110">
        <v>100</v>
      </c>
      <c r="L31" s="110"/>
    </row>
    <row r="32" spans="2:12" x14ac:dyDescent="0.25">
      <c r="B32" s="1" t="s">
        <v>102</v>
      </c>
      <c r="C32" s="1"/>
      <c r="D32" s="10">
        <v>98</v>
      </c>
      <c r="E32" s="1">
        <v>14.64</v>
      </c>
      <c r="F32" s="90">
        <v>112.64</v>
      </c>
      <c r="G32" s="48">
        <f>+F32*0.87</f>
        <v>97.996799999999993</v>
      </c>
      <c r="H32" s="88">
        <f>+F32-G32</f>
        <v>14.643200000000007</v>
      </c>
      <c r="K32" s="110"/>
      <c r="L32" s="110"/>
    </row>
    <row r="33" spans="2:13" x14ac:dyDescent="0.25">
      <c r="B33" s="1" t="s">
        <v>98</v>
      </c>
      <c r="C33" s="1"/>
      <c r="D33" s="10">
        <v>104</v>
      </c>
      <c r="E33" s="1">
        <v>15.54</v>
      </c>
      <c r="F33" s="90">
        <v>119.54</v>
      </c>
      <c r="G33" s="48">
        <f t="shared" ref="G33:G35" si="0">+F33*0.87</f>
        <v>103.99980000000001</v>
      </c>
      <c r="H33" s="88">
        <f t="shared" ref="H33:H35" si="1">+F33-G33</f>
        <v>15.540199999999999</v>
      </c>
      <c r="K33" s="110">
        <v>87</v>
      </c>
      <c r="L33" s="112">
        <v>1</v>
      </c>
    </row>
    <row r="34" spans="2:13" x14ac:dyDescent="0.25">
      <c r="B34" s="1" t="s">
        <v>99</v>
      </c>
      <c r="C34" s="1"/>
      <c r="D34" s="10">
        <v>202</v>
      </c>
      <c r="E34" s="1">
        <v>30.18</v>
      </c>
      <c r="F34" s="90">
        <v>232.18</v>
      </c>
      <c r="G34" s="48">
        <f t="shared" si="0"/>
        <v>201.9966</v>
      </c>
      <c r="H34" s="88">
        <f t="shared" si="1"/>
        <v>30.183400000000006</v>
      </c>
      <c r="K34" s="110">
        <v>13</v>
      </c>
      <c r="L34" s="110" t="s">
        <v>132</v>
      </c>
    </row>
    <row r="35" spans="2:13" x14ac:dyDescent="0.25">
      <c r="B35" s="1" t="s">
        <v>100</v>
      </c>
      <c r="C35" s="1"/>
      <c r="D35" s="10">
        <v>340</v>
      </c>
      <c r="E35" s="1">
        <v>50.8</v>
      </c>
      <c r="F35" s="90">
        <v>390.8</v>
      </c>
      <c r="G35" s="48">
        <f t="shared" si="0"/>
        <v>339.99599999999998</v>
      </c>
      <c r="H35" s="88">
        <f t="shared" si="1"/>
        <v>50.80400000000003</v>
      </c>
      <c r="K35" s="110"/>
      <c r="L35" s="110"/>
    </row>
    <row r="36" spans="2:13" x14ac:dyDescent="0.25">
      <c r="K36" s="110" t="s">
        <v>129</v>
      </c>
      <c r="L36" s="110"/>
    </row>
    <row r="37" spans="2:13" x14ac:dyDescent="0.25">
      <c r="D37" s="10">
        <v>98</v>
      </c>
      <c r="E37" s="22">
        <f>+D37*1.1494</f>
        <v>112.6412</v>
      </c>
      <c r="K37" s="110" t="s">
        <v>130</v>
      </c>
      <c r="L37" s="110"/>
    </row>
    <row r="38" spans="2:13" x14ac:dyDescent="0.25">
      <c r="D38" s="10">
        <v>104</v>
      </c>
      <c r="E38" s="22">
        <f t="shared" ref="E38:E40" si="2">+D38*1.1494</f>
        <v>119.5376</v>
      </c>
      <c r="K38" s="110" t="s">
        <v>131</v>
      </c>
      <c r="L38" s="113">
        <f>1300/87</f>
        <v>14.942528735632184</v>
      </c>
    </row>
    <row r="39" spans="2:13" x14ac:dyDescent="0.25">
      <c r="D39" s="10">
        <v>202</v>
      </c>
      <c r="E39" s="22">
        <f t="shared" si="2"/>
        <v>232.1788</v>
      </c>
    </row>
    <row r="40" spans="2:13" x14ac:dyDescent="0.25">
      <c r="D40" s="10">
        <v>340</v>
      </c>
      <c r="E40" s="22">
        <f t="shared" si="2"/>
        <v>390.79599999999999</v>
      </c>
      <c r="K40" s="124" t="s">
        <v>140</v>
      </c>
      <c r="L40" s="125" t="s">
        <v>141</v>
      </c>
    </row>
    <row r="41" spans="2:13" x14ac:dyDescent="0.25">
      <c r="K41" s="104">
        <v>0.15</v>
      </c>
      <c r="L41">
        <v>17.649999999999999</v>
      </c>
      <c r="M41">
        <f>15/85</f>
        <v>0.17647058823529413</v>
      </c>
    </row>
    <row r="42" spans="2:13" x14ac:dyDescent="0.25">
      <c r="K42" s="111">
        <v>0.2</v>
      </c>
      <c r="L42" s="76">
        <v>25</v>
      </c>
      <c r="M42">
        <f>20/80</f>
        <v>0.25</v>
      </c>
    </row>
    <row r="43" spans="2:13" x14ac:dyDescent="0.25">
      <c r="B43" t="s">
        <v>114</v>
      </c>
      <c r="C43" t="s">
        <v>115</v>
      </c>
      <c r="D43" t="s">
        <v>85</v>
      </c>
      <c r="K43" s="104">
        <v>0.25</v>
      </c>
      <c r="L43">
        <v>33.33</v>
      </c>
      <c r="M43">
        <f>25/75</f>
        <v>0.33333333333333331</v>
      </c>
    </row>
    <row r="44" spans="2:13" x14ac:dyDescent="0.25">
      <c r="K44" s="104">
        <v>0.3</v>
      </c>
      <c r="L44">
        <v>42.86</v>
      </c>
      <c r="M44">
        <f>30/70</f>
        <v>0.42857142857142855</v>
      </c>
    </row>
    <row r="45" spans="2:13" x14ac:dyDescent="0.25">
      <c r="B45" s="89">
        <v>1240</v>
      </c>
      <c r="C45" s="81"/>
      <c r="D45" s="81">
        <v>1425.29</v>
      </c>
      <c r="E45" s="81">
        <f>+B45*1.1494</f>
        <v>1425.2559999999999</v>
      </c>
      <c r="F45" s="91">
        <f>+E45*0.87</f>
        <v>1239.97272</v>
      </c>
      <c r="K45" s="104">
        <v>0.5</v>
      </c>
      <c r="L45">
        <v>100</v>
      </c>
      <c r="M45">
        <f>50/50</f>
        <v>1</v>
      </c>
    </row>
    <row r="46" spans="2:13" x14ac:dyDescent="0.25">
      <c r="B46" s="81">
        <v>6580</v>
      </c>
      <c r="C46" s="81"/>
      <c r="D46" s="81">
        <v>7563.05</v>
      </c>
      <c r="E46" s="81">
        <f t="shared" ref="E46:E48" si="3">+B46*1.1494</f>
        <v>7563.0519999999997</v>
      </c>
      <c r="F46" s="91">
        <f t="shared" ref="F46:F48" si="4">+E46*0.87</f>
        <v>6579.8552399999999</v>
      </c>
      <c r="K46" s="104">
        <v>1</v>
      </c>
      <c r="L46">
        <v>200</v>
      </c>
      <c r="M46">
        <f>200/100</f>
        <v>2</v>
      </c>
    </row>
    <row r="47" spans="2:13" x14ac:dyDescent="0.25">
      <c r="B47" s="81">
        <v>12620</v>
      </c>
      <c r="C47" s="81"/>
      <c r="D47" s="81">
        <v>14505.43</v>
      </c>
      <c r="E47" s="81">
        <f t="shared" si="3"/>
        <v>14505.428</v>
      </c>
      <c r="F47" s="91">
        <f t="shared" si="4"/>
        <v>12619.72236</v>
      </c>
    </row>
    <row r="48" spans="2:13" x14ac:dyDescent="0.25">
      <c r="B48" s="81">
        <v>20000</v>
      </c>
      <c r="C48" s="81"/>
      <c r="D48" s="81">
        <v>22988.51</v>
      </c>
      <c r="E48" s="81">
        <f t="shared" si="3"/>
        <v>22988</v>
      </c>
      <c r="F48" s="91">
        <f t="shared" si="4"/>
        <v>19999.560000000001</v>
      </c>
    </row>
    <row r="50" spans="2:13" x14ac:dyDescent="0.25">
      <c r="B50" t="s">
        <v>116</v>
      </c>
      <c r="I50">
        <f>13/87</f>
        <v>0.14942528735632185</v>
      </c>
      <c r="J50">
        <f>20/80</f>
        <v>0.25</v>
      </c>
      <c r="K50">
        <f>+J50*100</f>
        <v>25</v>
      </c>
    </row>
    <row r="51" spans="2:13" x14ac:dyDescent="0.25">
      <c r="C51" t="s">
        <v>117</v>
      </c>
      <c r="D51" t="s">
        <v>118</v>
      </c>
      <c r="F51" t="s">
        <v>120</v>
      </c>
      <c r="G51" t="s">
        <v>119</v>
      </c>
      <c r="H51" t="s">
        <v>121</v>
      </c>
    </row>
    <row r="52" spans="2:13" x14ac:dyDescent="0.25">
      <c r="B52" s="1" t="s">
        <v>102</v>
      </c>
      <c r="C52" s="10">
        <v>98</v>
      </c>
      <c r="D52" s="1">
        <f>+C52*0.25</f>
        <v>24.5</v>
      </c>
      <c r="E52" s="1"/>
      <c r="F52" s="1">
        <f>+C52+D52</f>
        <v>122.5</v>
      </c>
      <c r="G52" s="1">
        <f>+F52*0.1494</f>
        <v>18.301500000000001</v>
      </c>
      <c r="H52" s="114">
        <f>+F52+G52</f>
        <v>140.8015</v>
      </c>
      <c r="J52" s="6">
        <f>+H52-G52</f>
        <v>122.5</v>
      </c>
      <c r="K52" s="93">
        <f>+J52-D52</f>
        <v>98</v>
      </c>
      <c r="L52" s="92"/>
    </row>
    <row r="53" spans="2:13" x14ac:dyDescent="0.25">
      <c r="B53" s="1" t="s">
        <v>98</v>
      </c>
      <c r="C53" s="110">
        <v>104</v>
      </c>
      <c r="D53" s="1">
        <f>104*0.25</f>
        <v>26</v>
      </c>
      <c r="E53" s="1"/>
      <c r="F53" s="1">
        <f>+C53+D53</f>
        <v>130</v>
      </c>
      <c r="G53" s="1">
        <f>130*0.1494</f>
        <v>19.422000000000001</v>
      </c>
      <c r="H53" s="115">
        <f>+F53+G53</f>
        <v>149.422</v>
      </c>
      <c r="J53">
        <f>149.42*0.13</f>
        <v>19.424599999999998</v>
      </c>
      <c r="K53" s="106">
        <f>+H53-J53</f>
        <v>129.9974</v>
      </c>
      <c r="L53">
        <f>130*0.2</f>
        <v>26</v>
      </c>
      <c r="M53" s="108">
        <f>+K53-L53</f>
        <v>103.9974</v>
      </c>
    </row>
    <row r="54" spans="2:13" x14ac:dyDescent="0.25">
      <c r="B54" s="1" t="s">
        <v>99</v>
      </c>
      <c r="C54" s="1">
        <v>202</v>
      </c>
      <c r="D54" s="1">
        <f>+C54*0.25</f>
        <v>50.5</v>
      </c>
      <c r="E54" s="1"/>
      <c r="F54" s="1">
        <f>+C54+D54</f>
        <v>252.5</v>
      </c>
      <c r="G54" s="1">
        <f>+F54*0.1494</f>
        <v>37.723500000000001</v>
      </c>
      <c r="H54" s="115">
        <f>+F54+G54</f>
        <v>290.2235</v>
      </c>
      <c r="J54">
        <f>+H54*0.13</f>
        <v>37.729055000000002</v>
      </c>
      <c r="K54" s="116">
        <f>+H54-J54</f>
        <v>252.49444499999998</v>
      </c>
      <c r="L54">
        <f>+K54*0.2</f>
        <v>50.498888999999998</v>
      </c>
      <c r="M54" s="117">
        <f>+K54-L54</f>
        <v>201.99555599999999</v>
      </c>
    </row>
    <row r="55" spans="2:13" x14ac:dyDescent="0.25">
      <c r="B55" s="1" t="s">
        <v>100</v>
      </c>
      <c r="C55" s="1">
        <v>340</v>
      </c>
      <c r="D55" s="1"/>
      <c r="E55" s="1"/>
      <c r="F55" s="1">
        <f>+C55*1.25</f>
        <v>425</v>
      </c>
      <c r="G55" s="1">
        <f>+F55*0.1494</f>
        <v>63.495000000000005</v>
      </c>
      <c r="H55" s="115">
        <f>+F55*1.1494</f>
        <v>488.495</v>
      </c>
      <c r="J55">
        <f>+H55*0.13</f>
        <v>63.504350000000002</v>
      </c>
      <c r="K55" s="116">
        <f>+H55-J55</f>
        <v>424.99065000000002</v>
      </c>
      <c r="L55">
        <f>+K55*0.2</f>
        <v>84.998130000000003</v>
      </c>
      <c r="M55" s="117">
        <f>+K55-L55</f>
        <v>339.99252000000001</v>
      </c>
    </row>
    <row r="56" spans="2:13" x14ac:dyDescent="0.25">
      <c r="H56" s="116"/>
    </row>
    <row r="58" spans="2:13" x14ac:dyDescent="0.25">
      <c r="B58" t="s">
        <v>133</v>
      </c>
    </row>
    <row r="59" spans="2:13" x14ac:dyDescent="0.25">
      <c r="B59" t="s">
        <v>93</v>
      </c>
    </row>
    <row r="60" spans="2:13" x14ac:dyDescent="0.25">
      <c r="B60" t="s">
        <v>94</v>
      </c>
    </row>
    <row r="61" spans="2:13" x14ac:dyDescent="0.25">
      <c r="J61">
        <v>14.94</v>
      </c>
    </row>
    <row r="62" spans="2:13" x14ac:dyDescent="0.25">
      <c r="B62" s="79" t="s">
        <v>95</v>
      </c>
      <c r="C62" s="77" t="s">
        <v>103</v>
      </c>
      <c r="D62" s="78"/>
      <c r="F62" t="s">
        <v>113</v>
      </c>
      <c r="G62" t="s">
        <v>134</v>
      </c>
      <c r="J62" t="s">
        <v>135</v>
      </c>
    </row>
    <row r="63" spans="2:13" x14ac:dyDescent="0.25">
      <c r="B63" t="s">
        <v>102</v>
      </c>
      <c r="D63" s="76">
        <v>120</v>
      </c>
      <c r="F63" s="106">
        <f>120*0.1494</f>
        <v>17.928000000000001</v>
      </c>
      <c r="G63" s="106">
        <f>+D63+F63</f>
        <v>137.928</v>
      </c>
      <c r="H63" s="106">
        <f>+D63*1.1494</f>
        <v>137.928</v>
      </c>
      <c r="J63" t="s">
        <v>136</v>
      </c>
      <c r="K63">
        <f>+H63*0.13</f>
        <v>17.93064</v>
      </c>
      <c r="M63" s="109">
        <f>+H63-K63</f>
        <v>119.99736</v>
      </c>
    </row>
    <row r="64" spans="2:13" x14ac:dyDescent="0.25">
      <c r="B64" t="s">
        <v>98</v>
      </c>
      <c r="D64" s="76">
        <v>180</v>
      </c>
      <c r="F64" s="106">
        <f>+D64*0.1494</f>
        <v>26.891999999999999</v>
      </c>
      <c r="G64" s="106">
        <f t="shared" ref="G64:G66" si="5">+D64+F64</f>
        <v>206.892</v>
      </c>
      <c r="H64" s="106">
        <f t="shared" ref="H64:H66" si="6">+D64*1.1494</f>
        <v>206.892</v>
      </c>
      <c r="J64" t="s">
        <v>137</v>
      </c>
      <c r="K64">
        <f t="shared" ref="K64:K66" si="7">+H64*0.13</f>
        <v>26.895959999999999</v>
      </c>
      <c r="M64" s="109">
        <f t="shared" ref="M64:M66" si="8">+H64-K64</f>
        <v>179.99603999999999</v>
      </c>
    </row>
    <row r="65" spans="2:13" x14ac:dyDescent="0.25">
      <c r="B65" t="s">
        <v>99</v>
      </c>
      <c r="D65" s="76">
        <v>250</v>
      </c>
      <c r="F65" s="106">
        <f>250*0.1494</f>
        <v>37.35</v>
      </c>
      <c r="G65" s="106">
        <f t="shared" si="5"/>
        <v>287.35000000000002</v>
      </c>
      <c r="H65" s="106">
        <f t="shared" si="6"/>
        <v>287.35000000000002</v>
      </c>
      <c r="J65" t="s">
        <v>138</v>
      </c>
      <c r="K65">
        <f t="shared" si="7"/>
        <v>37.355500000000006</v>
      </c>
      <c r="M65" s="109">
        <f t="shared" si="8"/>
        <v>249.99450000000002</v>
      </c>
    </row>
    <row r="66" spans="2:13" x14ac:dyDescent="0.25">
      <c r="B66" t="s">
        <v>100</v>
      </c>
      <c r="D66" s="76">
        <v>400</v>
      </c>
      <c r="F66" s="106">
        <f>400*0.1494</f>
        <v>59.760000000000005</v>
      </c>
      <c r="G66" s="106">
        <f t="shared" si="5"/>
        <v>459.76</v>
      </c>
      <c r="H66" s="106">
        <f t="shared" si="6"/>
        <v>459.76</v>
      </c>
      <c r="J66" t="s">
        <v>139</v>
      </c>
      <c r="K66">
        <f t="shared" si="7"/>
        <v>59.768799999999999</v>
      </c>
      <c r="M66" s="109">
        <f t="shared" si="8"/>
        <v>399.99119999999999</v>
      </c>
    </row>
    <row r="68" spans="2:13" x14ac:dyDescent="0.25">
      <c r="B68" s="118" t="s">
        <v>133</v>
      </c>
    </row>
    <row r="70" spans="2:13" x14ac:dyDescent="0.25">
      <c r="B70" t="s">
        <v>142</v>
      </c>
    </row>
    <row r="71" spans="2:13" x14ac:dyDescent="0.25">
      <c r="C71" s="80" t="s">
        <v>155</v>
      </c>
    </row>
    <row r="72" spans="2:13" x14ac:dyDescent="0.25">
      <c r="B72" t="s">
        <v>143</v>
      </c>
      <c r="C72" s="81">
        <v>8000</v>
      </c>
    </row>
    <row r="73" spans="2:13" x14ac:dyDescent="0.25">
      <c r="B73" t="s">
        <v>144</v>
      </c>
      <c r="C73" s="81">
        <v>12000</v>
      </c>
    </row>
    <row r="74" spans="2:13" x14ac:dyDescent="0.25">
      <c r="B74" t="s">
        <v>145</v>
      </c>
      <c r="C74" s="81">
        <v>3000</v>
      </c>
    </row>
    <row r="75" spans="2:13" x14ac:dyDescent="0.25">
      <c r="B75" t="s">
        <v>146</v>
      </c>
      <c r="C75" s="81">
        <v>4000</v>
      </c>
    </row>
    <row r="76" spans="2:13" x14ac:dyDescent="0.25">
      <c r="B76" t="s">
        <v>147</v>
      </c>
      <c r="C76" s="81">
        <v>1200</v>
      </c>
    </row>
    <row r="78" spans="2:13" x14ac:dyDescent="0.25">
      <c r="B78" t="s">
        <v>148</v>
      </c>
      <c r="D78" s="80" t="s">
        <v>156</v>
      </c>
      <c r="E78" s="80" t="s">
        <v>156</v>
      </c>
    </row>
    <row r="79" spans="2:13" x14ac:dyDescent="0.25">
      <c r="B79" t="s">
        <v>149</v>
      </c>
      <c r="E79" s="121">
        <v>28200</v>
      </c>
    </row>
    <row r="80" spans="2:13" x14ac:dyDescent="0.25">
      <c r="B80" t="s">
        <v>150</v>
      </c>
      <c r="E80" s="119">
        <v>20000</v>
      </c>
    </row>
    <row r="81" spans="2:10" x14ac:dyDescent="0.25">
      <c r="B81" t="s">
        <v>151</v>
      </c>
      <c r="E81" s="81">
        <f>+C72+D82</f>
        <v>16200</v>
      </c>
    </row>
    <row r="82" spans="2:10" x14ac:dyDescent="0.25">
      <c r="B82" t="s">
        <v>154</v>
      </c>
      <c r="D82" s="120">
        <f>+C74+C75+C76</f>
        <v>8200</v>
      </c>
      <c r="E82" s="81"/>
    </row>
    <row r="83" spans="2:10" x14ac:dyDescent="0.25">
      <c r="B83" t="s">
        <v>152</v>
      </c>
      <c r="D83" s="105">
        <f>40/60</f>
        <v>0.66666666666666663</v>
      </c>
      <c r="E83" s="81">
        <f>+D83*100</f>
        <v>66.666666666666657</v>
      </c>
      <c r="F83" t="s">
        <v>157</v>
      </c>
      <c r="G83" t="s">
        <v>158</v>
      </c>
      <c r="I83" s="81">
        <f>28200*0.6667</f>
        <v>18800.939999999999</v>
      </c>
      <c r="J83" s="123">
        <f>+E79+I83</f>
        <v>47000.94</v>
      </c>
    </row>
    <row r="84" spans="2:10" x14ac:dyDescent="0.25">
      <c r="B84" t="s">
        <v>153</v>
      </c>
      <c r="E84" s="81"/>
      <c r="F84" s="118">
        <v>47000.94</v>
      </c>
      <c r="G84">
        <v>0.14940000000000001</v>
      </c>
      <c r="I84" s="81">
        <f>+F84*0.1494</f>
        <v>7021.9404360000008</v>
      </c>
      <c r="J84" s="120">
        <f>+F84+I84</f>
        <v>54022.880436000007</v>
      </c>
    </row>
    <row r="86" spans="2:10" x14ac:dyDescent="0.25">
      <c r="B86" t="s">
        <v>159</v>
      </c>
    </row>
    <row r="87" spans="2:10" x14ac:dyDescent="0.25">
      <c r="B87" t="s">
        <v>160</v>
      </c>
      <c r="D87" s="81">
        <v>54022.879999999997</v>
      </c>
      <c r="E87" s="81">
        <f>+D87*0.13</f>
        <v>7022.9744000000001</v>
      </c>
      <c r="F87" s="81">
        <f>+D87-E87</f>
        <v>46999.905599999998</v>
      </c>
      <c r="G87" s="81"/>
      <c r="H87" s="81">
        <f>+F87*0.4</f>
        <v>18799.962240000001</v>
      </c>
      <c r="I87" s="122">
        <f>+F87-H87</f>
        <v>28199.943359999997</v>
      </c>
      <c r="J87" s="106"/>
    </row>
    <row r="90" spans="2:10" x14ac:dyDescent="0.25">
      <c r="B90" s="118" t="s">
        <v>161</v>
      </c>
    </row>
    <row r="92" spans="2:10" x14ac:dyDescent="0.25">
      <c r="B92" s="66" t="s">
        <v>0</v>
      </c>
      <c r="C92" s="66">
        <v>10000</v>
      </c>
      <c r="D92" s="20"/>
      <c r="E92" s="20"/>
      <c r="F92" s="20"/>
      <c r="G92" s="20"/>
      <c r="H92" s="20"/>
      <c r="I92" s="20"/>
      <c r="J92" s="2"/>
    </row>
    <row r="93" spans="2:10" x14ac:dyDescent="0.25">
      <c r="B93" s="66" t="s">
        <v>1</v>
      </c>
      <c r="C93" s="66">
        <v>3500</v>
      </c>
      <c r="D93" s="20"/>
      <c r="E93" s="20"/>
      <c r="F93" s="20"/>
      <c r="G93" s="20"/>
      <c r="H93" s="20"/>
      <c r="I93" s="20"/>
      <c r="J93" s="2"/>
    </row>
    <row r="94" spans="2:10" x14ac:dyDescent="0.25">
      <c r="B94" s="66" t="s">
        <v>70</v>
      </c>
      <c r="C94" s="66">
        <v>1500</v>
      </c>
      <c r="D94" s="20"/>
      <c r="E94" s="20"/>
      <c r="F94" s="20"/>
      <c r="G94" s="20"/>
      <c r="H94" s="20"/>
      <c r="I94" s="20"/>
      <c r="J94" s="2"/>
    </row>
    <row r="95" spans="2:10" x14ac:dyDescent="0.25">
      <c r="B95" s="66" t="s">
        <v>2</v>
      </c>
      <c r="C95" s="66">
        <v>150</v>
      </c>
      <c r="D95" s="20"/>
      <c r="E95" s="20"/>
      <c r="F95" s="20"/>
      <c r="G95" s="20"/>
      <c r="H95" s="20"/>
      <c r="I95" s="20"/>
      <c r="J95" s="2"/>
    </row>
    <row r="96" spans="2:10" x14ac:dyDescent="0.25">
      <c r="B96" s="66" t="s">
        <v>3</v>
      </c>
      <c r="C96" s="66">
        <v>75</v>
      </c>
      <c r="D96" s="20"/>
      <c r="E96" s="20"/>
      <c r="F96" s="20"/>
      <c r="G96" s="20"/>
      <c r="H96" s="20"/>
      <c r="I96" s="20"/>
      <c r="J96" s="2"/>
    </row>
    <row r="97" spans="2:11" x14ac:dyDescent="0.25">
      <c r="B97" s="66" t="s">
        <v>4</v>
      </c>
      <c r="C97" s="66">
        <v>15</v>
      </c>
      <c r="D97" s="20"/>
      <c r="E97" s="20"/>
      <c r="F97" s="20"/>
      <c r="G97" s="20"/>
      <c r="H97" s="20"/>
      <c r="I97" s="20"/>
      <c r="J97" s="2"/>
    </row>
    <row r="98" spans="2:11" x14ac:dyDescent="0.25">
      <c r="B98" s="66" t="s">
        <v>5</v>
      </c>
      <c r="C98" s="66">
        <v>250</v>
      </c>
      <c r="D98" s="20"/>
      <c r="E98" s="20"/>
      <c r="F98" s="20"/>
      <c r="G98" s="20"/>
      <c r="H98" s="20"/>
      <c r="I98" s="20"/>
      <c r="J98" s="2"/>
    </row>
    <row r="99" spans="2:11" x14ac:dyDescent="0.25">
      <c r="B99" s="66" t="s">
        <v>6</v>
      </c>
      <c r="C99" s="66">
        <v>2500</v>
      </c>
      <c r="D99" s="20"/>
      <c r="E99" s="20"/>
      <c r="F99" s="20"/>
      <c r="G99" s="20"/>
      <c r="H99" s="20"/>
      <c r="I99" s="20"/>
      <c r="J99" s="2"/>
    </row>
    <row r="100" spans="2:11" x14ac:dyDescent="0.25">
      <c r="B100" s="66" t="s">
        <v>7</v>
      </c>
      <c r="C100" s="66"/>
      <c r="D100" s="20"/>
      <c r="E100" s="20"/>
      <c r="F100" s="20"/>
      <c r="G100" s="20"/>
      <c r="H100" s="20"/>
      <c r="I100" s="20"/>
      <c r="J100" s="2"/>
    </row>
    <row r="101" spans="2:11" x14ac:dyDescent="0.25">
      <c r="B101" s="66"/>
      <c r="C101" s="66"/>
      <c r="D101" s="66"/>
      <c r="E101" s="66"/>
      <c r="F101" s="66"/>
      <c r="G101" s="66"/>
      <c r="H101" s="66"/>
      <c r="I101" s="66"/>
      <c r="J101" s="2"/>
    </row>
    <row r="102" spans="2:11" x14ac:dyDescent="0.25">
      <c r="B102" s="66" t="s">
        <v>8</v>
      </c>
      <c r="C102" s="66" t="s">
        <v>14</v>
      </c>
      <c r="D102" s="66" t="s">
        <v>15</v>
      </c>
      <c r="E102" s="66" t="s">
        <v>16</v>
      </c>
      <c r="F102" s="66"/>
      <c r="G102" s="66"/>
      <c r="H102" s="66"/>
      <c r="I102" s="66"/>
      <c r="J102" s="2"/>
    </row>
    <row r="103" spans="2:11" x14ac:dyDescent="0.25">
      <c r="B103" s="66" t="s">
        <v>13</v>
      </c>
      <c r="C103" s="66">
        <v>10000</v>
      </c>
      <c r="D103" s="66">
        <v>3500</v>
      </c>
      <c r="E103" s="66">
        <v>1500</v>
      </c>
      <c r="F103" s="66"/>
      <c r="G103" s="66"/>
      <c r="H103" s="66"/>
      <c r="I103" s="66">
        <f>SUM(C103:E103)</f>
        <v>15000</v>
      </c>
      <c r="J103" s="2"/>
    </row>
    <row r="104" spans="2:11" x14ac:dyDescent="0.25">
      <c r="B104" s="66" t="s">
        <v>9</v>
      </c>
      <c r="C104" s="66">
        <v>10000</v>
      </c>
      <c r="D104" s="66">
        <v>3500</v>
      </c>
      <c r="E104" s="66"/>
      <c r="F104" s="66"/>
      <c r="G104" s="66"/>
      <c r="H104" s="66"/>
      <c r="I104" s="66">
        <f>SUM(C104:E104)</f>
        <v>13500</v>
      </c>
      <c r="J104" s="2"/>
    </row>
    <row r="105" spans="2:11" x14ac:dyDescent="0.25">
      <c r="B105" s="66" t="s">
        <v>10</v>
      </c>
      <c r="C105" s="66"/>
      <c r="D105" s="66">
        <v>3500</v>
      </c>
      <c r="E105" s="66">
        <v>1500</v>
      </c>
      <c r="F105" s="66"/>
      <c r="G105" s="66"/>
      <c r="H105" s="66"/>
      <c r="I105" s="66">
        <f>+D105+E105</f>
        <v>5000</v>
      </c>
      <c r="J105" s="2"/>
    </row>
    <row r="106" spans="2:11" x14ac:dyDescent="0.25">
      <c r="B106" s="66" t="s">
        <v>11</v>
      </c>
      <c r="C106" s="66">
        <v>15000</v>
      </c>
      <c r="D106" s="66">
        <v>2500</v>
      </c>
      <c r="E106" s="66"/>
      <c r="F106" s="66"/>
      <c r="G106" s="66"/>
      <c r="H106" s="66"/>
      <c r="I106" s="66">
        <f>+C106/D106</f>
        <v>6</v>
      </c>
      <c r="J106" s="2"/>
      <c r="K106" s="72" t="s">
        <v>162</v>
      </c>
    </row>
    <row r="107" spans="2:11" x14ac:dyDescent="0.25">
      <c r="B107" s="66" t="s">
        <v>12</v>
      </c>
      <c r="C107" s="66" t="s">
        <v>17</v>
      </c>
      <c r="D107" s="66" t="s">
        <v>18</v>
      </c>
      <c r="E107" s="66" t="s">
        <v>19</v>
      </c>
      <c r="F107" s="66" t="s">
        <v>20</v>
      </c>
      <c r="G107" s="66" t="s">
        <v>21</v>
      </c>
      <c r="H107" s="66" t="s">
        <v>22</v>
      </c>
      <c r="I107" s="66"/>
      <c r="J107" s="2"/>
      <c r="K107" s="131">
        <f>50/50*100</f>
        <v>100</v>
      </c>
    </row>
    <row r="108" spans="2:11" x14ac:dyDescent="0.25">
      <c r="B108" s="66"/>
      <c r="C108" s="66">
        <v>15000</v>
      </c>
      <c r="D108" s="66">
        <v>150</v>
      </c>
      <c r="E108" s="66">
        <v>75</v>
      </c>
      <c r="F108" s="66">
        <v>15</v>
      </c>
      <c r="G108" s="66">
        <v>250</v>
      </c>
      <c r="H108" s="126">
        <v>15000</v>
      </c>
      <c r="I108" s="66">
        <f>SUM(C108:H108)</f>
        <v>30490</v>
      </c>
      <c r="J108" s="2"/>
    </row>
    <row r="109" spans="2:11" x14ac:dyDescent="0.25">
      <c r="B109" s="66" t="s">
        <v>6</v>
      </c>
      <c r="C109" s="66"/>
      <c r="D109" s="66"/>
      <c r="E109" s="66"/>
      <c r="F109" s="66"/>
      <c r="G109" s="66"/>
      <c r="H109" s="66"/>
      <c r="I109" s="66">
        <v>2500</v>
      </c>
      <c r="J109" s="2"/>
    </row>
    <row r="110" spans="2:11" x14ac:dyDescent="0.25">
      <c r="B110" s="66" t="s">
        <v>23</v>
      </c>
      <c r="C110" s="66"/>
      <c r="D110" s="66"/>
      <c r="E110" s="66"/>
      <c r="F110" s="66"/>
      <c r="G110" s="66"/>
      <c r="H110" s="66"/>
      <c r="I110" s="67">
        <f>+I108/I109</f>
        <v>12.196</v>
      </c>
      <c r="J110" s="2"/>
    </row>
    <row r="111" spans="2:11" x14ac:dyDescent="0.25">
      <c r="B111" s="20" t="s">
        <v>24</v>
      </c>
      <c r="C111" s="20"/>
      <c r="D111" s="20"/>
      <c r="E111" s="20">
        <v>0.87</v>
      </c>
      <c r="F111" s="20"/>
      <c r="G111" s="20"/>
      <c r="H111" s="20"/>
      <c r="I111" s="20"/>
      <c r="J111" s="2"/>
    </row>
    <row r="112" spans="2:11" x14ac:dyDescent="0.25">
      <c r="B112" s="20"/>
      <c r="C112" s="20" t="s">
        <v>25</v>
      </c>
      <c r="D112" s="20"/>
      <c r="E112" s="20">
        <v>1</v>
      </c>
      <c r="F112" s="20"/>
      <c r="G112" s="20"/>
      <c r="H112" s="20"/>
      <c r="I112" s="20"/>
      <c r="J112" s="2"/>
    </row>
    <row r="113" spans="2:10" x14ac:dyDescent="0.25">
      <c r="B113" s="20"/>
      <c r="C113" s="20" t="s">
        <v>26</v>
      </c>
      <c r="D113" s="20" t="s">
        <v>27</v>
      </c>
      <c r="E113" s="20">
        <f>12.196*100/87</f>
        <v>14.018390804597701</v>
      </c>
      <c r="F113" s="20"/>
      <c r="G113" s="20"/>
      <c r="H113" s="20"/>
      <c r="I113" s="20"/>
      <c r="J113" s="2"/>
    </row>
    <row r="114" spans="2:10" x14ac:dyDescent="0.25">
      <c r="B114" s="48" t="s">
        <v>28</v>
      </c>
      <c r="C114" s="48" t="s">
        <v>82</v>
      </c>
      <c r="D114" s="48" t="s">
        <v>29</v>
      </c>
      <c r="E114" s="48">
        <f>12.196*0.1494</f>
        <v>1.8220824</v>
      </c>
      <c r="F114" s="48"/>
      <c r="G114" s="48"/>
      <c r="H114" s="48"/>
      <c r="I114" s="48">
        <v>1.82</v>
      </c>
      <c r="J114" s="2"/>
    </row>
    <row r="115" spans="2:10" x14ac:dyDescent="0.25">
      <c r="B115" s="20"/>
      <c r="C115" s="20"/>
      <c r="D115" s="20"/>
      <c r="E115" s="60">
        <v>12.196</v>
      </c>
      <c r="F115" s="20"/>
      <c r="G115" s="20"/>
      <c r="H115" s="20"/>
      <c r="I115" s="20"/>
      <c r="J115" s="2"/>
    </row>
    <row r="116" spans="2:10" x14ac:dyDescent="0.25">
      <c r="B116" s="20" t="s">
        <v>91</v>
      </c>
      <c r="C116" s="20"/>
      <c r="D116" s="20"/>
      <c r="E116" s="20">
        <f>SUM(E114:E115)</f>
        <v>14.018082399999999</v>
      </c>
      <c r="F116" s="20"/>
      <c r="G116" s="20"/>
      <c r="H116" s="20"/>
      <c r="I116" s="20">
        <f>+I110+I114</f>
        <v>14.016</v>
      </c>
      <c r="J116" s="2"/>
    </row>
    <row r="117" spans="2:10" x14ac:dyDescent="0.25">
      <c r="B117" s="1"/>
      <c r="C117" s="1"/>
      <c r="D117" s="1"/>
      <c r="E117" s="1"/>
      <c r="F117" s="1"/>
      <c r="G117" s="1"/>
      <c r="H117" s="1"/>
      <c r="I117" s="1"/>
      <c r="J117" s="1"/>
    </row>
    <row r="118" spans="2:10" x14ac:dyDescent="0.25">
      <c r="B118" s="1" t="s">
        <v>163</v>
      </c>
      <c r="C118" s="1"/>
      <c r="D118" s="1"/>
      <c r="E118" s="1"/>
      <c r="F118" s="1"/>
      <c r="G118" s="1"/>
      <c r="H118" s="1"/>
      <c r="I118" s="1"/>
      <c r="J118" s="1"/>
    </row>
    <row r="119" spans="2:10" x14ac:dyDescent="0.25">
      <c r="B119" s="1" t="s">
        <v>164</v>
      </c>
      <c r="C119" s="1"/>
      <c r="D119" s="1">
        <v>30490</v>
      </c>
      <c r="E119" s="1"/>
      <c r="F119" s="1"/>
      <c r="G119" s="1"/>
      <c r="H119" s="1"/>
      <c r="I119" s="1"/>
      <c r="J119" s="1"/>
    </row>
    <row r="120" spans="2:10" x14ac:dyDescent="0.25">
      <c r="B120" s="1" t="s">
        <v>165</v>
      </c>
      <c r="C120" s="1"/>
      <c r="D120" s="1">
        <v>490</v>
      </c>
      <c r="E120" s="1"/>
      <c r="F120" s="1"/>
      <c r="G120" s="1"/>
      <c r="H120" s="1"/>
      <c r="I120" s="1"/>
      <c r="J120" s="1"/>
    </row>
    <row r="121" spans="2:10" x14ac:dyDescent="0.25">
      <c r="B121" s="1" t="s">
        <v>166</v>
      </c>
      <c r="C121" s="1"/>
      <c r="D121" s="1">
        <f>+D119-D120</f>
        <v>30000</v>
      </c>
      <c r="E121" s="1"/>
      <c r="F121" s="1"/>
      <c r="G121" s="1"/>
      <c r="H121" s="1"/>
      <c r="I121" s="1"/>
      <c r="J121" s="1"/>
    </row>
    <row r="122" spans="2:10" x14ac:dyDescent="0.25">
      <c r="B122" s="1" t="s">
        <v>167</v>
      </c>
      <c r="C122" s="1"/>
      <c r="D122" s="1">
        <f>+D121*0.5</f>
        <v>15000</v>
      </c>
      <c r="E122" s="1"/>
      <c r="F122" s="1"/>
      <c r="G122" s="1"/>
      <c r="H122" s="1"/>
      <c r="I122" s="1"/>
      <c r="J122" s="1"/>
    </row>
    <row r="123" spans="2:10" x14ac:dyDescent="0.25">
      <c r="B123" s="1" t="s">
        <v>168</v>
      </c>
      <c r="C123" s="1"/>
      <c r="D123" s="1">
        <f>+D121-D122</f>
        <v>15000</v>
      </c>
      <c r="E123" s="1"/>
      <c r="F123" s="1"/>
      <c r="G123" s="1"/>
      <c r="H123" s="1"/>
      <c r="I123" s="1"/>
      <c r="J123" s="1"/>
    </row>
    <row r="124" spans="2:10" x14ac:dyDescent="0.25">
      <c r="B124" s="1"/>
      <c r="C124" s="1"/>
      <c r="D124" s="1"/>
      <c r="E124" s="1"/>
      <c r="F124" s="1"/>
      <c r="G124" s="1"/>
      <c r="H124" s="1"/>
      <c r="I124" s="1"/>
      <c r="J124" s="1"/>
    </row>
    <row r="125" spans="2:10" x14ac:dyDescent="0.25">
      <c r="B125" s="1"/>
      <c r="C125" s="1"/>
      <c r="D125" s="1"/>
      <c r="E125" s="1"/>
      <c r="F125" s="1"/>
      <c r="G125" s="1"/>
      <c r="H125" s="1"/>
      <c r="I125" s="1"/>
      <c r="J125" s="1"/>
    </row>
    <row r="126" spans="2:10" x14ac:dyDescent="0.25">
      <c r="B126" s="10" t="s">
        <v>169</v>
      </c>
      <c r="C126" s="1"/>
      <c r="D126" s="1"/>
      <c r="E126" s="1"/>
      <c r="F126" s="1"/>
      <c r="G126" s="1"/>
      <c r="H126" s="1"/>
      <c r="I126" s="1"/>
      <c r="J126" s="1"/>
    </row>
    <row r="127" spans="2:10" x14ac:dyDescent="0.25">
      <c r="B127" s="1"/>
      <c r="C127" s="1"/>
      <c r="D127" s="1"/>
      <c r="E127" s="1"/>
      <c r="F127" s="1"/>
      <c r="G127" s="1"/>
      <c r="H127" s="1"/>
      <c r="I127" s="1"/>
      <c r="J127" s="1"/>
    </row>
    <row r="128" spans="2:10" x14ac:dyDescent="0.25">
      <c r="B128" s="1" t="s">
        <v>0</v>
      </c>
      <c r="C128" s="1">
        <v>18000</v>
      </c>
      <c r="D128" s="1"/>
      <c r="E128" s="1"/>
      <c r="F128" s="1"/>
      <c r="G128" s="1"/>
      <c r="H128" s="1"/>
      <c r="I128" s="1"/>
      <c r="J128" s="1"/>
    </row>
    <row r="129" spans="2:11" x14ac:dyDescent="0.25">
      <c r="B129" s="1" t="s">
        <v>143</v>
      </c>
      <c r="C129" s="133">
        <v>11000</v>
      </c>
      <c r="D129" s="1"/>
      <c r="E129" s="1"/>
      <c r="F129" s="1"/>
      <c r="G129" s="1"/>
      <c r="H129" s="1"/>
      <c r="I129" s="1"/>
      <c r="J129" s="1"/>
    </row>
    <row r="130" spans="2:11" x14ac:dyDescent="0.25">
      <c r="B130" s="1" t="s">
        <v>146</v>
      </c>
      <c r="C130" s="10">
        <v>5000</v>
      </c>
      <c r="D130" s="1"/>
      <c r="E130" s="1"/>
      <c r="F130" s="1"/>
      <c r="G130" s="1"/>
      <c r="H130" s="1"/>
      <c r="I130" s="1"/>
      <c r="J130" s="1"/>
    </row>
    <row r="131" spans="2:11" x14ac:dyDescent="0.25">
      <c r="B131" s="1" t="s">
        <v>145</v>
      </c>
      <c r="C131" s="10">
        <v>3000</v>
      </c>
      <c r="D131" s="1"/>
      <c r="E131" s="1"/>
      <c r="F131" s="1"/>
      <c r="G131" s="1"/>
      <c r="H131" s="1"/>
      <c r="I131" s="1"/>
      <c r="J131" s="1"/>
    </row>
    <row r="132" spans="2:11" x14ac:dyDescent="0.25">
      <c r="B132" s="1" t="s">
        <v>178</v>
      </c>
      <c r="C132" s="10">
        <v>2000</v>
      </c>
      <c r="D132" s="1"/>
      <c r="E132" s="1"/>
      <c r="F132" s="1"/>
      <c r="G132" s="1"/>
      <c r="H132" s="1"/>
      <c r="I132" s="1"/>
      <c r="J132" s="1"/>
    </row>
    <row r="133" spans="2:11" x14ac:dyDescent="0.25">
      <c r="B133" s="1" t="s">
        <v>170</v>
      </c>
      <c r="C133" s="1"/>
      <c r="D133" s="1"/>
      <c r="E133" s="1"/>
      <c r="F133" s="1"/>
      <c r="G133" s="1"/>
      <c r="H133" s="1"/>
      <c r="I133" s="1"/>
      <c r="J133" s="1"/>
    </row>
    <row r="134" spans="2:11" x14ac:dyDescent="0.25">
      <c r="B134" s="1" t="s">
        <v>171</v>
      </c>
      <c r="C134" s="1">
        <v>500</v>
      </c>
      <c r="D134" s="1"/>
      <c r="E134" s="1"/>
      <c r="F134" s="1"/>
      <c r="G134" s="1"/>
      <c r="H134" s="1"/>
      <c r="I134" s="1"/>
      <c r="J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</row>
    <row r="136" spans="2:11" x14ac:dyDescent="0.25">
      <c r="B136" s="1" t="s">
        <v>148</v>
      </c>
      <c r="C136" s="1"/>
      <c r="D136" s="1"/>
      <c r="E136" s="1"/>
      <c r="F136" s="1"/>
      <c r="G136" s="1"/>
      <c r="H136" s="1"/>
      <c r="I136" s="1"/>
      <c r="J136" s="1"/>
    </row>
    <row r="137" spans="2:11" x14ac:dyDescent="0.25">
      <c r="B137" s="1" t="s">
        <v>172</v>
      </c>
      <c r="C137" s="1"/>
      <c r="D137" s="1"/>
      <c r="E137" s="95"/>
      <c r="F137" s="95"/>
      <c r="G137" s="138">
        <v>39000</v>
      </c>
      <c r="H137" s="1"/>
      <c r="I137" s="1"/>
      <c r="J137" s="1"/>
    </row>
    <row r="138" spans="2:11" x14ac:dyDescent="0.25">
      <c r="B138" s="1" t="s">
        <v>173</v>
      </c>
      <c r="C138" s="1"/>
      <c r="D138" s="1"/>
      <c r="E138" s="95"/>
      <c r="F138" s="95"/>
      <c r="G138" s="138">
        <v>29000</v>
      </c>
      <c r="H138" s="1"/>
      <c r="I138" s="1"/>
      <c r="J138" s="1"/>
    </row>
    <row r="139" spans="2:11" x14ac:dyDescent="0.25">
      <c r="B139" s="1" t="s">
        <v>174</v>
      </c>
      <c r="C139" s="1"/>
      <c r="D139" s="1"/>
      <c r="E139" s="95"/>
      <c r="F139" s="95"/>
      <c r="G139" s="138">
        <v>21000</v>
      </c>
      <c r="H139" s="1"/>
      <c r="I139" s="1"/>
      <c r="J139" s="1"/>
    </row>
    <row r="140" spans="2:11" x14ac:dyDescent="0.25">
      <c r="B140" s="1" t="s">
        <v>175</v>
      </c>
      <c r="C140" s="1"/>
      <c r="D140" s="1"/>
      <c r="E140" s="1">
        <v>39000</v>
      </c>
      <c r="F140" s="1">
        <v>9750</v>
      </c>
      <c r="G140" s="139">
        <f>+E140+F140</f>
        <v>48750</v>
      </c>
      <c r="H140" s="1"/>
      <c r="I140" s="1">
        <f>+E140*1.25</f>
        <v>48750</v>
      </c>
      <c r="J140" s="1">
        <f>20/80</f>
        <v>0.25</v>
      </c>
      <c r="K140">
        <f>+J140*100</f>
        <v>25</v>
      </c>
    </row>
    <row r="141" spans="2:11" x14ac:dyDescent="0.25">
      <c r="B141" s="1" t="s">
        <v>176</v>
      </c>
      <c r="C141" s="1"/>
      <c r="D141" s="1"/>
      <c r="E141" s="1">
        <v>48750</v>
      </c>
      <c r="F141" s="1">
        <v>7284.48</v>
      </c>
      <c r="G141" s="55">
        <f>+E141+F141</f>
        <v>56034.479999999996</v>
      </c>
      <c r="H141" s="1"/>
      <c r="I141" s="2">
        <f>+E141*1.1494252874</f>
        <v>56034.482760749997</v>
      </c>
      <c r="J141" s="1">
        <f>13/87</f>
        <v>0.14942528735632185</v>
      </c>
      <c r="K141">
        <f>+J141*100</f>
        <v>14.942528735632186</v>
      </c>
    </row>
    <row r="142" spans="2:11" x14ac:dyDescent="0.25">
      <c r="B142" s="132" t="s">
        <v>180</v>
      </c>
      <c r="C142" s="1"/>
      <c r="D142" s="1"/>
      <c r="E142" s="133">
        <v>10000</v>
      </c>
      <c r="F142" s="1"/>
      <c r="G142" s="1"/>
      <c r="H142" s="1"/>
      <c r="I142" s="1"/>
      <c r="J142" s="1"/>
    </row>
    <row r="143" spans="2:11" x14ac:dyDescent="0.25">
      <c r="B143" s="1" t="s">
        <v>177</v>
      </c>
      <c r="C143" s="1"/>
      <c r="D143" s="1"/>
      <c r="E143" s="1"/>
      <c r="F143" s="1" t="s">
        <v>181</v>
      </c>
      <c r="G143" s="135">
        <f>+G141/500</f>
        <v>112.06895999999999</v>
      </c>
      <c r="H143" s="1"/>
      <c r="I143" s="1"/>
      <c r="J143" s="1"/>
    </row>
    <row r="144" spans="2:11" x14ac:dyDescent="0.25">
      <c r="B144" s="1" t="s">
        <v>179</v>
      </c>
      <c r="C144" s="1"/>
      <c r="D144" s="1"/>
      <c r="E144" s="1"/>
      <c r="F144" s="1"/>
      <c r="G144" s="136"/>
      <c r="H144" s="1"/>
      <c r="I144" s="1"/>
      <c r="J144" s="1"/>
    </row>
    <row r="145" spans="2:10" x14ac:dyDescent="0.25">
      <c r="B145" s="1"/>
      <c r="C145" s="1"/>
      <c r="D145" s="1"/>
      <c r="E145" s="1"/>
      <c r="F145" s="1"/>
      <c r="G145" s="1"/>
      <c r="H145" s="1"/>
      <c r="I145" s="1"/>
      <c r="J145" s="1"/>
    </row>
    <row r="146" spans="2:10" x14ac:dyDescent="0.25">
      <c r="B146" s="1" t="s">
        <v>182</v>
      </c>
      <c r="C146" s="1"/>
      <c r="D146" s="1"/>
      <c r="E146" s="1"/>
      <c r="F146" s="1"/>
      <c r="G146" s="1"/>
      <c r="H146" s="1"/>
      <c r="I146" s="1"/>
      <c r="J146" s="1"/>
    </row>
    <row r="147" spans="2:10" x14ac:dyDescent="0.25">
      <c r="B147" s="1" t="s">
        <v>183</v>
      </c>
      <c r="C147" s="1"/>
      <c r="D147" s="54">
        <v>56034.48</v>
      </c>
      <c r="E147" s="1"/>
      <c r="F147" s="1"/>
      <c r="G147" s="1"/>
      <c r="H147" s="1"/>
      <c r="I147" s="1"/>
      <c r="J147" s="1"/>
    </row>
    <row r="148" spans="2:10" x14ac:dyDescent="0.25">
      <c r="B148" s="1" t="s">
        <v>184</v>
      </c>
      <c r="C148" s="1"/>
      <c r="D148" s="1">
        <f>+D147*0.13</f>
        <v>7284.4824000000008</v>
      </c>
      <c r="E148" s="1"/>
      <c r="F148" s="1"/>
      <c r="G148" s="1"/>
      <c r="H148" s="1"/>
      <c r="I148" s="1"/>
      <c r="J148" s="1"/>
    </row>
    <row r="149" spans="2:10" x14ac:dyDescent="0.25">
      <c r="B149" s="1"/>
      <c r="C149" s="1"/>
      <c r="D149" s="1">
        <f>+D147-D148</f>
        <v>48749.997600000002</v>
      </c>
      <c r="E149" s="1"/>
      <c r="F149" s="1"/>
      <c r="G149" s="1"/>
      <c r="H149" s="1"/>
      <c r="I149" s="1"/>
      <c r="J149" s="1"/>
    </row>
    <row r="150" spans="2:10" ht="15.75" thickBot="1" x14ac:dyDescent="0.3">
      <c r="B150" s="1" t="s">
        <v>185</v>
      </c>
      <c r="C150" s="1"/>
      <c r="D150" s="11">
        <f>+D149*0.2</f>
        <v>9749.9995200000012</v>
      </c>
      <c r="E150" s="1"/>
      <c r="F150" s="1"/>
      <c r="G150" s="1"/>
      <c r="H150" s="1"/>
      <c r="I150" s="1"/>
      <c r="J150" s="1"/>
    </row>
    <row r="151" spans="2:10" ht="15.75" thickBot="1" x14ac:dyDescent="0.3">
      <c r="B151" s="1"/>
      <c r="C151" s="77"/>
      <c r="D151" s="137">
        <f>+D149-D150</f>
        <v>38999.998080000005</v>
      </c>
      <c r="E151" s="78"/>
      <c r="F151" s="134"/>
      <c r="G151" s="1"/>
      <c r="H151" s="1"/>
      <c r="I151" s="1"/>
      <c r="J151" s="1"/>
    </row>
    <row r="152" spans="2:10" x14ac:dyDescent="0.25">
      <c r="B152" s="1"/>
      <c r="C152" s="1"/>
      <c r="D152" s="96"/>
      <c r="E152" s="1"/>
      <c r="F152" s="1"/>
      <c r="G152" s="1"/>
      <c r="H152" s="1"/>
      <c r="I152" s="1"/>
      <c r="J152" s="1"/>
    </row>
    <row r="153" spans="2:10" x14ac:dyDescent="0.25">
      <c r="B153" s="1"/>
      <c r="C153" s="1"/>
      <c r="D153" s="1"/>
      <c r="E153" s="1"/>
      <c r="F153" s="1"/>
      <c r="G153" s="1"/>
      <c r="H153" s="1"/>
      <c r="I153" s="1"/>
      <c r="J153" s="1"/>
    </row>
    <row r="154" spans="2:10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2:10" x14ac:dyDescent="0.25">
      <c r="B155" s="1"/>
      <c r="C155" s="1"/>
      <c r="D155" s="1"/>
      <c r="E155" s="1"/>
      <c r="F155" s="1"/>
      <c r="G155" s="1"/>
      <c r="H155" s="1"/>
      <c r="I155" s="1"/>
      <c r="J155" s="1"/>
    </row>
    <row r="156" spans="2:10" x14ac:dyDescent="0.25">
      <c r="B156" s="1"/>
      <c r="C156" s="1"/>
      <c r="D156" s="1"/>
      <c r="E156" s="1"/>
      <c r="F156" s="1"/>
      <c r="G156" s="1"/>
      <c r="H156" s="1"/>
      <c r="I156" s="1"/>
      <c r="J156" s="1"/>
    </row>
    <row r="157" spans="2:10" x14ac:dyDescent="0.25">
      <c r="B157" s="1"/>
      <c r="C157" s="1"/>
      <c r="D157" s="1"/>
      <c r="E157" s="1"/>
      <c r="F157" s="1"/>
      <c r="G157" s="1"/>
      <c r="H157" s="1"/>
      <c r="I157" s="1"/>
      <c r="J157" s="1"/>
    </row>
    <row r="158" spans="2:10" x14ac:dyDescent="0.25">
      <c r="B158" s="1" t="s">
        <v>30</v>
      </c>
      <c r="C158" s="1"/>
      <c r="D158" s="1"/>
      <c r="E158" s="1"/>
      <c r="F158" s="1"/>
      <c r="G158" s="1"/>
      <c r="H158" s="1"/>
      <c r="I158" s="1"/>
      <c r="J158" s="1"/>
    </row>
    <row r="159" spans="2:10" x14ac:dyDescent="0.25">
      <c r="B159" s="1" t="s">
        <v>31</v>
      </c>
      <c r="C159" s="1"/>
      <c r="D159" s="1"/>
      <c r="E159" s="1"/>
      <c r="F159" s="1"/>
      <c r="G159" s="1" t="s">
        <v>40</v>
      </c>
      <c r="H159" s="1"/>
      <c r="I159" s="1"/>
      <c r="J159" s="1"/>
    </row>
    <row r="160" spans="2:10" x14ac:dyDescent="0.25">
      <c r="B160" s="1" t="s">
        <v>32</v>
      </c>
      <c r="C160" s="51" t="s">
        <v>61</v>
      </c>
      <c r="D160" s="1"/>
      <c r="E160" s="1"/>
      <c r="F160" s="1"/>
      <c r="G160" s="1"/>
      <c r="H160" s="1"/>
      <c r="I160" s="1"/>
      <c r="J160" s="1"/>
    </row>
    <row r="161" spans="2:12" x14ac:dyDescent="0.25">
      <c r="B161" s="49" t="s">
        <v>46</v>
      </c>
      <c r="C161" s="49"/>
      <c r="D161" s="1"/>
      <c r="E161" s="1"/>
      <c r="F161" s="49" t="s">
        <v>41</v>
      </c>
      <c r="G161" s="49"/>
      <c r="H161" s="49"/>
      <c r="I161" s="50"/>
      <c r="J161" s="50">
        <f>400*10</f>
        <v>4000</v>
      </c>
    </row>
    <row r="162" spans="2:12" x14ac:dyDescent="0.25">
      <c r="B162" s="54" t="s">
        <v>60</v>
      </c>
      <c r="C162" s="54"/>
      <c r="D162" s="54"/>
      <c r="E162" s="1"/>
      <c r="F162" s="10" t="s">
        <v>42</v>
      </c>
      <c r="G162" s="10" t="s">
        <v>43</v>
      </c>
      <c r="H162" s="10"/>
      <c r="I162" s="48"/>
      <c r="J162" s="48">
        <f>1000*17.4</f>
        <v>17400</v>
      </c>
    </row>
    <row r="163" spans="2:12" x14ac:dyDescent="0.25">
      <c r="B163" s="10" t="s">
        <v>47</v>
      </c>
      <c r="C163" s="10"/>
      <c r="D163" s="10"/>
      <c r="E163" s="1"/>
      <c r="F163" s="1" t="s">
        <v>44</v>
      </c>
      <c r="G163" s="1"/>
      <c r="H163" s="1"/>
      <c r="I163" s="2"/>
      <c r="J163" s="2">
        <f>SUM(J161:J162)</f>
        <v>21400</v>
      </c>
    </row>
    <row r="164" spans="2:12" x14ac:dyDescent="0.25">
      <c r="B164" s="1" t="s">
        <v>48</v>
      </c>
      <c r="C164" s="1"/>
      <c r="D164" s="1"/>
      <c r="E164" s="1"/>
      <c r="F164" s="51" t="s">
        <v>45</v>
      </c>
      <c r="G164" s="51"/>
      <c r="H164" s="51"/>
      <c r="I164" s="52"/>
      <c r="J164" s="52">
        <f>400*17.4</f>
        <v>6959.9999999999991</v>
      </c>
      <c r="L164" s="53">
        <f>20*0.87</f>
        <v>17.399999999999999</v>
      </c>
    </row>
    <row r="165" spans="2:12" x14ac:dyDescent="0.25">
      <c r="B165" s="61" t="s">
        <v>62</v>
      </c>
      <c r="C165" s="61"/>
      <c r="D165" s="61"/>
      <c r="E165" s="1"/>
      <c r="F165" s="3" t="s">
        <v>59</v>
      </c>
      <c r="G165" s="3"/>
      <c r="H165" s="3"/>
      <c r="I165" s="5"/>
      <c r="J165" s="5">
        <f>SUM(J163-J164)</f>
        <v>14440</v>
      </c>
    </row>
    <row r="166" spans="2:12" x14ac:dyDescent="0.25">
      <c r="B166" s="1" t="s">
        <v>49</v>
      </c>
      <c r="C166" s="1"/>
      <c r="D166" s="1"/>
      <c r="E166" s="1"/>
      <c r="F166" s="70" t="s">
        <v>50</v>
      </c>
      <c r="G166" s="70"/>
      <c r="H166" s="70"/>
      <c r="I166" s="19"/>
      <c r="J166" s="19">
        <v>14000</v>
      </c>
    </row>
    <row r="167" spans="2:12" x14ac:dyDescent="0.25">
      <c r="B167" s="56" t="s">
        <v>33</v>
      </c>
      <c r="C167" s="1"/>
      <c r="D167" s="2">
        <v>1400</v>
      </c>
      <c r="E167" s="1"/>
      <c r="F167" s="68" t="s">
        <v>51</v>
      </c>
      <c r="G167" s="68"/>
      <c r="H167" s="68"/>
      <c r="I167" s="69"/>
      <c r="J167" s="69">
        <f>SUM(J165:J166)</f>
        <v>28440</v>
      </c>
    </row>
    <row r="168" spans="2:12" x14ac:dyDescent="0.25">
      <c r="B168" s="57" t="s">
        <v>34</v>
      </c>
      <c r="C168" s="57"/>
      <c r="D168" s="59">
        <v>2000</v>
      </c>
      <c r="E168" s="1"/>
      <c r="F168" s="71" t="s">
        <v>52</v>
      </c>
      <c r="G168" s="71"/>
      <c r="H168" s="71"/>
      <c r="I168" s="2"/>
      <c r="J168" s="2"/>
    </row>
    <row r="169" spans="2:12" x14ac:dyDescent="0.25">
      <c r="B169" s="57" t="s">
        <v>35</v>
      </c>
      <c r="C169" s="57"/>
      <c r="D169" s="59">
        <v>1000</v>
      </c>
      <c r="E169" s="1"/>
      <c r="F169" s="56" t="s">
        <v>33</v>
      </c>
      <c r="G169" s="56"/>
      <c r="H169" s="56"/>
      <c r="I169" s="58">
        <v>1400</v>
      </c>
      <c r="J169" s="2"/>
    </row>
    <row r="170" spans="2:12" x14ac:dyDescent="0.25">
      <c r="B170" s="57" t="s">
        <v>36</v>
      </c>
      <c r="C170" s="57"/>
      <c r="D170" s="59">
        <v>500</v>
      </c>
      <c r="E170" s="1"/>
      <c r="F170" s="54" t="s">
        <v>53</v>
      </c>
      <c r="G170" s="54"/>
      <c r="H170" s="54"/>
      <c r="I170" s="55">
        <v>5000</v>
      </c>
      <c r="J170" s="2"/>
    </row>
    <row r="171" spans="2:12" x14ac:dyDescent="0.25">
      <c r="B171" s="57" t="s">
        <v>37</v>
      </c>
      <c r="C171" s="57"/>
      <c r="D171" s="59">
        <v>1300</v>
      </c>
      <c r="E171" s="1"/>
      <c r="F171" s="57" t="s">
        <v>54</v>
      </c>
      <c r="G171" s="57"/>
      <c r="H171" s="57"/>
      <c r="I171" s="59">
        <v>2000</v>
      </c>
      <c r="J171" s="2"/>
    </row>
    <row r="172" spans="2:12" x14ac:dyDescent="0.25">
      <c r="B172" s="57" t="s">
        <v>38</v>
      </c>
      <c r="C172" s="57"/>
      <c r="D172" s="59">
        <v>2000</v>
      </c>
      <c r="E172" s="1"/>
      <c r="F172" s="57" t="s">
        <v>35</v>
      </c>
      <c r="G172" s="57"/>
      <c r="H172" s="57"/>
      <c r="I172" s="59">
        <v>1000</v>
      </c>
      <c r="J172" s="2"/>
    </row>
    <row r="173" spans="2:12" x14ac:dyDescent="0.25">
      <c r="B173" s="57" t="s">
        <v>58</v>
      </c>
      <c r="C173" s="57"/>
      <c r="D173" s="59">
        <v>200</v>
      </c>
      <c r="E173" s="1"/>
      <c r="F173" s="57" t="s">
        <v>36</v>
      </c>
      <c r="G173" s="57"/>
      <c r="H173" s="57"/>
      <c r="I173" s="59">
        <v>500</v>
      </c>
      <c r="J173" s="2"/>
    </row>
    <row r="174" spans="2:12" x14ac:dyDescent="0.25">
      <c r="B174" s="64" t="s">
        <v>67</v>
      </c>
      <c r="C174" s="64"/>
      <c r="D174" s="65">
        <v>4500</v>
      </c>
      <c r="E174" s="1"/>
      <c r="F174" s="57" t="s">
        <v>55</v>
      </c>
      <c r="G174" s="57"/>
      <c r="H174" s="57"/>
      <c r="I174" s="59">
        <v>1300</v>
      </c>
      <c r="J174" s="2"/>
    </row>
    <row r="175" spans="2:12" x14ac:dyDescent="0.25">
      <c r="B175" s="64" t="s">
        <v>39</v>
      </c>
      <c r="C175" s="64"/>
      <c r="D175" s="65">
        <v>3000</v>
      </c>
      <c r="E175" s="1"/>
      <c r="F175" s="57" t="s">
        <v>38</v>
      </c>
      <c r="G175" s="57"/>
      <c r="H175" s="57"/>
      <c r="I175" s="59">
        <v>2000</v>
      </c>
      <c r="J175" s="2"/>
    </row>
    <row r="176" spans="2:12" x14ac:dyDescent="0.25">
      <c r="B176" s="1"/>
      <c r="C176" s="1"/>
      <c r="D176" s="1"/>
      <c r="E176" s="1"/>
      <c r="F176" s="57" t="s">
        <v>56</v>
      </c>
      <c r="G176" s="57"/>
      <c r="H176" s="57"/>
      <c r="I176" s="59">
        <v>200</v>
      </c>
      <c r="J176" s="2">
        <f>SUM(I169:I176)</f>
        <v>13400</v>
      </c>
    </row>
    <row r="177" spans="2:10" x14ac:dyDescent="0.25">
      <c r="B177" s="1"/>
      <c r="C177" s="1"/>
      <c r="D177" s="1"/>
      <c r="E177" s="1"/>
      <c r="F177" s="68" t="s">
        <v>57</v>
      </c>
      <c r="G177" s="68"/>
      <c r="H177" s="68"/>
      <c r="I177" s="69"/>
      <c r="J177" s="69">
        <f>SUM(J167:J176)</f>
        <v>41840</v>
      </c>
    </row>
    <row r="178" spans="2:10" x14ac:dyDescent="0.25">
      <c r="B178" s="1"/>
      <c r="C178" s="1"/>
      <c r="D178" s="1"/>
      <c r="E178" s="1"/>
      <c r="F178" s="1"/>
      <c r="G178" s="1"/>
      <c r="H178" s="1"/>
      <c r="I178" s="1" t="s">
        <v>69</v>
      </c>
      <c r="J178" s="63">
        <f>+J177/2000</f>
        <v>20.92</v>
      </c>
    </row>
    <row r="179" spans="2:10" x14ac:dyDescent="0.25">
      <c r="B179" s="61" t="s">
        <v>63</v>
      </c>
      <c r="C179" s="61"/>
      <c r="D179" s="62">
        <f>1600*30</f>
        <v>48000</v>
      </c>
      <c r="E179" s="1"/>
      <c r="F179" s="1"/>
      <c r="G179" s="1"/>
      <c r="H179" s="1"/>
      <c r="I179" s="1"/>
      <c r="J179" s="1"/>
    </row>
    <row r="180" spans="2:10" x14ac:dyDescent="0.25">
      <c r="B180" s="63" t="s">
        <v>64</v>
      </c>
      <c r="C180" s="63"/>
      <c r="D180" s="20">
        <v>33472</v>
      </c>
      <c r="E180" s="1"/>
      <c r="F180" s="1"/>
      <c r="G180" s="1"/>
      <c r="H180" s="1"/>
      <c r="I180" s="1"/>
      <c r="J180" s="1"/>
    </row>
    <row r="181" spans="2:10" x14ac:dyDescent="0.25">
      <c r="B181" s="1" t="s">
        <v>65</v>
      </c>
      <c r="C181" s="1"/>
      <c r="D181" s="2">
        <f>+D179-D180</f>
        <v>14528</v>
      </c>
      <c r="E181" s="1"/>
      <c r="F181" s="1"/>
      <c r="G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2:10" x14ac:dyDescent="0.25">
      <c r="B183" s="1" t="s">
        <v>66</v>
      </c>
      <c r="C183" s="1"/>
      <c r="D183" s="1"/>
      <c r="E183" s="1"/>
      <c r="F183" s="1"/>
      <c r="G183" s="1"/>
      <c r="H183" s="1"/>
      <c r="I183" s="1"/>
      <c r="J183" s="1"/>
    </row>
    <row r="184" spans="2:10" x14ac:dyDescent="0.25">
      <c r="B184" s="64" t="s">
        <v>67</v>
      </c>
      <c r="C184" s="65">
        <v>4500</v>
      </c>
      <c r="D184" s="2"/>
      <c r="E184" s="1"/>
      <c r="F184" s="1"/>
      <c r="G184" s="1"/>
      <c r="H184" s="1"/>
      <c r="I184" s="1"/>
      <c r="J184" s="1"/>
    </row>
    <row r="185" spans="2:10" x14ac:dyDescent="0.25">
      <c r="B185" s="64" t="s">
        <v>39</v>
      </c>
      <c r="C185" s="65">
        <v>3000</v>
      </c>
      <c r="D185" s="2">
        <f>SUM(C184:C185)</f>
        <v>7500</v>
      </c>
      <c r="E185" s="1"/>
      <c r="F185" s="1"/>
      <c r="G185" s="1"/>
      <c r="H185" s="1"/>
      <c r="I185" s="1"/>
      <c r="J185" s="1"/>
    </row>
    <row r="186" spans="2:10" x14ac:dyDescent="0.25">
      <c r="B186" s="3" t="s">
        <v>68</v>
      </c>
      <c r="C186" s="3"/>
      <c r="D186" s="4">
        <f>+D181-D185</f>
        <v>7028</v>
      </c>
      <c r="E186" s="1"/>
      <c r="F186" s="1"/>
      <c r="G186" s="1"/>
      <c r="H186" s="1"/>
      <c r="I186" s="1"/>
      <c r="J186" s="1"/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 Valores Relativos</vt:lpstr>
      <vt:lpstr>Con Valor absoluto de U</vt:lpstr>
      <vt:lpstr>Hoja3</vt:lpstr>
      <vt:lpstr>'Con Valor absoluto de U'!Área_de_impresión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</cp:lastModifiedBy>
  <cp:lastPrinted>2013-03-06T00:37:08Z</cp:lastPrinted>
  <dcterms:created xsi:type="dcterms:W3CDTF">2013-03-01T00:44:38Z</dcterms:created>
  <dcterms:modified xsi:type="dcterms:W3CDTF">2022-09-29T20:02:46Z</dcterms:modified>
</cp:coreProperties>
</file>