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kiit\Downloads\"/>
    </mc:Choice>
  </mc:AlternateContent>
  <xr:revisionPtr revIDLastSave="0" documentId="13_ncr:1_{92EBA30A-F8ED-4107-BC06-92F39A8C69DC}" xr6:coauthVersionLast="36" xr6:coauthVersionMax="47" xr10:uidLastSave="{00000000-0000-0000-0000-000000000000}"/>
  <bookViews>
    <workbookView xWindow="0" yWindow="0" windowWidth="23040" windowHeight="8652"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3" l="1"/>
  <c r="G37" i="3"/>
  <c r="H37" i="3"/>
  <c r="I37" i="3"/>
  <c r="E37" i="3"/>
  <c r="F36" i="3"/>
  <c r="G36" i="3"/>
  <c r="H36" i="3"/>
  <c r="I36" i="3"/>
  <c r="E36" i="3"/>
  <c r="F34" i="3"/>
  <c r="G34" i="3"/>
  <c r="H34" i="3"/>
  <c r="I34" i="3"/>
  <c r="E34" i="3"/>
  <c r="F33" i="3"/>
  <c r="G33" i="3"/>
  <c r="H33" i="3"/>
  <c r="I33" i="3"/>
  <c r="E33" i="3"/>
  <c r="F32" i="3"/>
  <c r="G32" i="3"/>
  <c r="H32" i="3"/>
  <c r="I32" i="3"/>
  <c r="E32" i="3"/>
  <c r="F25" i="3"/>
  <c r="G25" i="3"/>
  <c r="H25" i="3"/>
  <c r="I25" i="3"/>
  <c r="E25" i="3"/>
  <c r="E26" i="3"/>
  <c r="F24" i="3"/>
  <c r="G24" i="3"/>
  <c r="H24" i="3"/>
  <c r="I24" i="3"/>
  <c r="E24" i="3"/>
  <c r="F13" i="3"/>
  <c r="G13" i="3"/>
  <c r="H13" i="3"/>
  <c r="I13" i="3"/>
  <c r="E13" i="3"/>
  <c r="F12" i="3"/>
  <c r="G12" i="3"/>
  <c r="H12" i="3"/>
  <c r="I12" i="3"/>
  <c r="E12" i="3"/>
  <c r="G11" i="3"/>
  <c r="H11" i="3"/>
  <c r="I11" i="3"/>
  <c r="F11" i="3"/>
  <c r="E11" i="3"/>
  <c r="G9" i="3"/>
  <c r="H9" i="3"/>
  <c r="I9" i="3"/>
  <c r="F9" i="3"/>
  <c r="F26" i="3" l="1"/>
  <c r="G26" i="3"/>
  <c r="H26" i="3"/>
  <c r="I26" i="3"/>
  <c r="F20" i="3"/>
  <c r="G20" i="3" s="1"/>
  <c r="H20" i="3" s="1"/>
  <c r="I20" i="3" s="1"/>
  <c r="F19" i="3"/>
  <c r="G19" i="3" s="1"/>
  <c r="H19" i="3" s="1"/>
  <c r="I19" i="3" s="1"/>
  <c r="F18" i="3"/>
  <c r="G18" i="3" s="1"/>
  <c r="H18" i="3" s="1"/>
  <c r="I18" i="3" s="1"/>
  <c r="F17" i="3"/>
  <c r="G17" i="3" s="1"/>
  <c r="H17" i="3" s="1"/>
  <c r="I17" i="3" s="1"/>
  <c r="F14" i="3"/>
  <c r="F21" i="3" s="1"/>
  <c r="F22" i="3" s="1"/>
  <c r="G14" i="3"/>
  <c r="G21" i="3" s="1"/>
  <c r="G22" i="3" s="1"/>
  <c r="H14" i="3"/>
  <c r="H15" i="3" s="1"/>
  <c r="I14" i="3"/>
  <c r="I15" i="3" s="1"/>
  <c r="E14" i="3"/>
  <c r="E15" i="3" s="1"/>
  <c r="I21" i="3" l="1"/>
  <c r="I22" i="3" s="1"/>
  <c r="H21" i="3"/>
  <c r="H22" i="3" s="1"/>
  <c r="E21" i="3"/>
  <c r="E22" i="3" s="1"/>
  <c r="F15" i="3"/>
  <c r="G15" i="3"/>
  <c r="F8" i="3"/>
  <c r="G8" i="3"/>
  <c r="H8" i="3"/>
  <c r="I8" i="3"/>
  <c r="E8" i="3"/>
  <c r="I18" i="1"/>
  <c r="H18" i="1"/>
  <c r="G18" i="1"/>
  <c r="F18" i="1"/>
  <c r="E18" i="1"/>
  <c r="I14" i="1"/>
  <c r="H14" i="1"/>
  <c r="G14" i="1"/>
  <c r="F14" i="1"/>
  <c r="E14" i="1"/>
  <c r="I10" i="1"/>
  <c r="H10" i="1"/>
  <c r="G10" i="1"/>
  <c r="G7" i="1" s="1"/>
  <c r="F10" i="1"/>
  <c r="F7" i="1" s="1"/>
  <c r="E10" i="1"/>
  <c r="I7" i="1" l="1"/>
  <c r="H7" i="1"/>
  <c r="E7" i="1"/>
  <c r="G33" i="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<sst xmlns="http://schemas.openxmlformats.org/spreadsheetml/2006/main" count="147" uniqueCount="74">
  <si>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</si>
  <si>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</si>
  <si>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</si>
  <si>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</si>
  <si>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</si>
  <si>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</si>
  <si>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</si>
  <si>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</si>
  <si>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</si>
  <si>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</si>
  <si>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</si>
  <si>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</si>
  <si>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</si>
  <si>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</si>
  <si>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</si>
  <si>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</si>
  <si>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</si>
  <si>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</si>
  <si>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</si>
  <si>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</si>
  <si>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</si>
  <si>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</si>
  <si>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</si>
  <si>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</si>
  <si>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</si>
  <si>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</si>
  <si>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</si>
  <si>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</si>
  <si>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</si>
  <si>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</si>
  <si>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</si>
  <si>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</si>
  <si>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</si>
  <si>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</si>
  <si>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</si>
  <si>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</si>
  <si>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</si>
  <si>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</si>
  <si>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</si>
  <si>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</si>
  <si>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</si>
  <si>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</si>
  <si>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</si>
  <si>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</si>
  <si>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</si>
  <si>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</si>
  <si>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</si>
  <si>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</si>
  <si>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</si>
  <si>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</si>
  <si>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</si>
  <si>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</si>
  <si>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</si>
  <si>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</si>
  <si>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</si>
  <si>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</si>
  <si>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</si>
  <si>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</si>
  <si>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</si>
  <si>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</si>
  <si>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</si>
  <si>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</si>
  <si>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</si>
  <si>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</si>
  <si>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</si>
  <si>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</si>
  <si>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</si>
  <si>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</si>
  <si>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</si>
  <si>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</si>
  <si>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</si>
  <si>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COGS of Cupcake</t>
  </si>
  <si>
    <t>COGS of Ice Cream</t>
  </si>
  <si>
    <t>COGS of Drink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</si>
</sst>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
    <numFmt numFmtId="166" formatCode="&quot;FY&quot;yy&quot;E&quot;"/>
    <numFmt numFmtId="167" formatCode="0.0%;\(0.0%\);\-"/>
    <numFmt numFmtId="168" formatCode="&quot;FY&quot;yy&quot;A&quot;"/>
    <numFmt numFmtId="169" formatCode="0%;\(0%\);\-"/>
    <numFmt numFmtId="174" formatCode="0.00%;\(0.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Fill="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1" fontId="3" fillId="0" borderId="0" xfId="0" applyNumberFormat="1" applyFont="1" applyAlignment="1">
      <alignment horizontal="right"/>
    </xf>
    <xf numFmtId="1" fontId="6" fillId="5" borderId="2" xfId="0" applyNumberFormat="1" applyFont="1" applyFill="1" applyBorder="1" applyAlignment="1">
      <alignment horizontal="right"/>
    </xf>
    <xf numFmtId="1" fontId="4" fillId="5" borderId="3" xfId="0" applyNumberFormat="1" applyFont="1" applyFill="1" applyBorder="1" applyAlignment="1">
      <alignment horizontal="right"/>
    </xf>
    <xf numFmtId="10" fontId="9" fillId="5" borderId="0" xfId="0" applyNumberFormat="1" applyFont="1" applyFill="1" applyBorder="1" applyAlignment="1">
      <alignment horizontal="right"/>
    </xf>
    <xf numFmtId="10" fontId="9" fillId="5" borderId="0" xfId="0" applyNumberFormat="1" applyFont="1" applyFill="1" applyAlignment="1">
      <alignment horizontal="right"/>
    </xf>
    <xf numFmtId="174" fontId="9" fillId="5" borderId="0" xfId="0" applyNumberFormat="1" applyFont="1" applyFill="1" applyAlignment="1">
      <alignment horizontal="right"/>
    </xf>
    <xf numFmtId="2"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election activeCell="B16" sqref="B16"/>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7" t="s">
        <v>32</v>
      </c>
      <c r="C4" s="38" t="s">
        <v>47</v>
      </c>
    </row>
    <row r="5" spans="2:3" ht="26.4" x14ac:dyDescent="0.25">
      <c r="B5" s="37" t="s">
        <v>34</v>
      </c>
      <c r="C5" s="38" t="s">
        <v>46</v>
      </c>
    </row>
    <row r="6" spans="2:3" ht="52.8" x14ac:dyDescent="0.25">
      <c r="B6" s="37" t="s">
        <v>13</v>
      </c>
      <c r="C6" s="38" t="s">
        <v>68</v>
      </c>
    </row>
    <row r="7" spans="2:3" ht="26.4" x14ac:dyDescent="0.25">
      <c r="B7" s="37" t="s">
        <v>31</v>
      </c>
      <c r="C7" s="38" t="s">
        <v>48</v>
      </c>
    </row>
    <row r="8" spans="2:3" ht="66" x14ac:dyDescent="0.25">
      <c r="B8" s="37" t="s">
        <v>38</v>
      </c>
      <c r="C8" s="38" t="s">
        <v>40</v>
      </c>
    </row>
    <row r="9" spans="2:3" ht="105.6" x14ac:dyDescent="0.25">
      <c r="B9" s="37" t="s">
        <v>4</v>
      </c>
      <c r="C9" s="38" t="s">
        <v>50</v>
      </c>
    </row>
    <row r="10" spans="2:3" ht="52.8" x14ac:dyDescent="0.25">
      <c r="B10" s="37" t="s">
        <v>5</v>
      </c>
      <c r="C10" s="38" t="s">
        <v>49</v>
      </c>
    </row>
    <row r="11" spans="2:3" ht="52.8" x14ac:dyDescent="0.25">
      <c r="B11" s="37" t="s">
        <v>69</v>
      </c>
      <c r="C11" s="38" t="s">
        <v>41</v>
      </c>
    </row>
    <row r="12" spans="2:3" ht="39.6" x14ac:dyDescent="0.25">
      <c r="B12" s="37" t="s">
        <v>26</v>
      </c>
      <c r="C12" s="38" t="s">
        <v>42</v>
      </c>
    </row>
    <row r="13" spans="2:3" ht="211.2" x14ac:dyDescent="0.25">
      <c r="B13" s="37" t="s">
        <v>35</v>
      </c>
      <c r="C13" s="38" t="s">
        <v>45</v>
      </c>
    </row>
    <row r="14" spans="2:3" ht="52.8" x14ac:dyDescent="0.25">
      <c r="B14" s="37" t="s">
        <v>21</v>
      </c>
      <c r="C14" s="38" t="s">
        <v>70</v>
      </c>
    </row>
    <row r="15" spans="2:3" ht="52.8" x14ac:dyDescent="0.25">
      <c r="B15" s="37" t="s">
        <v>25</v>
      </c>
      <c r="C15" s="38" t="s">
        <v>43</v>
      </c>
    </row>
    <row r="16" spans="2:3" ht="52.8" x14ac:dyDescent="0.25">
      <c r="B16" s="37" t="s">
        <v>39</v>
      </c>
      <c r="C16" s="38"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1" activePane="bottomRight" state="frozenSplit"/>
      <selection pane="topRight" activeCell="C1" sqref="C1"/>
      <selection pane="bottomLeft" activeCell="A3" sqref="A3"/>
      <selection pane="bottomRight" activeCell="B39" sqref="B39:C3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39">
        <f>$E$10+$E$14+$E$18</f>
        <v>705000</v>
      </c>
      <c r="F7" s="39">
        <f>$F$10+$F$14+$F$18</f>
        <v>806520</v>
      </c>
      <c r="G7" s="39">
        <f>$G$10+$G$14+$G$18</f>
        <v>914271.07200000016</v>
      </c>
      <c r="H7" s="39">
        <f>$H$10+$H$14+$H$18</f>
        <v>1026909.2680704003</v>
      </c>
      <c r="I7" s="39">
        <f>$I$10+$I$14+$I$18</f>
        <v>1142744.6335087419</v>
      </c>
    </row>
    <row r="8" spans="1:9" ht="15" customHeight="1" x14ac:dyDescent="0.25">
      <c r="B8" s="4" t="s">
        <v>12</v>
      </c>
      <c r="C8" s="15" t="s">
        <v>3</v>
      </c>
      <c r="D8" s="19"/>
      <c r="E8" s="40">
        <v>100000</v>
      </c>
      <c r="F8" s="40">
        <f>E8*1.1</f>
        <v>110000.00000000001</v>
      </c>
      <c r="G8" s="40">
        <f>F8*1.09</f>
        <v>119900.00000000003</v>
      </c>
      <c r="H8" s="40">
        <f>G8*1.08</f>
        <v>129492.00000000004</v>
      </c>
      <c r="I8" s="40">
        <f>H8*1.07</f>
        <v>138556.44000000006</v>
      </c>
    </row>
    <row r="9" spans="1:9" ht="15" customHeight="1" x14ac:dyDescent="0.25">
      <c r="B9" s="4" t="s">
        <v>10</v>
      </c>
      <c r="C9" s="15" t="s">
        <v>11</v>
      </c>
      <c r="D9" s="19"/>
      <c r="E9" s="40">
        <v>4</v>
      </c>
      <c r="F9" s="40">
        <f>E9*1.04</f>
        <v>4.16</v>
      </c>
      <c r="G9" s="40">
        <f t="shared" ref="G9:I9" si="1">F9*1.04</f>
        <v>4.3264000000000005</v>
      </c>
      <c r="H9" s="40">
        <f t="shared" si="1"/>
        <v>4.4994560000000003</v>
      </c>
      <c r="I9" s="40">
        <f t="shared" si="1"/>
        <v>4.6794342400000009</v>
      </c>
    </row>
    <row r="10" spans="1:9" ht="15" customHeight="1" x14ac:dyDescent="0.25">
      <c r="D10" s="17"/>
      <c r="E10" s="39">
        <f>$E$8*$E$9</f>
        <v>400000</v>
      </c>
      <c r="F10" s="39">
        <f>$F$8*$F$9</f>
        <v>457600.00000000006</v>
      </c>
      <c r="G10" s="39">
        <f>$G$8*$G$9</f>
        <v>518735.36000000016</v>
      </c>
      <c r="H10" s="39">
        <f>$H$8*$H$9</f>
        <v>582643.55635200022</v>
      </c>
      <c r="I10" s="39">
        <f>$I$8*$I$9</f>
        <v>648365.74950850604</v>
      </c>
    </row>
    <row r="11" spans="1:9" ht="15" customHeight="1" x14ac:dyDescent="0.25">
      <c r="B11" s="5" t="s">
        <v>8</v>
      </c>
      <c r="D11" s="17"/>
      <c r="E11" s="39"/>
      <c r="F11" s="39"/>
      <c r="G11" s="39"/>
      <c r="H11" s="39"/>
      <c r="I11" s="39"/>
    </row>
    <row r="12" spans="1:9" ht="15" customHeight="1" x14ac:dyDescent="0.25">
      <c r="B12" s="4" t="s">
        <v>12</v>
      </c>
      <c r="C12" s="15" t="s">
        <v>3</v>
      </c>
      <c r="D12" s="19"/>
      <c r="E12" s="40">
        <v>60000</v>
      </c>
      <c r="F12" s="40">
        <f>E12*1.1</f>
        <v>66000</v>
      </c>
      <c r="G12" s="40">
        <f>F12*1.09</f>
        <v>71940</v>
      </c>
      <c r="H12" s="40">
        <f>G12*1.08</f>
        <v>77695.200000000012</v>
      </c>
      <c r="I12" s="40">
        <f>H12*1.07</f>
        <v>83133.864000000016</v>
      </c>
    </row>
    <row r="13" spans="1:9" ht="15" customHeight="1" x14ac:dyDescent="0.25">
      <c r="B13" s="4" t="s">
        <v>10</v>
      </c>
      <c r="C13" s="15" t="s">
        <v>11</v>
      </c>
      <c r="D13" s="19"/>
      <c r="E13" s="40">
        <v>3</v>
      </c>
      <c r="F13" s="40">
        <f>E13*1.04</f>
        <v>3.12</v>
      </c>
      <c r="G13" s="40">
        <f t="shared" ref="G13:I13" si="2">F13*1.04</f>
        <v>3.2448000000000001</v>
      </c>
      <c r="H13" s="40">
        <f t="shared" si="2"/>
        <v>3.3745920000000003</v>
      </c>
      <c r="I13" s="40">
        <f t="shared" si="2"/>
        <v>3.5095756800000002</v>
      </c>
    </row>
    <row r="14" spans="1:9" ht="15" customHeight="1" x14ac:dyDescent="0.25">
      <c r="D14" s="17"/>
      <c r="E14" s="39">
        <f>$E$12*$E$13</f>
        <v>180000</v>
      </c>
      <c r="F14" s="39">
        <f>$F$12*$F$13</f>
        <v>205920</v>
      </c>
      <c r="G14" s="39">
        <f>$G$12*$G$13</f>
        <v>233430.91200000001</v>
      </c>
      <c r="H14" s="39">
        <f>$H$12*$H$13</f>
        <v>262189.60035840009</v>
      </c>
      <c r="I14" s="39">
        <f>$I$12*$I$13</f>
        <v>291764.58727882762</v>
      </c>
    </row>
    <row r="15" spans="1:9" ht="15" customHeight="1" x14ac:dyDescent="0.25">
      <c r="B15" s="5" t="s">
        <v>6</v>
      </c>
      <c r="D15" s="17"/>
      <c r="E15" s="39"/>
      <c r="F15" s="39"/>
      <c r="G15" s="39"/>
      <c r="H15" s="39"/>
      <c r="I15" s="39"/>
    </row>
    <row r="16" spans="1:9" ht="15" customHeight="1" x14ac:dyDescent="0.25">
      <c r="B16" s="4" t="s">
        <v>12</v>
      </c>
      <c r="C16" s="15" t="s">
        <v>3</v>
      </c>
      <c r="D16" s="19"/>
      <c r="E16" s="40">
        <v>50000</v>
      </c>
      <c r="F16" s="40">
        <f>E16*1.1</f>
        <v>55000.000000000007</v>
      </c>
      <c r="G16" s="40">
        <f>F16*1.09</f>
        <v>59950.000000000015</v>
      </c>
      <c r="H16" s="40">
        <f>G16*1.08</f>
        <v>64746.000000000022</v>
      </c>
      <c r="I16" s="40">
        <f>H16*1.07</f>
        <v>69278.22000000003</v>
      </c>
    </row>
    <row r="17" spans="1:9" ht="15" customHeight="1" x14ac:dyDescent="0.25">
      <c r="B17" s="4" t="s">
        <v>10</v>
      </c>
      <c r="C17" s="15" t="s">
        <v>11</v>
      </c>
      <c r="D17" s="19"/>
      <c r="E17" s="40">
        <v>2.5</v>
      </c>
      <c r="F17" s="40">
        <f>E17*1.04</f>
        <v>2.6</v>
      </c>
      <c r="G17" s="40">
        <f t="shared" ref="G17:I17" si="3">F17*1.04</f>
        <v>2.7040000000000002</v>
      </c>
      <c r="H17" s="40">
        <f t="shared" si="3"/>
        <v>2.8121600000000004</v>
      </c>
      <c r="I17" s="40">
        <f t="shared" si="3"/>
        <v>2.9246464000000008</v>
      </c>
    </row>
    <row r="18" spans="1:9" ht="15" customHeight="1" x14ac:dyDescent="0.25">
      <c r="D18" s="17"/>
      <c r="E18" s="39">
        <f>$E$16*$E$17</f>
        <v>125000</v>
      </c>
      <c r="F18" s="39">
        <f>$F$16*$F$17</f>
        <v>143000.00000000003</v>
      </c>
      <c r="G18" s="39">
        <f>$G$16*$G$17</f>
        <v>162104.80000000005</v>
      </c>
      <c r="H18" s="39">
        <f>$H$16*$H$17</f>
        <v>182076.1113600001</v>
      </c>
      <c r="I18" s="39">
        <f>$I$16*$I$17</f>
        <v>202614.29672140814</v>
      </c>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22" activePane="bottomRight" state="frozenSplit"/>
      <selection pane="topRight" activeCell="C1" sqref="C1"/>
      <selection pane="bottomLeft" activeCell="A3" sqref="A3"/>
      <selection pane="bottomRight" activeCell="E37" sqref="E37:I3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10" s="1" customFormat="1" ht="35.25" customHeight="1" x14ac:dyDescent="0.3">
      <c r="B1" s="6" t="s">
        <v>58</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5" t="s">
        <v>7</v>
      </c>
      <c r="C5" s="34" t="s">
        <v>3</v>
      </c>
      <c r="E5" s="39">
        <v>400000</v>
      </c>
      <c r="F5" s="39">
        <v>457600.00000000006</v>
      </c>
      <c r="G5" s="39">
        <v>518735.36000000016</v>
      </c>
      <c r="H5" s="39">
        <v>582643.55635200022</v>
      </c>
      <c r="I5" s="39">
        <v>648365.74950850604</v>
      </c>
    </row>
    <row r="6" spans="2:10" ht="15" customHeight="1" x14ac:dyDescent="0.25">
      <c r="B6" s="5" t="s">
        <v>8</v>
      </c>
      <c r="C6" s="34" t="s">
        <v>3</v>
      </c>
      <c r="E6" s="39">
        <v>180000</v>
      </c>
      <c r="F6" s="39">
        <v>205920</v>
      </c>
      <c r="G6" s="39">
        <v>233430.91200000001</v>
      </c>
      <c r="H6" s="39">
        <v>262189.60035840009</v>
      </c>
      <c r="I6" s="39">
        <v>291764.58727882762</v>
      </c>
    </row>
    <row r="7" spans="2:10" ht="15" customHeight="1" x14ac:dyDescent="0.25">
      <c r="B7" s="5" t="s">
        <v>6</v>
      </c>
      <c r="C7" s="34" t="s">
        <v>3</v>
      </c>
      <c r="E7" s="39">
        <v>125000</v>
      </c>
      <c r="F7" s="39">
        <v>143000.00000000003</v>
      </c>
      <c r="G7" s="39">
        <v>162104.80000000005</v>
      </c>
      <c r="H7" s="39">
        <v>182076.1113600001</v>
      </c>
      <c r="I7" s="39">
        <v>202614.29672140814</v>
      </c>
    </row>
    <row r="8" spans="2:10" ht="15" customHeight="1" x14ac:dyDescent="0.25">
      <c r="B8" s="24" t="s">
        <v>59</v>
      </c>
      <c r="C8" s="25" t="s">
        <v>11</v>
      </c>
      <c r="D8" s="32"/>
      <c r="E8" s="29">
        <f>SUM(E5:E7)</f>
        <v>705000</v>
      </c>
      <c r="F8" s="29">
        <f t="shared" ref="F8:I8" si="1">SUM(F5:F7)</f>
        <v>806520</v>
      </c>
      <c r="G8" s="29">
        <f t="shared" si="1"/>
        <v>914271.07200000016</v>
      </c>
      <c r="H8" s="29">
        <f t="shared" si="1"/>
        <v>1026909.2680704003</v>
      </c>
      <c r="I8" s="29">
        <f t="shared" si="1"/>
        <v>1142744.6335087419</v>
      </c>
    </row>
    <row r="9" spans="2:10" ht="15" customHeight="1" x14ac:dyDescent="0.25">
      <c r="B9" s="27" t="s">
        <v>60</v>
      </c>
      <c r="C9" s="15" t="s">
        <v>1</v>
      </c>
      <c r="E9" s="31"/>
      <c r="F9" s="43">
        <f>((F8-E8)/E8)</f>
        <v>0.14399999999999999</v>
      </c>
      <c r="G9" s="43">
        <f t="shared" ref="G9:I9" si="2">((G8-F8)/F8)</f>
        <v>0.13360000000000019</v>
      </c>
      <c r="H9" s="43">
        <f t="shared" si="2"/>
        <v>0.12320000000000018</v>
      </c>
      <c r="I9" s="43">
        <f t="shared" si="2"/>
        <v>0.11280000000000034</v>
      </c>
    </row>
    <row r="11" spans="2:10" ht="15" customHeight="1" x14ac:dyDescent="0.25">
      <c r="B11" s="4" t="s">
        <v>71</v>
      </c>
      <c r="C11" s="34" t="s">
        <v>11</v>
      </c>
      <c r="E11" s="21">
        <f>'Forecast Assumptions'!E8*'Forecast Assumptions'!E22</f>
        <v>150000</v>
      </c>
      <c r="F11" s="21">
        <f>'Forecast Assumptions'!F8*'Forecast Assumptions'!F22</f>
        <v>168300.00000000003</v>
      </c>
      <c r="G11" s="21">
        <f>'Forecast Assumptions'!G8*'Forecast Assumptions'!G22</f>
        <v>187115.94000000003</v>
      </c>
      <c r="H11" s="21">
        <f>'Forecast Assumptions'!H8*'Forecast Assumptions'!H22</f>
        <v>206126.91950400008</v>
      </c>
      <c r="I11" s="21">
        <f>'Forecast Assumptions'!I8*'Forecast Assumptions'!I22</f>
        <v>224966.9199466657</v>
      </c>
    </row>
    <row r="12" spans="2:10" ht="15" customHeight="1" x14ac:dyDescent="0.25">
      <c r="B12" s="4" t="s">
        <v>72</v>
      </c>
      <c r="C12" s="34" t="s">
        <v>11</v>
      </c>
      <c r="E12" s="21">
        <f>'Forecast Assumptions'!E12*'Forecast Assumptions'!E23</f>
        <v>48000</v>
      </c>
      <c r="F12" s="21">
        <f>'Forecast Assumptions'!F12*'Forecast Assumptions'!F23</f>
        <v>53856.000000000007</v>
      </c>
      <c r="G12" s="21">
        <f>'Forecast Assumptions'!G12*'Forecast Assumptions'!G23</f>
        <v>59877.100800000007</v>
      </c>
      <c r="H12" s="21">
        <f>'Forecast Assumptions'!H12*'Forecast Assumptions'!H23</f>
        <v>65960.614241280025</v>
      </c>
      <c r="I12" s="21">
        <f>'Forecast Assumptions'!I12*'Forecast Assumptions'!I23</f>
        <v>71989.414382933013</v>
      </c>
    </row>
    <row r="13" spans="2:10" ht="15" customHeight="1" x14ac:dyDescent="0.25">
      <c r="B13" s="4" t="s">
        <v>73</v>
      </c>
      <c r="C13" s="34" t="s">
        <v>11</v>
      </c>
      <c r="E13" s="21">
        <f>'Forecast Assumptions'!E16*'Forecast Assumptions'!E24</f>
        <v>55000.000000000007</v>
      </c>
      <c r="F13" s="21">
        <f>'Forecast Assumptions'!F16*'Forecast Assumptions'!F24</f>
        <v>61710.000000000015</v>
      </c>
      <c r="G13" s="21">
        <f>'Forecast Assumptions'!G16*'Forecast Assumptions'!G24</f>
        <v>68609.178000000029</v>
      </c>
      <c r="H13" s="21">
        <f>'Forecast Assumptions'!H16*'Forecast Assumptions'!H24</f>
        <v>75579.870484800034</v>
      </c>
      <c r="I13" s="21">
        <f>'Forecast Assumptions'!I16*'Forecast Assumptions'!I24</f>
        <v>82487.870647110773</v>
      </c>
    </row>
    <row r="14" spans="2:10" ht="15" customHeight="1" x14ac:dyDescent="0.3">
      <c r="B14" s="24" t="s">
        <v>61</v>
      </c>
      <c r="C14" s="25" t="s">
        <v>11</v>
      </c>
      <c r="D14" s="32"/>
      <c r="E14" s="41">
        <f>E8-SUM(E11:E13)</f>
        <v>452000</v>
      </c>
      <c r="F14" s="41">
        <f t="shared" ref="F14:I14" si="3">F8-SUM(F11:F13)</f>
        <v>522653.99999999994</v>
      </c>
      <c r="G14" s="41">
        <f t="shared" si="3"/>
        <v>598668.85320000001</v>
      </c>
      <c r="H14" s="41">
        <f t="shared" si="3"/>
        <v>679241.86384032015</v>
      </c>
      <c r="I14" s="41">
        <f t="shared" si="3"/>
        <v>763300.42853203241</v>
      </c>
      <c r="J14"/>
    </row>
    <row r="15" spans="2:10" ht="15" customHeight="1" x14ac:dyDescent="0.25">
      <c r="B15" s="27" t="s">
        <v>62</v>
      </c>
      <c r="C15" s="15" t="s">
        <v>1</v>
      </c>
      <c r="E15" s="42">
        <f>E14/E8</f>
        <v>0.64113475177304968</v>
      </c>
      <c r="F15" s="42">
        <f t="shared" ref="F15:I15" si="4">F14/F8</f>
        <v>0.64803600654664473</v>
      </c>
      <c r="G15" s="42">
        <f t="shared" si="4"/>
        <v>0.65480454488228623</v>
      </c>
      <c r="H15" s="42">
        <f t="shared" si="4"/>
        <v>0.6614429190191653</v>
      </c>
      <c r="I15" s="42">
        <f t="shared" si="4"/>
        <v>0.66795363211495073</v>
      </c>
    </row>
    <row r="17" spans="2:10" ht="15" customHeight="1" x14ac:dyDescent="0.25">
      <c r="B17" s="4" t="s">
        <v>17</v>
      </c>
      <c r="C17" s="34" t="s">
        <v>11</v>
      </c>
      <c r="E17" s="21">
        <v>150000</v>
      </c>
      <c r="F17" s="21">
        <f>E17*1.05</f>
        <v>157500</v>
      </c>
      <c r="G17" s="21">
        <f t="shared" ref="G17:I17" si="5">F17*1.05</f>
        <v>165375</v>
      </c>
      <c r="H17" s="21">
        <f t="shared" si="5"/>
        <v>173643.75</v>
      </c>
      <c r="I17" s="21">
        <f t="shared" si="5"/>
        <v>182325.9375</v>
      </c>
    </row>
    <row r="18" spans="2:10" ht="15" customHeight="1" x14ac:dyDescent="0.25">
      <c r="B18" s="4" t="s">
        <v>19</v>
      </c>
      <c r="C18" s="34" t="s">
        <v>11</v>
      </c>
      <c r="E18" s="21">
        <v>60000</v>
      </c>
      <c r="F18" s="21">
        <f>E18*1.03</f>
        <v>61800</v>
      </c>
      <c r="G18" s="21">
        <f t="shared" ref="G18:I18" si="6">F18*1.03</f>
        <v>63654</v>
      </c>
      <c r="H18" s="21">
        <f t="shared" si="6"/>
        <v>65563.62</v>
      </c>
      <c r="I18" s="21">
        <f t="shared" si="6"/>
        <v>67530.528599999991</v>
      </c>
    </row>
    <row r="19" spans="2:10" ht="15" customHeight="1" x14ac:dyDescent="0.25">
      <c r="B19" s="4" t="s">
        <v>18</v>
      </c>
      <c r="C19" s="34" t="s">
        <v>11</v>
      </c>
      <c r="E19" s="21">
        <v>10000</v>
      </c>
      <c r="F19" s="21">
        <f>E19*1.05</f>
        <v>10500</v>
      </c>
      <c r="G19" s="21">
        <f t="shared" ref="G19:I20" si="7">F19*1.05</f>
        <v>11025</v>
      </c>
      <c r="H19" s="21">
        <f t="shared" si="7"/>
        <v>11576.25</v>
      </c>
      <c r="I19" s="21">
        <f t="shared" si="7"/>
        <v>12155.0625</v>
      </c>
    </row>
    <row r="20" spans="2:10" ht="15" customHeight="1" x14ac:dyDescent="0.25">
      <c r="B20" s="4" t="s">
        <v>20</v>
      </c>
      <c r="C20" s="34" t="s">
        <v>11</v>
      </c>
      <c r="E20" s="21">
        <v>5000</v>
      </c>
      <c r="F20" s="21">
        <f>E20*1.05</f>
        <v>5250</v>
      </c>
      <c r="G20" s="21">
        <f t="shared" si="7"/>
        <v>5512.5</v>
      </c>
      <c r="H20" s="21">
        <f t="shared" si="7"/>
        <v>5788.125</v>
      </c>
      <c r="I20" s="21">
        <f t="shared" si="7"/>
        <v>6077.53125</v>
      </c>
    </row>
    <row r="21" spans="2:10" ht="15" customHeight="1" x14ac:dyDescent="0.3">
      <c r="B21" s="24" t="s">
        <v>4</v>
      </c>
      <c r="C21" s="25" t="s">
        <v>11</v>
      </c>
      <c r="D21" s="26"/>
      <c r="E21" s="29">
        <f>E14-SUM(E17:E20)</f>
        <v>227000</v>
      </c>
      <c r="F21" s="29">
        <f t="shared" ref="F21:I21" si="8">F14-SUM(F17:F20)</f>
        <v>287603.99999999994</v>
      </c>
      <c r="G21" s="29">
        <f t="shared" si="8"/>
        <v>353102.35320000001</v>
      </c>
      <c r="H21" s="29">
        <f t="shared" si="8"/>
        <v>422670.11884032015</v>
      </c>
      <c r="I21" s="29">
        <f t="shared" si="8"/>
        <v>495211.36868203245</v>
      </c>
      <c r="J21"/>
    </row>
    <row r="22" spans="2:10" ht="15" customHeight="1" x14ac:dyDescent="0.25">
      <c r="B22" s="27" t="s">
        <v>62</v>
      </c>
      <c r="C22" s="15" t="s">
        <v>1</v>
      </c>
      <c r="E22" s="44">
        <f>E21/E8</f>
        <v>0.3219858156028369</v>
      </c>
      <c r="F22" s="44">
        <f t="shared" ref="F22:I22" si="9">F21/F8</f>
        <v>0.3565987204285076</v>
      </c>
      <c r="G22" s="44">
        <f t="shared" si="9"/>
        <v>0.38621188399582213</v>
      </c>
      <c r="H22" s="44">
        <f t="shared" si="9"/>
        <v>0.41159441440676897</v>
      </c>
      <c r="I22" s="44">
        <f t="shared" si="9"/>
        <v>0.43335260928901498</v>
      </c>
    </row>
    <row r="24" spans="2:10" ht="15" customHeight="1" x14ac:dyDescent="0.25">
      <c r="B24" s="4" t="s">
        <v>22</v>
      </c>
      <c r="C24" s="15" t="s">
        <v>23</v>
      </c>
      <c r="D24" s="19"/>
      <c r="E24" s="40">
        <f>'Forecast Assumptions'!E33*'P&amp;L Forecast'!E8</f>
        <v>-35250</v>
      </c>
      <c r="F24" s="40">
        <f>'Forecast Assumptions'!F33*'P&amp;L Forecast'!F8</f>
        <v>-38309.699999999997</v>
      </c>
      <c r="G24" s="40">
        <f>'Forecast Assumptions'!G33*'P&amp;L Forecast'!G8</f>
        <v>-41142.198240000005</v>
      </c>
      <c r="H24" s="40">
        <f>'Forecast Assumptions'!H33*'P&amp;L Forecast'!H8</f>
        <v>-43643.643892992011</v>
      </c>
      <c r="I24" s="40">
        <f>'Forecast Assumptions'!I33*'P&amp;L Forecast'!I8</f>
        <v>-45709.78534034967</v>
      </c>
      <c r="J24" s="33"/>
    </row>
    <row r="25" spans="2:10" ht="15" customHeight="1" x14ac:dyDescent="0.25">
      <c r="B25" s="24" t="s">
        <v>63</v>
      </c>
      <c r="C25" s="25" t="s">
        <v>11</v>
      </c>
      <c r="D25" s="26"/>
      <c r="E25" s="29">
        <f>E21+E24</f>
        <v>191750</v>
      </c>
      <c r="F25" s="29">
        <f t="shared" ref="F25:I25" si="10">F21+F24</f>
        <v>249294.29999999993</v>
      </c>
      <c r="G25" s="29">
        <f t="shared" si="10"/>
        <v>311960.15496000001</v>
      </c>
      <c r="H25" s="29">
        <f t="shared" si="10"/>
        <v>379026.47494732816</v>
      </c>
      <c r="I25" s="29">
        <f t="shared" si="10"/>
        <v>449501.5833416828</v>
      </c>
      <c r="J25" s="33"/>
    </row>
    <row r="26" spans="2:10" ht="15" customHeight="1" x14ac:dyDescent="0.25">
      <c r="B26" s="27" t="s">
        <v>62</v>
      </c>
      <c r="C26" s="15" t="s">
        <v>1</v>
      </c>
      <c r="E26" s="30">
        <f>E25/E8</f>
        <v>0.27198581560283686</v>
      </c>
      <c r="F26" s="30">
        <f t="shared" ref="F26:I26" si="11">F25/F8</f>
        <v>0.30909872042850756</v>
      </c>
      <c r="G26" s="30">
        <f t="shared" si="11"/>
        <v>0.34121188399582214</v>
      </c>
      <c r="H26" s="30">
        <f t="shared" si="11"/>
        <v>0.36909441440676899</v>
      </c>
      <c r="I26" s="30">
        <f t="shared" si="11"/>
        <v>0.393352609289015</v>
      </c>
      <c r="J26" s="33"/>
    </row>
    <row r="28" spans="2:10" ht="15" customHeight="1" x14ac:dyDescent="0.25">
      <c r="B28" s="4" t="s">
        <v>64</v>
      </c>
      <c r="C28" s="15" t="s">
        <v>11</v>
      </c>
      <c r="E28" s="35"/>
      <c r="F28" s="35"/>
      <c r="G28" s="35"/>
      <c r="H28" s="35"/>
      <c r="I28" s="35"/>
    </row>
    <row r="29" spans="2:10" ht="15" customHeight="1" x14ac:dyDescent="0.25">
      <c r="B29" s="24" t="s">
        <v>65</v>
      </c>
      <c r="C29" s="25" t="s">
        <v>11</v>
      </c>
      <c r="D29" s="26"/>
      <c r="E29" s="26">
        <f t="shared" ref="E29" si="12">SUM(E25,E28)</f>
        <v>191750</v>
      </c>
      <c r="F29" s="26">
        <f>SUM(F25,F28)</f>
        <v>249294.29999999993</v>
      </c>
      <c r="G29" s="26">
        <f t="shared" ref="G29:I29" si="13">SUM(G25,G28)</f>
        <v>311960.15496000001</v>
      </c>
      <c r="H29" s="26">
        <f t="shared" si="13"/>
        <v>379026.47494732816</v>
      </c>
      <c r="I29" s="26">
        <f t="shared" si="13"/>
        <v>449501.5833416828</v>
      </c>
    </row>
    <row r="30" spans="2:10" ht="15" customHeight="1" x14ac:dyDescent="0.25">
      <c r="B30" s="27" t="s">
        <v>62</v>
      </c>
      <c r="C30" s="15" t="s">
        <v>1</v>
      </c>
      <c r="E30" s="28">
        <f>E29/E$8</f>
        <v>0.27198581560283686</v>
      </c>
      <c r="F30" s="28">
        <f t="shared" ref="F30:I30" si="14">F29/F$8</f>
        <v>0.30909872042850756</v>
      </c>
      <c r="G30" s="28">
        <f t="shared" si="14"/>
        <v>0.34121188399582214</v>
      </c>
      <c r="H30" s="28">
        <f t="shared" si="14"/>
        <v>0.36909441440676899</v>
      </c>
      <c r="I30" s="28">
        <f t="shared" si="14"/>
        <v>0.393352609289015</v>
      </c>
    </row>
    <row r="32" spans="2:10" ht="15" customHeight="1" x14ac:dyDescent="0.25">
      <c r="B32" s="4" t="s">
        <v>2</v>
      </c>
      <c r="C32" s="15" t="s">
        <v>1</v>
      </c>
      <c r="D32" s="19"/>
      <c r="E32" s="45">
        <f>'Forecast Assumptions'!E43*'P&amp;L Forecast'!E29</f>
        <v>40267.5</v>
      </c>
      <c r="F32" s="45">
        <f>'Forecast Assumptions'!F43*'P&amp;L Forecast'!F29</f>
        <v>52351.802999999985</v>
      </c>
      <c r="G32" s="45">
        <f>'Forecast Assumptions'!G43*'P&amp;L Forecast'!G29</f>
        <v>65511.632541600004</v>
      </c>
      <c r="H32" s="45">
        <f>'Forecast Assumptions'!H43*'P&amp;L Forecast'!H29</f>
        <v>79595.559738938915</v>
      </c>
      <c r="I32" s="45">
        <f>'Forecast Assumptions'!I43*'P&amp;L Forecast'!I29</f>
        <v>94395.332501753379</v>
      </c>
    </row>
    <row r="33" spans="1:10" ht="15" customHeight="1" x14ac:dyDescent="0.3">
      <c r="B33" s="24" t="s">
        <v>66</v>
      </c>
      <c r="C33" s="25" t="s">
        <v>11</v>
      </c>
      <c r="D33" s="26"/>
      <c r="E33" s="41">
        <f>SUM(E29-E32)</f>
        <v>151482.5</v>
      </c>
      <c r="F33" s="41">
        <f t="shared" ref="F33:J33" si="15">SUM(F29-F32)</f>
        <v>196942.49699999994</v>
      </c>
      <c r="G33" s="41">
        <f t="shared" si="15"/>
        <v>246448.52241840001</v>
      </c>
      <c r="H33" s="41">
        <f t="shared" si="15"/>
        <v>299430.91520838923</v>
      </c>
      <c r="I33" s="41">
        <f t="shared" si="15"/>
        <v>355106.25083992945</v>
      </c>
      <c r="J33"/>
    </row>
    <row r="34" spans="1:10" ht="15" customHeight="1" x14ac:dyDescent="0.25">
      <c r="B34" s="27" t="s">
        <v>62</v>
      </c>
      <c r="C34" s="15" t="s">
        <v>1</v>
      </c>
      <c r="E34" s="30">
        <f>E33/E8</f>
        <v>0.21486879432624115</v>
      </c>
      <c r="F34" s="30">
        <f t="shared" ref="F34:I34" si="16">F33/F8</f>
        <v>0.24418798913852099</v>
      </c>
      <c r="G34" s="30">
        <f t="shared" si="16"/>
        <v>0.26955738835669951</v>
      </c>
      <c r="H34" s="30">
        <f t="shared" si="16"/>
        <v>0.29158458738134746</v>
      </c>
      <c r="I34" s="30">
        <f t="shared" si="16"/>
        <v>0.3107485613383219</v>
      </c>
    </row>
    <row r="36" spans="1:10" ht="15" customHeight="1" x14ac:dyDescent="0.25">
      <c r="B36" s="33" t="s">
        <v>38</v>
      </c>
      <c r="C36" s="34" t="s">
        <v>1</v>
      </c>
      <c r="E36" s="36">
        <f>'Forecast Assumptions'!E39</f>
        <v>0.6</v>
      </c>
      <c r="F36" s="36">
        <f>'Forecast Assumptions'!F39</f>
        <v>0.6</v>
      </c>
      <c r="G36" s="36">
        <f>'Forecast Assumptions'!G39</f>
        <v>0.6</v>
      </c>
      <c r="H36" s="36">
        <f>'Forecast Assumptions'!H39</f>
        <v>0.6</v>
      </c>
      <c r="I36" s="36">
        <f>'Forecast Assumptions'!I39</f>
        <v>0.6</v>
      </c>
    </row>
    <row r="37" spans="1:10" ht="15" customHeight="1" x14ac:dyDescent="0.25">
      <c r="B37" s="24" t="s">
        <v>67</v>
      </c>
      <c r="C37" s="25" t="s">
        <v>11</v>
      </c>
      <c r="D37" s="26"/>
      <c r="E37" s="29">
        <f>E33*E36</f>
        <v>90889.5</v>
      </c>
      <c r="F37" s="29">
        <f t="shared" ref="F37:I37" si="17">F33*F36</f>
        <v>118165.49819999996</v>
      </c>
      <c r="G37" s="29">
        <f t="shared" si="17"/>
        <v>147869.11345104</v>
      </c>
      <c r="H37" s="29">
        <f t="shared" si="17"/>
        <v>179658.54912503352</v>
      </c>
      <c r="I37" s="29">
        <f t="shared" si="17"/>
        <v>213063.75050395765</v>
      </c>
    </row>
    <row r="38" spans="1:10" ht="15" customHeight="1" x14ac:dyDescent="0.25">
      <c r="D38" s="17"/>
      <c r="E38" s="17"/>
      <c r="F38" s="17"/>
      <c r="G38" s="17"/>
      <c r="H38" s="17"/>
      <c r="I38" s="17"/>
    </row>
    <row r="39" spans="1:10" s="3" customFormat="1" ht="15" customHeight="1" x14ac:dyDescent="0.25">
      <c r="A39" s="2" t="s">
        <v>0</v>
      </c>
      <c r="B39" s="2" t="s">
        <v>37</v>
      </c>
    </row>
  </sheetData>
  <pageMargins left="0.7" right="0.7" top="0.75" bottom="0.75" header="0.3" footer="0.3"/>
  <pageSetup paperSize="9" scale="18" orientation="portrait" horizontalDpi="4294967293" verticalDpi="1200" r:id="rId1"/>
  <ignoredErrors>
    <ignoredError sqref="F18:I18" 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kiit</cp:lastModifiedBy>
  <dcterms:created xsi:type="dcterms:W3CDTF">2020-07-20T11:12:49Z</dcterms:created>
  <dcterms:modified xsi:type="dcterms:W3CDTF">2024-03-01T20:25:22Z</dcterms:modified>
</cp:coreProperties>
</file>