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96DF3AB1-0307-4AEB-AE1C-9595322CBE61}" xr6:coauthVersionLast="47" xr6:coauthVersionMax="47" xr10:uidLastSave="{00000000-0000-0000-0000-000000000000}"/>
  <bookViews>
    <workbookView xWindow="-110" yWindow="-110" windowWidth="19420" windowHeight="10300" tabRatio="801" activeTab="9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Акт дем.оборуд" sheetId="143" r:id="rId11"/>
    <sheet name="Форма 3" sheetId="6" r:id="rId12"/>
    <sheet name="Форма 4" sheetId="268" r:id="rId13"/>
    <sheet name="Форма 5_Обор. (2)" sheetId="310" r:id="rId14"/>
    <sheet name="Форма 5_Мат. (2)" sheetId="311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2_ВЛИ-0,4кВ (2)" sheetId="312" r:id="rId30"/>
    <sheet name="Форма 23_дор._10" sheetId="139" r:id="rId31"/>
    <sheet name="Форма 23_дор._0,4" sheetId="309" r:id="rId32"/>
    <sheet name="Форма 24_ВЛЗ-10кВ" sheetId="136" r:id="rId33"/>
    <sheet name="Форма 24_ВЛИ-0,4кВ" sheetId="202" r:id="rId34"/>
    <sheet name="Форма 24_ТП" sheetId="171" r:id="rId35"/>
    <sheet name="Форма 24_ТП (2)" sheetId="313" r:id="rId36"/>
    <sheet name="Форма 24_ТП (3)" sheetId="314" r:id="rId37"/>
    <sheet name="Форма 24_ТП (5)" sheetId="316" r:id="rId38"/>
    <sheet name="Форма 24_ТП (6)" sheetId="317" r:id="rId39"/>
    <sheet name="Форма 24_ТП (7)" sheetId="318" r:id="rId40"/>
    <sheet name="Форма 24_ТП (8)" sheetId="319" r:id="rId41"/>
    <sheet name="Форма 24_ТП (4)" sheetId="315" r:id="rId42"/>
    <sheet name="ОГРАС" sheetId="267" r:id="rId43"/>
    <sheet name="Акт внеш осмотра ЛР" sheetId="148" r:id="rId44"/>
    <sheet name="Акт внеш осмотра ОПН" sheetId="149" r:id="rId45"/>
    <sheet name="Акт проверка швов ВЛ-10кВ" sheetId="225" r:id="rId46"/>
    <sheet name="Акт проверка швов ВЛ-0,4кВ" sheetId="227" r:id="rId47"/>
    <sheet name="Акт проверка швов КТП" sheetId="231" r:id="rId48"/>
    <sheet name="Акт проверка швов КТП (2)" sheetId="320" r:id="rId49"/>
    <sheet name="Акт проверка швов КТП (3)" sheetId="321" r:id="rId50"/>
    <sheet name="Акт проверка швов КТП (4)" sheetId="322" r:id="rId51"/>
    <sheet name="Акт проверка швов КТП (5)" sheetId="323" r:id="rId52"/>
    <sheet name="Акт проверка швов КТП (6)" sheetId="324" r:id="rId53"/>
    <sheet name="Акт проверка швов КТП (7)" sheetId="325" r:id="rId54"/>
    <sheet name="Акт проверка швов КТП (8)" sheetId="326" r:id="rId55"/>
    <sheet name="Акт защитного покрытия ВЛ-10кВ" sheetId="226" r:id="rId56"/>
    <sheet name="Акт защитного покрытия ВЛ-0,4кВ" sheetId="232" r:id="rId57"/>
    <sheet name="Акт защитного покрытия КТП" sheetId="235" r:id="rId58"/>
    <sheet name="Акт защитного покрытия КТП (2)" sheetId="327" r:id="rId59"/>
    <sheet name="Акт защитного покрытия КТП  (3)" sheetId="328" r:id="rId60"/>
    <sheet name="Акт защитного покрытия КТП (3)" sheetId="329" r:id="rId61"/>
    <sheet name="Акт защитного покрытия КТП  (4)" sheetId="330" r:id="rId62"/>
    <sheet name="Акт защитного покрытия КТП  (5)" sheetId="331" r:id="rId63"/>
    <sheet name="Акт защитного покрытия КТП  (6)" sheetId="332" r:id="rId64"/>
    <sheet name="Акт защитного покрытия КТП (4)" sheetId="333" r:id="rId65"/>
    <sheet name="Акт про знаки 10кВ" sheetId="236" r:id="rId66"/>
    <sheet name="Акт про знаки 0,4" sheetId="228" r:id="rId67"/>
    <sheet name="Акт внеш осмотра провода_01" sheetId="150" r:id="rId68"/>
    <sheet name="Акт внеш осмотра провода_02" sheetId="175" r:id="rId69"/>
    <sheet name="Акт расчистки" sheetId="264" r:id="rId70"/>
    <sheet name="АКТ приемки участка ВЛ" sheetId="266" r:id="rId71"/>
    <sheet name="АГРО КЛ-10кВ" sheetId="208" r:id="rId72"/>
    <sheet name="АГРО ВЛЗ-10 кВ" sheetId="209" r:id="rId73"/>
    <sheet name="АГРО КЛ-0,4кВ" sheetId="258" r:id="rId74"/>
    <sheet name="АГРО ВЛИ-0,4 кВ" sheetId="211" r:id="rId75"/>
    <sheet name="АГРО ТП" sheetId="210" r:id="rId76"/>
    <sheet name="АРОК КЛ-10кВ" sheetId="212" r:id="rId77"/>
    <sheet name="АРОК ВЛЗ-10 кВ" sheetId="213" r:id="rId78"/>
    <sheet name="АРОК КЛ-0,4кВ" sheetId="259" r:id="rId79"/>
    <sheet name="АРОК ВЛИ-0,4 кВ" sheetId="215" r:id="rId80"/>
    <sheet name="АРОК ТП" sheetId="214" r:id="rId81"/>
    <sheet name="АОСР 1" sheetId="205" r:id="rId82"/>
    <sheet name="АОСР 2" sheetId="271" r:id="rId83"/>
    <sheet name="АОСР 3" sheetId="272" r:id="rId84"/>
    <sheet name="АОСР 4" sheetId="273" r:id="rId85"/>
    <sheet name="АОСР 5" sheetId="274" r:id="rId86"/>
    <sheet name="АОСР 6" sheetId="275" r:id="rId87"/>
    <sheet name="АОСР 7" sheetId="276" r:id="rId88"/>
    <sheet name="АОСР 8" sheetId="277" r:id="rId89"/>
    <sheet name="АОСР 9" sheetId="278" r:id="rId90"/>
    <sheet name="АОСР 10" sheetId="279" r:id="rId91"/>
    <sheet name="АОСР 11" sheetId="280" r:id="rId92"/>
    <sheet name="АОСР 12" sheetId="281" r:id="rId93"/>
    <sheet name="АОСР 13" sheetId="282" r:id="rId94"/>
    <sheet name="АОСР 14" sheetId="283" r:id="rId95"/>
    <sheet name="АОСР 15" sheetId="284" r:id="rId96"/>
    <sheet name="АОСР 16" sheetId="285" r:id="rId97"/>
    <sheet name="АОСР 17" sheetId="286" r:id="rId98"/>
    <sheet name="АОСР 18" sheetId="287" r:id="rId99"/>
    <sheet name="АОСР 19" sheetId="288" r:id="rId100"/>
    <sheet name="АОСР 20" sheetId="289" r:id="rId101"/>
    <sheet name="АОСР 21" sheetId="290" r:id="rId102"/>
    <sheet name="АОСР 22" sheetId="291" r:id="rId103"/>
    <sheet name="АОСР 23" sheetId="292" r:id="rId104"/>
    <sheet name="АОСР 24" sheetId="293" r:id="rId105"/>
    <sheet name="АОСР 25" sheetId="294" r:id="rId106"/>
    <sheet name="АОСР 26" sheetId="295" r:id="rId107"/>
    <sheet name="АОСР 27" sheetId="296" r:id="rId108"/>
    <sheet name="АОСР 28" sheetId="297" r:id="rId109"/>
    <sheet name="АОСР 29" sheetId="298" r:id="rId110"/>
    <sheet name="АОСР 30" sheetId="334" r:id="rId111"/>
    <sheet name="АОСР 31" sheetId="335" r:id="rId112"/>
    <sheet name="АОСР 32" sheetId="336" r:id="rId113"/>
    <sheet name="АОСР 33" sheetId="337" r:id="rId114"/>
    <sheet name="АОСР 34" sheetId="338" r:id="rId115"/>
    <sheet name="АОСР 35" sheetId="339" r:id="rId116"/>
    <sheet name="АОСР 36" sheetId="340" r:id="rId117"/>
    <sheet name="АОСР 37" sheetId="341" r:id="rId118"/>
    <sheet name="АОСР 38" sheetId="342" r:id="rId119"/>
    <sheet name="АОСР 39" sheetId="343" r:id="rId120"/>
    <sheet name="АОСР 40" sheetId="344" r:id="rId121"/>
    <sheet name="АОСР 41" sheetId="345" r:id="rId122"/>
    <sheet name="АОСР 42" sheetId="346" r:id="rId123"/>
    <sheet name="АОСР 43" sheetId="347" r:id="rId124"/>
    <sheet name="АОСР 44" sheetId="348" r:id="rId125"/>
    <sheet name="АОСР 45" sheetId="349" r:id="rId126"/>
    <sheet name="АОСР 46" sheetId="350" r:id="rId127"/>
    <sheet name="АОСР 47" sheetId="351" r:id="rId128"/>
    <sheet name="АОСР 48" sheetId="352" r:id="rId129"/>
    <sheet name="АОСР 49" sheetId="353" r:id="rId130"/>
    <sheet name="АОСР 50" sheetId="354" r:id="rId131"/>
    <sheet name="АОСР 51" sheetId="355" r:id="rId132"/>
    <sheet name="АОСР 52" sheetId="356" r:id="rId133"/>
    <sheet name="АОСР 53" sheetId="357" r:id="rId134"/>
    <sheet name="АОСР 54" sheetId="358" r:id="rId135"/>
    <sheet name="АОСР 55" sheetId="359" r:id="rId136"/>
    <sheet name="АОСР 56" sheetId="360" r:id="rId137"/>
    <sheet name="АОСР 57" sheetId="361" r:id="rId138"/>
    <sheet name="АОСР 58" sheetId="362" r:id="rId139"/>
    <sheet name="АООК 30" sheetId="118" r:id="rId140"/>
    <sheet name="АООК 31" sheetId="302" r:id="rId141"/>
    <sheet name="АООК 32" sheetId="303" r:id="rId142"/>
    <sheet name="АООК 33" sheetId="304" r:id="rId143"/>
  </sheets>
  <externalReferences>
    <externalReference r:id="rId144"/>
  </externalReferences>
  <definedNames>
    <definedName name="_FilterDatabase" localSheetId="7" hidden="1">'Форма 1'!$A$9:$BP$440</definedName>
    <definedName name="_xlnm._FilterDatabase" localSheetId="10" hidden="1">'Акт дем.оборуд'!$A$15:$K$24</definedName>
    <definedName name="_xlnm._FilterDatabase" localSheetId="9" hidden="1">ВОР!$A$521:$U$535</definedName>
    <definedName name="_xlnm._FilterDatabase" localSheetId="7" hidden="1">'Форма 1'!$A$9:$BS$440</definedName>
    <definedName name="_xlnm._FilterDatabase" localSheetId="12" hidden="1">'Форма 4'!$A$28:$DC$35</definedName>
    <definedName name="_xlnm._FilterDatabase" localSheetId="14" hidden="1">'Форма 5_Мат. (2)'!$A$208:$K$215</definedName>
    <definedName name="_xlnm._FilterDatabase" localSheetId="13" hidden="1">'Форма 5_Обор. (2)'!$A$85:$K$92</definedName>
    <definedName name="dews212" localSheetId="56">#REF!</definedName>
    <definedName name="dews212" localSheetId="57">#REF!</definedName>
    <definedName name="dews212" localSheetId="59">#REF!</definedName>
    <definedName name="dews212" localSheetId="61">#REF!</definedName>
    <definedName name="dews212" localSheetId="62">#REF!</definedName>
    <definedName name="dews212" localSheetId="63">#REF!</definedName>
    <definedName name="dews212" localSheetId="58">#REF!</definedName>
    <definedName name="dews212" localSheetId="60">#REF!</definedName>
    <definedName name="dews212" localSheetId="64">#REF!</definedName>
    <definedName name="dews212" localSheetId="70">#REF!</definedName>
    <definedName name="dews212" localSheetId="66">#REF!</definedName>
    <definedName name="dews212" localSheetId="65">#REF!</definedName>
    <definedName name="dews212" localSheetId="46">#REF!</definedName>
    <definedName name="dews212" localSheetId="47">#REF!</definedName>
    <definedName name="dews212" localSheetId="48">#REF!</definedName>
    <definedName name="dews212" localSheetId="49">#REF!</definedName>
    <definedName name="dews212" localSheetId="50">#REF!</definedName>
    <definedName name="dews212" localSheetId="51">#REF!</definedName>
    <definedName name="dews212" localSheetId="52">#REF!</definedName>
    <definedName name="dews212" localSheetId="53">#REF!</definedName>
    <definedName name="dews212" localSheetId="54">#REF!</definedName>
    <definedName name="dews212" localSheetId="9">#REF!</definedName>
    <definedName name="dews212">#REF!</definedName>
    <definedName name="Excel_BuiltIn_Print_Area_23" localSheetId="56">#REF!</definedName>
    <definedName name="Excel_BuiltIn_Print_Area_23" localSheetId="57">#REF!</definedName>
    <definedName name="Excel_BuiltIn_Print_Area_23" localSheetId="59">#REF!</definedName>
    <definedName name="Excel_BuiltIn_Print_Area_23" localSheetId="61">#REF!</definedName>
    <definedName name="Excel_BuiltIn_Print_Area_23" localSheetId="62">#REF!</definedName>
    <definedName name="Excel_BuiltIn_Print_Area_23" localSheetId="63">#REF!</definedName>
    <definedName name="Excel_BuiltIn_Print_Area_23" localSheetId="58">#REF!</definedName>
    <definedName name="Excel_BuiltIn_Print_Area_23" localSheetId="60">#REF!</definedName>
    <definedName name="Excel_BuiltIn_Print_Area_23" localSheetId="64">#REF!</definedName>
    <definedName name="Excel_BuiltIn_Print_Area_23" localSheetId="70">#REF!</definedName>
    <definedName name="Excel_BuiltIn_Print_Area_23" localSheetId="66">#REF!</definedName>
    <definedName name="Excel_BuiltIn_Print_Area_23" localSheetId="65">#REF!</definedName>
    <definedName name="Excel_BuiltIn_Print_Area_23" localSheetId="46">#REF!</definedName>
    <definedName name="Excel_BuiltIn_Print_Area_23" localSheetId="47">#REF!</definedName>
    <definedName name="Excel_BuiltIn_Print_Area_23" localSheetId="48">#REF!</definedName>
    <definedName name="Excel_BuiltIn_Print_Area_23" localSheetId="49">#REF!</definedName>
    <definedName name="Excel_BuiltIn_Print_Area_23" localSheetId="50">#REF!</definedName>
    <definedName name="Excel_BuiltIn_Print_Area_23" localSheetId="51">#REF!</definedName>
    <definedName name="Excel_BuiltIn_Print_Area_23" localSheetId="52">#REF!</definedName>
    <definedName name="Excel_BuiltIn_Print_Area_23" localSheetId="53">#REF!</definedName>
    <definedName name="Excel_BuiltIn_Print_Area_23" localSheetId="54">#REF!</definedName>
    <definedName name="Excel_BuiltIn_Print_Area_23" localSheetId="9">#REF!</definedName>
    <definedName name="Excel_BuiltIn_Print_Area_23">#REF!</definedName>
    <definedName name="Excel_BuiltIn_Print_Area_24" localSheetId="56">#REF!</definedName>
    <definedName name="Excel_BuiltIn_Print_Area_24" localSheetId="57">#REF!</definedName>
    <definedName name="Excel_BuiltIn_Print_Area_24" localSheetId="59">#REF!</definedName>
    <definedName name="Excel_BuiltIn_Print_Area_24" localSheetId="61">#REF!</definedName>
    <definedName name="Excel_BuiltIn_Print_Area_24" localSheetId="62">#REF!</definedName>
    <definedName name="Excel_BuiltIn_Print_Area_24" localSheetId="63">#REF!</definedName>
    <definedName name="Excel_BuiltIn_Print_Area_24" localSheetId="58">#REF!</definedName>
    <definedName name="Excel_BuiltIn_Print_Area_24" localSheetId="60">#REF!</definedName>
    <definedName name="Excel_BuiltIn_Print_Area_24" localSheetId="64">#REF!</definedName>
    <definedName name="Excel_BuiltIn_Print_Area_24" localSheetId="70">#REF!</definedName>
    <definedName name="Excel_BuiltIn_Print_Area_24" localSheetId="66">#REF!</definedName>
    <definedName name="Excel_BuiltIn_Print_Area_24" localSheetId="65">#REF!</definedName>
    <definedName name="Excel_BuiltIn_Print_Area_24" localSheetId="46">#REF!</definedName>
    <definedName name="Excel_BuiltIn_Print_Area_24" localSheetId="47">#REF!</definedName>
    <definedName name="Excel_BuiltIn_Print_Area_24" localSheetId="48">#REF!</definedName>
    <definedName name="Excel_BuiltIn_Print_Area_24" localSheetId="49">#REF!</definedName>
    <definedName name="Excel_BuiltIn_Print_Area_24" localSheetId="50">#REF!</definedName>
    <definedName name="Excel_BuiltIn_Print_Area_24" localSheetId="51">#REF!</definedName>
    <definedName name="Excel_BuiltIn_Print_Area_24" localSheetId="52">#REF!</definedName>
    <definedName name="Excel_BuiltIn_Print_Area_24" localSheetId="53">#REF!</definedName>
    <definedName name="Excel_BuiltIn_Print_Area_24" localSheetId="54">#REF!</definedName>
    <definedName name="Excel_BuiltIn_Print_Area_24" localSheetId="9">#REF!</definedName>
    <definedName name="Excel_BuiltIn_Print_Area_24">#REF!</definedName>
    <definedName name="Excel_BuiltIn_Print_Area_29" localSheetId="56">#REF!</definedName>
    <definedName name="Excel_BuiltIn_Print_Area_29" localSheetId="57">#REF!</definedName>
    <definedName name="Excel_BuiltIn_Print_Area_29" localSheetId="59">#REF!</definedName>
    <definedName name="Excel_BuiltIn_Print_Area_29" localSheetId="61">#REF!</definedName>
    <definedName name="Excel_BuiltIn_Print_Area_29" localSheetId="62">#REF!</definedName>
    <definedName name="Excel_BuiltIn_Print_Area_29" localSheetId="63">#REF!</definedName>
    <definedName name="Excel_BuiltIn_Print_Area_29" localSheetId="58">#REF!</definedName>
    <definedName name="Excel_BuiltIn_Print_Area_29" localSheetId="60">#REF!</definedName>
    <definedName name="Excel_BuiltIn_Print_Area_29" localSheetId="64">#REF!</definedName>
    <definedName name="Excel_BuiltIn_Print_Area_29" localSheetId="70">#REF!</definedName>
    <definedName name="Excel_BuiltIn_Print_Area_29" localSheetId="66">#REF!</definedName>
    <definedName name="Excel_BuiltIn_Print_Area_29" localSheetId="65">#REF!</definedName>
    <definedName name="Excel_BuiltIn_Print_Area_29" localSheetId="46">#REF!</definedName>
    <definedName name="Excel_BuiltIn_Print_Area_29" localSheetId="47">#REF!</definedName>
    <definedName name="Excel_BuiltIn_Print_Area_29" localSheetId="48">#REF!</definedName>
    <definedName name="Excel_BuiltIn_Print_Area_29" localSheetId="49">#REF!</definedName>
    <definedName name="Excel_BuiltIn_Print_Area_29" localSheetId="50">#REF!</definedName>
    <definedName name="Excel_BuiltIn_Print_Area_29" localSheetId="51">#REF!</definedName>
    <definedName name="Excel_BuiltIn_Print_Area_29" localSheetId="52">#REF!</definedName>
    <definedName name="Excel_BuiltIn_Print_Area_29" localSheetId="53">#REF!</definedName>
    <definedName name="Excel_BuiltIn_Print_Area_29" localSheetId="54">#REF!</definedName>
    <definedName name="Excel_BuiltIn_Print_Area_29" localSheetId="9">#REF!</definedName>
    <definedName name="Excel_BuiltIn_Print_Area_29">#REF!</definedName>
    <definedName name="Print_Area" localSheetId="7">'Форма 1'!$A$1:$BP$440</definedName>
    <definedName name="Print_Titles" localSheetId="7">'Форма 1'!$9:$9</definedName>
    <definedName name="qawdeds12321" localSheetId="56">#REF!</definedName>
    <definedName name="qawdeds12321" localSheetId="57">#REF!</definedName>
    <definedName name="qawdeds12321" localSheetId="59">#REF!</definedName>
    <definedName name="qawdeds12321" localSheetId="61">#REF!</definedName>
    <definedName name="qawdeds12321" localSheetId="62">#REF!</definedName>
    <definedName name="qawdeds12321" localSheetId="63">#REF!</definedName>
    <definedName name="qawdeds12321" localSheetId="58">#REF!</definedName>
    <definedName name="qawdeds12321" localSheetId="60">#REF!</definedName>
    <definedName name="qawdeds12321" localSheetId="64">#REF!</definedName>
    <definedName name="qawdeds12321" localSheetId="70">#REF!</definedName>
    <definedName name="qawdeds12321" localSheetId="66">#REF!</definedName>
    <definedName name="qawdeds12321" localSheetId="65">#REF!</definedName>
    <definedName name="qawdeds12321" localSheetId="46">#REF!</definedName>
    <definedName name="qawdeds12321" localSheetId="47">#REF!</definedName>
    <definedName name="qawdeds12321" localSheetId="48">#REF!</definedName>
    <definedName name="qawdeds12321" localSheetId="49">#REF!</definedName>
    <definedName name="qawdeds12321" localSheetId="50">#REF!</definedName>
    <definedName name="qawdeds12321" localSheetId="51">#REF!</definedName>
    <definedName name="qawdeds12321" localSheetId="52">#REF!</definedName>
    <definedName name="qawdeds12321" localSheetId="53">#REF!</definedName>
    <definedName name="qawdeds12321" localSheetId="54">#REF!</definedName>
    <definedName name="qawdeds12321" localSheetId="9">#REF!</definedName>
    <definedName name="qawdeds12321">#REF!</definedName>
    <definedName name="а" localSheetId="56">#REF!</definedName>
    <definedName name="а" localSheetId="57">#REF!</definedName>
    <definedName name="а" localSheetId="59">#REF!</definedName>
    <definedName name="а" localSheetId="61">#REF!</definedName>
    <definedName name="а" localSheetId="62">#REF!</definedName>
    <definedName name="а" localSheetId="63">#REF!</definedName>
    <definedName name="а" localSheetId="58">#REF!</definedName>
    <definedName name="а" localSheetId="60">#REF!</definedName>
    <definedName name="а" localSheetId="64">#REF!</definedName>
    <definedName name="а" localSheetId="70">#REF!</definedName>
    <definedName name="а" localSheetId="66">#REF!</definedName>
    <definedName name="а" localSheetId="65">#REF!</definedName>
    <definedName name="а" localSheetId="46">#REF!</definedName>
    <definedName name="а" localSheetId="47">#REF!</definedName>
    <definedName name="а" localSheetId="48">#REF!</definedName>
    <definedName name="а" localSheetId="49">#REF!</definedName>
    <definedName name="а" localSheetId="50">#REF!</definedName>
    <definedName name="а" localSheetId="51">#REF!</definedName>
    <definedName name="а" localSheetId="52">#REF!</definedName>
    <definedName name="а" localSheetId="53">#REF!</definedName>
    <definedName name="а" localSheetId="54">#REF!</definedName>
    <definedName name="а">#REF!</definedName>
    <definedName name="А27" localSheetId="56">#REF!</definedName>
    <definedName name="А27" localSheetId="57">#REF!</definedName>
    <definedName name="А27" localSheetId="59">#REF!</definedName>
    <definedName name="А27" localSheetId="61">#REF!</definedName>
    <definedName name="А27" localSheetId="62">#REF!</definedName>
    <definedName name="А27" localSheetId="63">#REF!</definedName>
    <definedName name="А27" localSheetId="58">#REF!</definedName>
    <definedName name="А27" localSheetId="60">#REF!</definedName>
    <definedName name="А27" localSheetId="64">#REF!</definedName>
    <definedName name="А27" localSheetId="70">#REF!</definedName>
    <definedName name="А27" localSheetId="66">#REF!</definedName>
    <definedName name="А27" localSheetId="65">#REF!</definedName>
    <definedName name="А27" localSheetId="46">#REF!</definedName>
    <definedName name="А27" localSheetId="47">#REF!</definedName>
    <definedName name="А27" localSheetId="48">#REF!</definedName>
    <definedName name="А27" localSheetId="49">#REF!</definedName>
    <definedName name="А27" localSheetId="50">#REF!</definedName>
    <definedName name="А27" localSheetId="51">#REF!</definedName>
    <definedName name="А27" localSheetId="52">#REF!</definedName>
    <definedName name="А27" localSheetId="53">#REF!</definedName>
    <definedName name="А27" localSheetId="54">#REF!</definedName>
    <definedName name="А27">#REF!</definedName>
    <definedName name="авпр45е3" localSheetId="56">#REF!</definedName>
    <definedName name="авпр45е3" localSheetId="57">#REF!</definedName>
    <definedName name="авпр45е3" localSheetId="59">#REF!</definedName>
    <definedName name="авпр45е3" localSheetId="61">#REF!</definedName>
    <definedName name="авпр45е3" localSheetId="62">#REF!</definedName>
    <definedName name="авпр45е3" localSheetId="63">#REF!</definedName>
    <definedName name="авпр45е3" localSheetId="58">#REF!</definedName>
    <definedName name="авпр45е3" localSheetId="60">#REF!</definedName>
    <definedName name="авпр45е3" localSheetId="64">#REF!</definedName>
    <definedName name="авпр45е3" localSheetId="70">#REF!</definedName>
    <definedName name="авпр45е3" localSheetId="66">#REF!</definedName>
    <definedName name="авпр45е3" localSheetId="65">#REF!</definedName>
    <definedName name="авпр45е3" localSheetId="46">#REF!</definedName>
    <definedName name="авпр45е3" localSheetId="47">#REF!</definedName>
    <definedName name="авпр45е3" localSheetId="48">#REF!</definedName>
    <definedName name="авпр45е3" localSheetId="49">#REF!</definedName>
    <definedName name="авпр45е3" localSheetId="50">#REF!</definedName>
    <definedName name="авпр45е3" localSheetId="51">#REF!</definedName>
    <definedName name="авпр45е3" localSheetId="52">#REF!</definedName>
    <definedName name="авпр45е3" localSheetId="53">#REF!</definedName>
    <definedName name="авпр45е3" localSheetId="54">#REF!</definedName>
    <definedName name="авпр45е3" localSheetId="9">#REF!</definedName>
    <definedName name="авпр45е3">#REF!</definedName>
    <definedName name="АОК1" localSheetId="56">#REF!</definedName>
    <definedName name="АОК1" localSheetId="57">#REF!</definedName>
    <definedName name="АОК1" localSheetId="59">#REF!</definedName>
    <definedName name="АОК1" localSheetId="61">#REF!</definedName>
    <definedName name="АОК1" localSheetId="62">#REF!</definedName>
    <definedName name="АОК1" localSheetId="63">#REF!</definedName>
    <definedName name="АОК1" localSheetId="58">#REF!</definedName>
    <definedName name="АОК1" localSheetId="60">#REF!</definedName>
    <definedName name="АОК1" localSheetId="64">#REF!</definedName>
    <definedName name="АОК1" localSheetId="70">#REF!</definedName>
    <definedName name="АОК1" localSheetId="66">#REF!</definedName>
    <definedName name="АОК1" localSheetId="65">#REF!</definedName>
    <definedName name="АОК1" localSheetId="46">#REF!</definedName>
    <definedName name="АОК1" localSheetId="47">#REF!</definedName>
    <definedName name="АОК1" localSheetId="48">#REF!</definedName>
    <definedName name="АОК1" localSheetId="49">#REF!</definedName>
    <definedName name="АОК1" localSheetId="50">#REF!</definedName>
    <definedName name="АОК1" localSheetId="51">#REF!</definedName>
    <definedName name="АОК1" localSheetId="52">#REF!</definedName>
    <definedName name="АОК1" localSheetId="53">#REF!</definedName>
    <definedName name="АОК1" localSheetId="54">#REF!</definedName>
    <definedName name="АОК1" localSheetId="9">#REF!</definedName>
    <definedName name="АОК1">#REF!</definedName>
    <definedName name="АОСР1копия" localSheetId="56">#REF!</definedName>
    <definedName name="АОСР1копия" localSheetId="57">#REF!</definedName>
    <definedName name="АОСР1копия" localSheetId="59">#REF!</definedName>
    <definedName name="АОСР1копия" localSheetId="61">#REF!</definedName>
    <definedName name="АОСР1копия" localSheetId="62">#REF!</definedName>
    <definedName name="АОСР1копия" localSheetId="63">#REF!</definedName>
    <definedName name="АОСР1копия" localSheetId="58">#REF!</definedName>
    <definedName name="АОСР1копия" localSheetId="60">#REF!</definedName>
    <definedName name="АОСР1копия" localSheetId="64">#REF!</definedName>
    <definedName name="АОСР1копия" localSheetId="70">#REF!</definedName>
    <definedName name="АОСР1копия" localSheetId="66">#REF!</definedName>
    <definedName name="АОСР1копия" localSheetId="65">#REF!</definedName>
    <definedName name="АОСР1копия" localSheetId="46">#REF!</definedName>
    <definedName name="АОСР1копия" localSheetId="47">#REF!</definedName>
    <definedName name="АОСР1копия" localSheetId="48">#REF!</definedName>
    <definedName name="АОСР1копия" localSheetId="49">#REF!</definedName>
    <definedName name="АОСР1копия" localSheetId="50">#REF!</definedName>
    <definedName name="АОСР1копия" localSheetId="51">#REF!</definedName>
    <definedName name="АОСР1копия" localSheetId="52">#REF!</definedName>
    <definedName name="АОСР1копия" localSheetId="53">#REF!</definedName>
    <definedName name="АОСР1копия" localSheetId="54">#REF!</definedName>
    <definedName name="АОСР1копия">#REF!</definedName>
    <definedName name="апапап" localSheetId="56">#REF!</definedName>
    <definedName name="апапап" localSheetId="57">#REF!</definedName>
    <definedName name="апапап" localSheetId="59">#REF!</definedName>
    <definedName name="апапап" localSheetId="61">#REF!</definedName>
    <definedName name="апапап" localSheetId="62">#REF!</definedName>
    <definedName name="апапап" localSheetId="63">#REF!</definedName>
    <definedName name="апапап" localSheetId="58">#REF!</definedName>
    <definedName name="апапап" localSheetId="60">#REF!</definedName>
    <definedName name="апапап" localSheetId="64">#REF!</definedName>
    <definedName name="апапап" localSheetId="70">#REF!</definedName>
    <definedName name="апапап" localSheetId="66">#REF!</definedName>
    <definedName name="апапап" localSheetId="65">#REF!</definedName>
    <definedName name="апапап" localSheetId="46">#REF!</definedName>
    <definedName name="апапап" localSheetId="47">#REF!</definedName>
    <definedName name="апапап" localSheetId="48">#REF!</definedName>
    <definedName name="апапап" localSheetId="49">#REF!</definedName>
    <definedName name="апапап" localSheetId="50">#REF!</definedName>
    <definedName name="апапап" localSheetId="51">#REF!</definedName>
    <definedName name="апапап" localSheetId="52">#REF!</definedName>
    <definedName name="апапап" localSheetId="53">#REF!</definedName>
    <definedName name="апапап" localSheetId="54">#REF!</definedName>
    <definedName name="апапап" localSheetId="9">#REF!</definedName>
    <definedName name="апапап">#REF!</definedName>
    <definedName name="АРТ" localSheetId="56">#REF!</definedName>
    <definedName name="АРТ" localSheetId="57">#REF!</definedName>
    <definedName name="АРТ" localSheetId="59">#REF!</definedName>
    <definedName name="АРТ" localSheetId="61">#REF!</definedName>
    <definedName name="АРТ" localSheetId="62">#REF!</definedName>
    <definedName name="АРТ" localSheetId="63">#REF!</definedName>
    <definedName name="АРТ" localSheetId="58">#REF!</definedName>
    <definedName name="АРТ" localSheetId="60">#REF!</definedName>
    <definedName name="АРТ" localSheetId="64">#REF!</definedName>
    <definedName name="АРТ" localSheetId="70">#REF!</definedName>
    <definedName name="АРТ" localSheetId="66">#REF!</definedName>
    <definedName name="АРТ" localSheetId="65">#REF!</definedName>
    <definedName name="АРТ" localSheetId="46">#REF!</definedName>
    <definedName name="АРТ" localSheetId="47">#REF!</definedName>
    <definedName name="АРТ" localSheetId="48">#REF!</definedName>
    <definedName name="АРТ" localSheetId="49">#REF!</definedName>
    <definedName name="АРТ" localSheetId="50">#REF!</definedName>
    <definedName name="АРТ" localSheetId="51">#REF!</definedName>
    <definedName name="АРТ" localSheetId="52">#REF!</definedName>
    <definedName name="АРТ" localSheetId="53">#REF!</definedName>
    <definedName name="АРТ" localSheetId="54">#REF!</definedName>
    <definedName name="АРТ">#REF!</definedName>
    <definedName name="б" localSheetId="56">#REF!</definedName>
    <definedName name="б" localSheetId="57">#REF!</definedName>
    <definedName name="б" localSheetId="59">#REF!</definedName>
    <definedName name="б" localSheetId="61">#REF!</definedName>
    <definedName name="б" localSheetId="62">#REF!</definedName>
    <definedName name="б" localSheetId="63">#REF!</definedName>
    <definedName name="б" localSheetId="58">#REF!</definedName>
    <definedName name="б" localSheetId="60">#REF!</definedName>
    <definedName name="б" localSheetId="64">#REF!</definedName>
    <definedName name="б" localSheetId="70">#REF!</definedName>
    <definedName name="б" localSheetId="66">#REF!</definedName>
    <definedName name="б" localSheetId="65">#REF!</definedName>
    <definedName name="б" localSheetId="46">#REF!</definedName>
    <definedName name="б" localSheetId="47">#REF!</definedName>
    <definedName name="б" localSheetId="48">#REF!</definedName>
    <definedName name="б" localSheetId="49">#REF!</definedName>
    <definedName name="б" localSheetId="50">#REF!</definedName>
    <definedName name="б" localSheetId="51">#REF!</definedName>
    <definedName name="б" localSheetId="52">#REF!</definedName>
    <definedName name="б" localSheetId="53">#REF!</definedName>
    <definedName name="б" localSheetId="54">#REF!</definedName>
    <definedName name="б">#REF!</definedName>
    <definedName name="в" localSheetId="56">#REF!</definedName>
    <definedName name="в" localSheetId="57">#REF!</definedName>
    <definedName name="в" localSheetId="59">#REF!</definedName>
    <definedName name="в" localSheetId="61">#REF!</definedName>
    <definedName name="в" localSheetId="62">#REF!</definedName>
    <definedName name="в" localSheetId="63">#REF!</definedName>
    <definedName name="в" localSheetId="58">#REF!</definedName>
    <definedName name="в" localSheetId="60">#REF!</definedName>
    <definedName name="в" localSheetId="64">#REF!</definedName>
    <definedName name="в" localSheetId="70">#REF!</definedName>
    <definedName name="в" localSheetId="66">#REF!</definedName>
    <definedName name="в" localSheetId="65">#REF!</definedName>
    <definedName name="в" localSheetId="46">#REF!</definedName>
    <definedName name="в" localSheetId="47">#REF!</definedName>
    <definedName name="в" localSheetId="48">#REF!</definedName>
    <definedName name="в" localSheetId="49">#REF!</definedName>
    <definedName name="в" localSheetId="50">#REF!</definedName>
    <definedName name="в" localSheetId="51">#REF!</definedName>
    <definedName name="в" localSheetId="52">#REF!</definedName>
    <definedName name="в" localSheetId="53">#REF!</definedName>
    <definedName name="в" localSheetId="54">#REF!</definedName>
    <definedName name="в">#REF!</definedName>
    <definedName name="ввр" localSheetId="56">#REF!</definedName>
    <definedName name="ввр" localSheetId="57">#REF!</definedName>
    <definedName name="ввр" localSheetId="59">#REF!</definedName>
    <definedName name="ввр" localSheetId="61">#REF!</definedName>
    <definedName name="ввр" localSheetId="62">#REF!</definedName>
    <definedName name="ввр" localSheetId="63">#REF!</definedName>
    <definedName name="ввр" localSheetId="58">#REF!</definedName>
    <definedName name="ввр" localSheetId="60">#REF!</definedName>
    <definedName name="ввр" localSheetId="64">#REF!</definedName>
    <definedName name="ввр" localSheetId="70">#REF!</definedName>
    <definedName name="ввр" localSheetId="66">#REF!</definedName>
    <definedName name="ввр" localSheetId="65">#REF!</definedName>
    <definedName name="ввр" localSheetId="46">#REF!</definedName>
    <definedName name="ввр" localSheetId="47">#REF!</definedName>
    <definedName name="ввр" localSheetId="48">#REF!</definedName>
    <definedName name="ввр" localSheetId="49">#REF!</definedName>
    <definedName name="ввр" localSheetId="50">#REF!</definedName>
    <definedName name="ввр" localSheetId="51">#REF!</definedName>
    <definedName name="ввр" localSheetId="52">#REF!</definedName>
    <definedName name="ввр" localSheetId="53">#REF!</definedName>
    <definedName name="ввр" localSheetId="54">#REF!</definedName>
    <definedName name="ввр">#REF!</definedName>
    <definedName name="вкарка44" localSheetId="56">#REF!</definedName>
    <definedName name="вкарка44" localSheetId="57">#REF!</definedName>
    <definedName name="вкарка44" localSheetId="59">#REF!</definedName>
    <definedName name="вкарка44" localSheetId="61">#REF!</definedName>
    <definedName name="вкарка44" localSheetId="62">#REF!</definedName>
    <definedName name="вкарка44" localSheetId="63">#REF!</definedName>
    <definedName name="вкарка44" localSheetId="58">#REF!</definedName>
    <definedName name="вкарка44" localSheetId="60">#REF!</definedName>
    <definedName name="вкарка44" localSheetId="64">#REF!</definedName>
    <definedName name="вкарка44" localSheetId="70">#REF!</definedName>
    <definedName name="вкарка44" localSheetId="66">#REF!</definedName>
    <definedName name="вкарка44" localSheetId="65">#REF!</definedName>
    <definedName name="вкарка44" localSheetId="46">#REF!</definedName>
    <definedName name="вкарка44" localSheetId="47">#REF!</definedName>
    <definedName name="вкарка44" localSheetId="48">#REF!</definedName>
    <definedName name="вкарка44" localSheetId="49">#REF!</definedName>
    <definedName name="вкарка44" localSheetId="50">#REF!</definedName>
    <definedName name="вкарка44" localSheetId="51">#REF!</definedName>
    <definedName name="вкарка44" localSheetId="52">#REF!</definedName>
    <definedName name="вкарка44" localSheetId="53">#REF!</definedName>
    <definedName name="вкарка44" localSheetId="54">#REF!</definedName>
    <definedName name="вкарка44" localSheetId="9">#REF!</definedName>
    <definedName name="вкарка44">#REF!</definedName>
    <definedName name="выв" localSheetId="56">#REF!</definedName>
    <definedName name="выв" localSheetId="57">#REF!</definedName>
    <definedName name="выв" localSheetId="59">#REF!</definedName>
    <definedName name="выв" localSheetId="61">#REF!</definedName>
    <definedName name="выв" localSheetId="62">#REF!</definedName>
    <definedName name="выв" localSheetId="63">#REF!</definedName>
    <definedName name="выв" localSheetId="58">#REF!</definedName>
    <definedName name="выв" localSheetId="60">#REF!</definedName>
    <definedName name="выв" localSheetId="64">#REF!</definedName>
    <definedName name="выв" localSheetId="70">#REF!</definedName>
    <definedName name="выв" localSheetId="66">#REF!</definedName>
    <definedName name="выв" localSheetId="65">#REF!</definedName>
    <definedName name="выв" localSheetId="46">#REF!</definedName>
    <definedName name="выв" localSheetId="47">#REF!</definedName>
    <definedName name="выв" localSheetId="48">#REF!</definedName>
    <definedName name="выв" localSheetId="49">#REF!</definedName>
    <definedName name="выв" localSheetId="50">#REF!</definedName>
    <definedName name="выв" localSheetId="51">#REF!</definedName>
    <definedName name="выв" localSheetId="52">#REF!</definedName>
    <definedName name="выв" localSheetId="53">#REF!</definedName>
    <definedName name="выв" localSheetId="54">#REF!</definedName>
    <definedName name="выв" localSheetId="9">#REF!</definedName>
    <definedName name="выв">#REF!</definedName>
    <definedName name="вякр" localSheetId="56">#REF!</definedName>
    <definedName name="вякр" localSheetId="57">#REF!</definedName>
    <definedName name="вякр" localSheetId="59">#REF!</definedName>
    <definedName name="вякр" localSheetId="61">#REF!</definedName>
    <definedName name="вякр" localSheetId="62">#REF!</definedName>
    <definedName name="вякр" localSheetId="63">#REF!</definedName>
    <definedName name="вякр" localSheetId="58">#REF!</definedName>
    <definedName name="вякр" localSheetId="60">#REF!</definedName>
    <definedName name="вякр" localSheetId="64">#REF!</definedName>
    <definedName name="вякр" localSheetId="70">#REF!</definedName>
    <definedName name="вякр" localSheetId="66">#REF!</definedName>
    <definedName name="вякр" localSheetId="65">#REF!</definedName>
    <definedName name="вякр" localSheetId="46">#REF!</definedName>
    <definedName name="вякр" localSheetId="47">#REF!</definedName>
    <definedName name="вякр" localSheetId="48">#REF!</definedName>
    <definedName name="вякр" localSheetId="49">#REF!</definedName>
    <definedName name="вякр" localSheetId="50">#REF!</definedName>
    <definedName name="вякр" localSheetId="51">#REF!</definedName>
    <definedName name="вякр" localSheetId="52">#REF!</definedName>
    <definedName name="вякр" localSheetId="53">#REF!</definedName>
    <definedName name="вякр" localSheetId="54">#REF!</definedName>
    <definedName name="вякр">#REF!</definedName>
    <definedName name="г" localSheetId="56">#REF!</definedName>
    <definedName name="г" localSheetId="57">#REF!</definedName>
    <definedName name="г" localSheetId="59">#REF!</definedName>
    <definedName name="г" localSheetId="61">#REF!</definedName>
    <definedName name="г" localSheetId="62">#REF!</definedName>
    <definedName name="г" localSheetId="63">#REF!</definedName>
    <definedName name="г" localSheetId="58">#REF!</definedName>
    <definedName name="г" localSheetId="60">#REF!</definedName>
    <definedName name="г" localSheetId="64">#REF!</definedName>
    <definedName name="г" localSheetId="70">#REF!</definedName>
    <definedName name="г" localSheetId="66">#REF!</definedName>
    <definedName name="г" localSheetId="65">#REF!</definedName>
    <definedName name="г" localSheetId="46">#REF!</definedName>
    <definedName name="г" localSheetId="47">#REF!</definedName>
    <definedName name="г" localSheetId="48">#REF!</definedName>
    <definedName name="г" localSheetId="49">#REF!</definedName>
    <definedName name="г" localSheetId="50">#REF!</definedName>
    <definedName name="г" localSheetId="51">#REF!</definedName>
    <definedName name="г" localSheetId="52">#REF!</definedName>
    <definedName name="г" localSheetId="53">#REF!</definedName>
    <definedName name="г" localSheetId="54">#REF!</definedName>
    <definedName name="г">#REF!</definedName>
    <definedName name="ГЕОДЕЗ_ЗАКАЗЧИКА">ПОДПИСИ!$B$9</definedName>
    <definedName name="д" localSheetId="56">#REF!</definedName>
    <definedName name="д" localSheetId="57">#REF!</definedName>
    <definedName name="д" localSheetId="59">#REF!</definedName>
    <definedName name="д" localSheetId="61">#REF!</definedName>
    <definedName name="д" localSheetId="62">#REF!</definedName>
    <definedName name="д" localSheetId="63">#REF!</definedName>
    <definedName name="д" localSheetId="58">#REF!</definedName>
    <definedName name="д" localSheetId="60">#REF!</definedName>
    <definedName name="д" localSheetId="64">#REF!</definedName>
    <definedName name="д" localSheetId="70">#REF!</definedName>
    <definedName name="д" localSheetId="66">#REF!</definedName>
    <definedName name="д" localSheetId="65">#REF!</definedName>
    <definedName name="д" localSheetId="46">#REF!</definedName>
    <definedName name="д" localSheetId="47">#REF!</definedName>
    <definedName name="д" localSheetId="48">#REF!</definedName>
    <definedName name="д" localSheetId="49">#REF!</definedName>
    <definedName name="д" localSheetId="50">#REF!</definedName>
    <definedName name="д" localSheetId="51">#REF!</definedName>
    <definedName name="д" localSheetId="52">#REF!</definedName>
    <definedName name="д" localSheetId="53">#REF!</definedName>
    <definedName name="д" localSheetId="54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56">#REF!</definedName>
    <definedName name="е" localSheetId="57">#REF!</definedName>
    <definedName name="е" localSheetId="59">#REF!</definedName>
    <definedName name="е" localSheetId="61">#REF!</definedName>
    <definedName name="е" localSheetId="62">#REF!</definedName>
    <definedName name="е" localSheetId="63">#REF!</definedName>
    <definedName name="е" localSheetId="58">#REF!</definedName>
    <definedName name="е" localSheetId="60">#REF!</definedName>
    <definedName name="е" localSheetId="64">#REF!</definedName>
    <definedName name="е" localSheetId="70">#REF!</definedName>
    <definedName name="е" localSheetId="66">#REF!</definedName>
    <definedName name="е" localSheetId="65">#REF!</definedName>
    <definedName name="е" localSheetId="46">#REF!</definedName>
    <definedName name="е" localSheetId="47">#REF!</definedName>
    <definedName name="е" localSheetId="48">#REF!</definedName>
    <definedName name="е" localSheetId="49">#REF!</definedName>
    <definedName name="е" localSheetId="50">#REF!</definedName>
    <definedName name="е" localSheetId="51">#REF!</definedName>
    <definedName name="е" localSheetId="52">#REF!</definedName>
    <definedName name="е" localSheetId="53">#REF!</definedName>
    <definedName name="е" localSheetId="54">#REF!</definedName>
    <definedName name="е">#REF!</definedName>
    <definedName name="ж" localSheetId="56">#REF!</definedName>
    <definedName name="ж" localSheetId="57">#REF!</definedName>
    <definedName name="ж" localSheetId="59">#REF!</definedName>
    <definedName name="ж" localSheetId="61">#REF!</definedName>
    <definedName name="ж" localSheetId="62">#REF!</definedName>
    <definedName name="ж" localSheetId="63">#REF!</definedName>
    <definedName name="ж" localSheetId="58">#REF!</definedName>
    <definedName name="ж" localSheetId="60">#REF!</definedName>
    <definedName name="ж" localSheetId="64">#REF!</definedName>
    <definedName name="ж" localSheetId="70">#REF!</definedName>
    <definedName name="ж" localSheetId="66">#REF!</definedName>
    <definedName name="ж" localSheetId="65">#REF!</definedName>
    <definedName name="ж" localSheetId="46">#REF!</definedName>
    <definedName name="ж" localSheetId="47">#REF!</definedName>
    <definedName name="ж" localSheetId="48">#REF!</definedName>
    <definedName name="ж" localSheetId="49">#REF!</definedName>
    <definedName name="ж" localSheetId="50">#REF!</definedName>
    <definedName name="ж" localSheetId="51">#REF!</definedName>
    <definedName name="ж" localSheetId="52">#REF!</definedName>
    <definedName name="ж" localSheetId="53">#REF!</definedName>
    <definedName name="ж" localSheetId="54">#REF!</definedName>
    <definedName name="ж">#REF!</definedName>
    <definedName name="з" localSheetId="56">#REF!</definedName>
    <definedName name="з" localSheetId="57">#REF!</definedName>
    <definedName name="з" localSheetId="59">#REF!</definedName>
    <definedName name="з" localSheetId="61">#REF!</definedName>
    <definedName name="з" localSheetId="62">#REF!</definedName>
    <definedName name="з" localSheetId="63">#REF!</definedName>
    <definedName name="з" localSheetId="58">#REF!</definedName>
    <definedName name="з" localSheetId="60">#REF!</definedName>
    <definedName name="з" localSheetId="64">#REF!</definedName>
    <definedName name="з" localSheetId="70">#REF!</definedName>
    <definedName name="з" localSheetId="66">#REF!</definedName>
    <definedName name="з" localSheetId="65">#REF!</definedName>
    <definedName name="з" localSheetId="46">#REF!</definedName>
    <definedName name="з" localSheetId="47">#REF!</definedName>
    <definedName name="з" localSheetId="48">#REF!</definedName>
    <definedName name="з" localSheetId="49">#REF!</definedName>
    <definedName name="з" localSheetId="50">#REF!</definedName>
    <definedName name="з" localSheetId="51">#REF!</definedName>
    <definedName name="з" localSheetId="52">#REF!</definedName>
    <definedName name="з" localSheetId="53">#REF!</definedName>
    <definedName name="з" localSheetId="54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 (2)'!$14:$14</definedName>
    <definedName name="_xlnm.Print_Titles" localSheetId="13">'Форма 5_Обор. (2)'!$14:$14</definedName>
    <definedName name="ЗАКАЗЧИК">ПОДПИСИ!$B$4</definedName>
    <definedName name="и" localSheetId="56">#REF!</definedName>
    <definedName name="и" localSheetId="57">#REF!</definedName>
    <definedName name="и" localSheetId="59">#REF!</definedName>
    <definedName name="и" localSheetId="61">#REF!</definedName>
    <definedName name="и" localSheetId="62">#REF!</definedName>
    <definedName name="и" localSheetId="63">#REF!</definedName>
    <definedName name="и" localSheetId="58">#REF!</definedName>
    <definedName name="и" localSheetId="60">#REF!</definedName>
    <definedName name="и" localSheetId="64">#REF!</definedName>
    <definedName name="и" localSheetId="70">#REF!</definedName>
    <definedName name="и" localSheetId="66">#REF!</definedName>
    <definedName name="и" localSheetId="65">#REF!</definedName>
    <definedName name="и" localSheetId="46">#REF!</definedName>
    <definedName name="и" localSheetId="47">#REF!</definedName>
    <definedName name="и" localSheetId="48">#REF!</definedName>
    <definedName name="и" localSheetId="49">#REF!</definedName>
    <definedName name="и" localSheetId="50">#REF!</definedName>
    <definedName name="и" localSheetId="51">#REF!</definedName>
    <definedName name="и" localSheetId="52">#REF!</definedName>
    <definedName name="и" localSheetId="53">#REF!</definedName>
    <definedName name="и" localSheetId="54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56">#REF!</definedName>
    <definedName name="йацука2" localSheetId="57">#REF!</definedName>
    <definedName name="йацука2" localSheetId="59">#REF!</definedName>
    <definedName name="йацука2" localSheetId="61">#REF!</definedName>
    <definedName name="йацука2" localSheetId="62">#REF!</definedName>
    <definedName name="йацука2" localSheetId="63">#REF!</definedName>
    <definedName name="йацука2" localSheetId="58">#REF!</definedName>
    <definedName name="йацука2" localSheetId="60">#REF!</definedName>
    <definedName name="йацука2" localSheetId="64">#REF!</definedName>
    <definedName name="йацука2" localSheetId="70">#REF!</definedName>
    <definedName name="йацука2" localSheetId="66">#REF!</definedName>
    <definedName name="йацука2" localSheetId="65">#REF!</definedName>
    <definedName name="йацука2" localSheetId="46">#REF!</definedName>
    <definedName name="йацука2" localSheetId="47">#REF!</definedName>
    <definedName name="йацука2" localSheetId="48">#REF!</definedName>
    <definedName name="йацука2" localSheetId="49">#REF!</definedName>
    <definedName name="йацука2" localSheetId="50">#REF!</definedName>
    <definedName name="йацука2" localSheetId="51">#REF!</definedName>
    <definedName name="йацука2" localSheetId="52">#REF!</definedName>
    <definedName name="йацука2" localSheetId="53">#REF!</definedName>
    <definedName name="йацука2" localSheetId="54">#REF!</definedName>
    <definedName name="йацука2" localSheetId="9">#REF!</definedName>
    <definedName name="йацука2">#REF!</definedName>
    <definedName name="к" localSheetId="56">#REF!</definedName>
    <definedName name="к" localSheetId="57">#REF!</definedName>
    <definedName name="к" localSheetId="59">#REF!</definedName>
    <definedName name="к" localSheetId="61">#REF!</definedName>
    <definedName name="к" localSheetId="62">#REF!</definedName>
    <definedName name="к" localSheetId="63">#REF!</definedName>
    <definedName name="к" localSheetId="58">#REF!</definedName>
    <definedName name="к" localSheetId="60">#REF!</definedName>
    <definedName name="к" localSheetId="64">#REF!</definedName>
    <definedName name="к" localSheetId="70">#REF!</definedName>
    <definedName name="к" localSheetId="66">#REF!</definedName>
    <definedName name="к" localSheetId="65">#REF!</definedName>
    <definedName name="к" localSheetId="46">#REF!</definedName>
    <definedName name="к" localSheetId="47">#REF!</definedName>
    <definedName name="к" localSheetId="48">#REF!</definedName>
    <definedName name="к" localSheetId="49">#REF!</definedName>
    <definedName name="к" localSheetId="50">#REF!</definedName>
    <definedName name="к" localSheetId="51">#REF!</definedName>
    <definedName name="к" localSheetId="52">#REF!</definedName>
    <definedName name="к" localSheetId="53">#REF!</definedName>
    <definedName name="к" localSheetId="54">#REF!</definedName>
    <definedName name="к">#REF!</definedName>
    <definedName name="кувепк443" localSheetId="56">#REF!</definedName>
    <definedName name="кувепк443" localSheetId="57">#REF!</definedName>
    <definedName name="кувепк443" localSheetId="59">#REF!</definedName>
    <definedName name="кувепк443" localSheetId="61">#REF!</definedName>
    <definedName name="кувепк443" localSheetId="62">#REF!</definedName>
    <definedName name="кувепк443" localSheetId="63">#REF!</definedName>
    <definedName name="кувепк443" localSheetId="58">#REF!</definedName>
    <definedName name="кувепк443" localSheetId="60">#REF!</definedName>
    <definedName name="кувепк443" localSheetId="64">#REF!</definedName>
    <definedName name="кувепк443" localSheetId="70">#REF!</definedName>
    <definedName name="кувепк443" localSheetId="66">#REF!</definedName>
    <definedName name="кувепк443" localSheetId="65">#REF!</definedName>
    <definedName name="кувепк443" localSheetId="46">#REF!</definedName>
    <definedName name="кувепк443" localSheetId="47">#REF!</definedName>
    <definedName name="кувепк443" localSheetId="48">#REF!</definedName>
    <definedName name="кувепк443" localSheetId="49">#REF!</definedName>
    <definedName name="кувепк443" localSheetId="50">#REF!</definedName>
    <definedName name="кувепк443" localSheetId="51">#REF!</definedName>
    <definedName name="кувепк443" localSheetId="52">#REF!</definedName>
    <definedName name="кувепк443" localSheetId="53">#REF!</definedName>
    <definedName name="кувепк443" localSheetId="54">#REF!</definedName>
    <definedName name="кувепк443" localSheetId="9">#REF!</definedName>
    <definedName name="кувепк443">#REF!</definedName>
    <definedName name="куе214" localSheetId="56">#REF!</definedName>
    <definedName name="куе214" localSheetId="57">#REF!</definedName>
    <definedName name="куе214" localSheetId="59">#REF!</definedName>
    <definedName name="куе214" localSheetId="61">#REF!</definedName>
    <definedName name="куе214" localSheetId="62">#REF!</definedName>
    <definedName name="куе214" localSheetId="63">#REF!</definedName>
    <definedName name="куе214" localSheetId="58">#REF!</definedName>
    <definedName name="куе214" localSheetId="60">#REF!</definedName>
    <definedName name="куе214" localSheetId="64">#REF!</definedName>
    <definedName name="куе214" localSheetId="70">#REF!</definedName>
    <definedName name="куе214" localSheetId="66">#REF!</definedName>
    <definedName name="куе214" localSheetId="65">#REF!</definedName>
    <definedName name="куе214" localSheetId="46">#REF!</definedName>
    <definedName name="куе214" localSheetId="47">#REF!</definedName>
    <definedName name="куе214" localSheetId="48">#REF!</definedName>
    <definedName name="куе214" localSheetId="49">#REF!</definedName>
    <definedName name="куе214" localSheetId="50">#REF!</definedName>
    <definedName name="куе214" localSheetId="51">#REF!</definedName>
    <definedName name="куе214" localSheetId="52">#REF!</definedName>
    <definedName name="куе214" localSheetId="53">#REF!</definedName>
    <definedName name="куе214" localSheetId="54">#REF!</definedName>
    <definedName name="куе214" localSheetId="9">#REF!</definedName>
    <definedName name="куе214">#REF!</definedName>
    <definedName name="куе5у346" localSheetId="56">#REF!</definedName>
    <definedName name="куе5у346" localSheetId="57">#REF!</definedName>
    <definedName name="куе5у346" localSheetId="59">#REF!</definedName>
    <definedName name="куе5у346" localSheetId="61">#REF!</definedName>
    <definedName name="куе5у346" localSheetId="62">#REF!</definedName>
    <definedName name="куе5у346" localSheetId="63">#REF!</definedName>
    <definedName name="куе5у346" localSheetId="58">#REF!</definedName>
    <definedName name="куе5у346" localSheetId="60">#REF!</definedName>
    <definedName name="куе5у346" localSheetId="64">#REF!</definedName>
    <definedName name="куе5у346" localSheetId="70">#REF!</definedName>
    <definedName name="куе5у346" localSheetId="66">#REF!</definedName>
    <definedName name="куе5у346" localSheetId="65">#REF!</definedName>
    <definedName name="куе5у346" localSheetId="46">#REF!</definedName>
    <definedName name="куе5у346" localSheetId="47">#REF!</definedName>
    <definedName name="куе5у346" localSheetId="48">#REF!</definedName>
    <definedName name="куе5у346" localSheetId="49">#REF!</definedName>
    <definedName name="куе5у346" localSheetId="50">#REF!</definedName>
    <definedName name="куе5у346" localSheetId="51">#REF!</definedName>
    <definedName name="куе5у346" localSheetId="52">#REF!</definedName>
    <definedName name="куе5у346" localSheetId="53">#REF!</definedName>
    <definedName name="куе5у346" localSheetId="54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72">'АГРО ВЛЗ-10 кВ'!$A$1:$BA$103</definedName>
    <definedName name="_xlnm.Print_Area" localSheetId="74">'АГРО ВЛИ-0,4 кВ'!$A$1:$BA$99</definedName>
    <definedName name="_xlnm.Print_Area" localSheetId="73">'АГРО КЛ-0,4кВ'!$A$1:$AZ$103</definedName>
    <definedName name="_xlnm.Print_Area" localSheetId="71">'АГРО КЛ-10кВ'!$A$1:$BA$103</definedName>
    <definedName name="_xlnm.Print_Area" localSheetId="75">'АГРО ТП'!$A$1:$BA$103</definedName>
    <definedName name="_xlnm.Print_Area" localSheetId="20">'АКТ болт соед'!$A$1:$DB$44</definedName>
    <definedName name="_xlnm.Print_Area" localSheetId="43">'Акт внеш осмотра ЛР'!$A$1:$DB$31</definedName>
    <definedName name="_xlnm.Print_Area" localSheetId="44">'Акт внеш осмотра ОПН'!$A$1:$I$28</definedName>
    <definedName name="_xlnm.Print_Area" localSheetId="67">'Акт внеш осмотра провода_01'!$A$1:$DB$31</definedName>
    <definedName name="_xlnm.Print_Area" localSheetId="68">'Акт внеш осмотра провода_02'!$A$1:$DB$31</definedName>
    <definedName name="_xlnm.Print_Area" localSheetId="10">'Акт дем.оборуд'!$A$1:$J$24</definedName>
    <definedName name="_xlnm.Print_Area" localSheetId="56">'Акт защитного покрытия ВЛ-0,4кВ'!$A$1:$I$34</definedName>
    <definedName name="_xlnm.Print_Area" localSheetId="55">'Акт защитного покрытия ВЛ-10кВ'!$A$1:$I$34</definedName>
    <definedName name="_xlnm.Print_Area" localSheetId="57">'Акт защитного покрытия КТП'!$A$1:$I$34</definedName>
    <definedName name="_xlnm.Print_Area" localSheetId="59">'Акт защитного покрытия КТП  (3)'!$A$1:$I$34</definedName>
    <definedName name="_xlnm.Print_Area" localSheetId="61">'Акт защитного покрытия КТП  (4)'!$A$1:$I$34</definedName>
    <definedName name="_xlnm.Print_Area" localSheetId="62">'Акт защитного покрытия КТП  (5)'!$A$1:$I$34</definedName>
    <definedName name="_xlnm.Print_Area" localSheetId="63">'Акт защитного покрытия КТП  (6)'!$A$1:$I$34</definedName>
    <definedName name="_xlnm.Print_Area" localSheetId="58">'Акт защитного покрытия КТП (2)'!$A$1:$I$34</definedName>
    <definedName name="_xlnm.Print_Area" localSheetId="60">'Акт защитного покрытия КТП (3)'!$A$1:$I$34</definedName>
    <definedName name="_xlnm.Print_Area" localSheetId="64">'Акт защитного покрытия КТП (4)'!$A$1:$I$34</definedName>
    <definedName name="_xlnm.Print_Area" localSheetId="70">'АКТ приемки участка ВЛ'!$A$1:$BB$96</definedName>
    <definedName name="_xlnm.Print_Area" localSheetId="66">'Акт про знаки 0,4'!$A$1:$I$30</definedName>
    <definedName name="_xlnm.Print_Area" localSheetId="65">'Акт про знаки 10кВ'!$A$1:$I$30</definedName>
    <definedName name="_xlnm.Print_Area" localSheetId="46">'Акт проверка швов ВЛ-0,4кВ'!$A$1:$DB$36</definedName>
    <definedName name="_xlnm.Print_Area" localSheetId="45">'Акт проверка швов ВЛ-10кВ'!$A$1:$DB$36</definedName>
    <definedName name="_xlnm.Print_Area" localSheetId="47">'Акт проверка швов КТП'!$A$1:$DB$36</definedName>
    <definedName name="_xlnm.Print_Area" localSheetId="48">'Акт проверка швов КТП (2)'!$A$1:$DB$36</definedName>
    <definedName name="_xlnm.Print_Area" localSheetId="49">'Акт проверка швов КТП (3)'!$A$1:$DB$36</definedName>
    <definedName name="_xlnm.Print_Area" localSheetId="50">'Акт проверка швов КТП (4)'!$A$1:$DB$36</definedName>
    <definedName name="_xlnm.Print_Area" localSheetId="51">'Акт проверка швов КТП (5)'!$A$1:$DB$36</definedName>
    <definedName name="_xlnm.Print_Area" localSheetId="52">'Акт проверка швов КТП (6)'!$A$1:$DB$36</definedName>
    <definedName name="_xlnm.Print_Area" localSheetId="53">'Акт проверка швов КТП (7)'!$A$1:$DB$36</definedName>
    <definedName name="_xlnm.Print_Area" localSheetId="54">'Акт проверка швов КТП (8)'!$A$1:$DB$36</definedName>
    <definedName name="_xlnm.Print_Area" localSheetId="69">'Акт расчистки'!$A$1:$BB$96</definedName>
    <definedName name="_xlnm.Print_Area" localSheetId="5">'АКТЫ скрытых работ'!$B$1:$O$78</definedName>
    <definedName name="_xlnm.Print_Area" localSheetId="139">'АООК 30'!$A$2:$BA$115</definedName>
    <definedName name="_xlnm.Print_Area" localSheetId="140">'АООК 31'!$A$2:$BA$115</definedName>
    <definedName name="_xlnm.Print_Area" localSheetId="141">'АООК 32'!$A$2:$BA$115</definedName>
    <definedName name="_xlnm.Print_Area" localSheetId="142">'АООК 33'!$A$2:$BA$115</definedName>
    <definedName name="_xlnm.Print_Area" localSheetId="81">'АОСР 1'!$A$1:$BB$100</definedName>
    <definedName name="_xlnm.Print_Area" localSheetId="90">'АОСР 10'!$A$1:$BB$100</definedName>
    <definedName name="_xlnm.Print_Area" localSheetId="91">'АОСР 11'!$A$1:$BB$100</definedName>
    <definedName name="_xlnm.Print_Area" localSheetId="92">'АОСР 12'!$A$1:$BB$100</definedName>
    <definedName name="_xlnm.Print_Area" localSheetId="93">'АОСР 13'!$A$1:$BB$100</definedName>
    <definedName name="_xlnm.Print_Area" localSheetId="94">'АОСР 14'!$A$1:$BB$100</definedName>
    <definedName name="_xlnm.Print_Area" localSheetId="95">'АОСР 15'!$A$1:$BB$100</definedName>
    <definedName name="_xlnm.Print_Area" localSheetId="96">'АОСР 16'!$A$1:$BB$100</definedName>
    <definedName name="_xlnm.Print_Area" localSheetId="97">'АОСР 17'!$A$1:$BB$100</definedName>
    <definedName name="_xlnm.Print_Area" localSheetId="98">'АОСР 18'!$A$1:$BB$100</definedName>
    <definedName name="_xlnm.Print_Area" localSheetId="99">'АОСР 19'!$A$1:$BB$100</definedName>
    <definedName name="_xlnm.Print_Area" localSheetId="82">'АОСР 2'!$A$1:$BB$100</definedName>
    <definedName name="_xlnm.Print_Area" localSheetId="100">'АОСР 20'!$A$1:$BB$100</definedName>
    <definedName name="_xlnm.Print_Area" localSheetId="101">'АОСР 21'!$A$1:$BB$100</definedName>
    <definedName name="_xlnm.Print_Area" localSheetId="102">'АОСР 22'!$A$1:$BB$100</definedName>
    <definedName name="_xlnm.Print_Area" localSheetId="103">'АОСР 23'!$A$1:$BB$100</definedName>
    <definedName name="_xlnm.Print_Area" localSheetId="104">'АОСР 24'!$A$1:$BB$100</definedName>
    <definedName name="_xlnm.Print_Area" localSheetId="105">'АОСР 25'!$A$1:$BB$100</definedName>
    <definedName name="_xlnm.Print_Area" localSheetId="106">'АОСР 26'!$A$1:$BB$100</definedName>
    <definedName name="_xlnm.Print_Area" localSheetId="107">'АОСР 27'!$A$1:$BB$100</definedName>
    <definedName name="_xlnm.Print_Area" localSheetId="108">'АОСР 28'!$A$1:$BB$100</definedName>
    <definedName name="_xlnm.Print_Area" localSheetId="109">'АОСР 29'!$A$1:$BB$100</definedName>
    <definedName name="_xlnm.Print_Area" localSheetId="83">'АОСР 3'!$A$1:$BB$100</definedName>
    <definedName name="_xlnm.Print_Area" localSheetId="110">'АОСР 30'!$A$1:$BB$100</definedName>
    <definedName name="_xlnm.Print_Area" localSheetId="111">'АОСР 31'!$A$1:$BB$100</definedName>
    <definedName name="_xlnm.Print_Area" localSheetId="112">'АОСР 32'!$A$1:$BB$100</definedName>
    <definedName name="_xlnm.Print_Area" localSheetId="113">'АОСР 33'!$A$1:$BB$100</definedName>
    <definedName name="_xlnm.Print_Area" localSheetId="114">'АОСР 34'!$A$1:$BB$100</definedName>
    <definedName name="_xlnm.Print_Area" localSheetId="115">'АОСР 35'!$A$1:$BB$100</definedName>
    <definedName name="_xlnm.Print_Area" localSheetId="116">'АОСР 36'!$A$1:$BB$100</definedName>
    <definedName name="_xlnm.Print_Area" localSheetId="117">'АОСР 37'!$A$1:$BB$100</definedName>
    <definedName name="_xlnm.Print_Area" localSheetId="118">'АОСР 38'!$A$1:$BB$100</definedName>
    <definedName name="_xlnm.Print_Area" localSheetId="119">'АОСР 39'!$A$1:$BB$100</definedName>
    <definedName name="_xlnm.Print_Area" localSheetId="84">'АОСР 4'!$A$1:$BB$100</definedName>
    <definedName name="_xlnm.Print_Area" localSheetId="120">'АОСР 40'!$A$1:$BB$100</definedName>
    <definedName name="_xlnm.Print_Area" localSheetId="121">'АОСР 41'!$A$1:$BB$100</definedName>
    <definedName name="_xlnm.Print_Area" localSheetId="122">'АОСР 42'!$A$1:$BB$100</definedName>
    <definedName name="_xlnm.Print_Area" localSheetId="123">'АОСР 43'!$A$1:$BB$100</definedName>
    <definedName name="_xlnm.Print_Area" localSheetId="124">'АОСР 44'!$A$1:$BB$100</definedName>
    <definedName name="_xlnm.Print_Area" localSheetId="125">'АОСР 45'!$A$1:$BB$100</definedName>
    <definedName name="_xlnm.Print_Area" localSheetId="126">'АОСР 46'!$A$1:$BB$100</definedName>
    <definedName name="_xlnm.Print_Area" localSheetId="127">'АОСР 47'!$A$1:$BB$100</definedName>
    <definedName name="_xlnm.Print_Area" localSheetId="128">'АОСР 48'!$A$1:$BB$100</definedName>
    <definedName name="_xlnm.Print_Area" localSheetId="129">'АОСР 49'!$A$1:$BB$100</definedName>
    <definedName name="_xlnm.Print_Area" localSheetId="85">'АОСР 5'!$A$1:$BB$100</definedName>
    <definedName name="_xlnm.Print_Area" localSheetId="130">'АОСР 50'!$A$1:$BB$100</definedName>
    <definedName name="_xlnm.Print_Area" localSheetId="131">'АОСР 51'!$A$1:$BB$100</definedName>
    <definedName name="_xlnm.Print_Area" localSheetId="132">'АОСР 52'!$A$1:$BB$100</definedName>
    <definedName name="_xlnm.Print_Area" localSheetId="133">'АОСР 53'!$A$1:$BB$100</definedName>
    <definedName name="_xlnm.Print_Area" localSheetId="134">'АОСР 54'!$A$1:$BB$100</definedName>
    <definedName name="_xlnm.Print_Area" localSheetId="135">'АОСР 55'!$A$1:$BB$100</definedName>
    <definedName name="_xlnm.Print_Area" localSheetId="136">'АОСР 56'!$A$1:$BB$100</definedName>
    <definedName name="_xlnm.Print_Area" localSheetId="137">'АОСР 57'!$A$1:$BB$100</definedName>
    <definedName name="_xlnm.Print_Area" localSheetId="138">'АОСР 58'!$A$1:$BB$100</definedName>
    <definedName name="_xlnm.Print_Area" localSheetId="86">'АОСР 6'!$A$1:$BB$100</definedName>
    <definedName name="_xlnm.Print_Area" localSheetId="87">'АОСР 7'!$A$1:$BB$100</definedName>
    <definedName name="_xlnm.Print_Area" localSheetId="88">'АОСР 8'!$A$1:$BB$100</definedName>
    <definedName name="_xlnm.Print_Area" localSheetId="89">'АОСР 9'!$A$1:$BB$100</definedName>
    <definedName name="_xlnm.Print_Area" localSheetId="77">'АРОК ВЛЗ-10 кВ'!$A$1:$BA$107</definedName>
    <definedName name="_xlnm.Print_Area" localSheetId="79">'АРОК ВЛИ-0,4 кВ'!$A$1:$BA$107</definedName>
    <definedName name="_xlnm.Print_Area" localSheetId="78">'АРОК КЛ-0,4кВ'!$A$1:$BA$107</definedName>
    <definedName name="_xlnm.Print_Area" localSheetId="76">'АРОК КЛ-10кВ'!$A$1:$BA$107</definedName>
    <definedName name="_xlnm.Print_Area" localSheetId="80">'АРОК ТП'!$A$1:$BA$107</definedName>
    <definedName name="_xlnm.Print_Area" localSheetId="19">'Ведомость к Ф-8'!$A$1:$J$16</definedName>
    <definedName name="_xlnm.Print_Area" localSheetId="9">ВОР!$A$1:$T$535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1'!$A$1:$BP$440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15'!$A$1:$J$23</definedName>
    <definedName name="_xlnm.Print_Area" localSheetId="24">'Форма 17'!$A$1:$H$59</definedName>
    <definedName name="_xlnm.Print_Area" localSheetId="25">'Форма 18'!$A$1:$I$32</definedName>
    <definedName name="_xlnm.Print_Area" localSheetId="26">'Форма 19'!$A$1:$H$31</definedName>
    <definedName name="_xlnm.Print_Area" localSheetId="8">'Форма 2'!$A$1:$DB$72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29">'Форма 22_ВЛИ-0,4кВ (2)'!$A$1:$DB$59</definedName>
    <definedName name="_xlnm.Print_Area" localSheetId="31">'Форма 23_дор._0,4'!$A$1:$CI$39</definedName>
    <definedName name="_xlnm.Print_Area" localSheetId="30">'Форма 23_дор._10'!$A$1:$CI$39</definedName>
    <definedName name="_xlnm.Print_Area" localSheetId="32">'Форма 24_ВЛЗ-10кВ'!$A$1:$DB$48</definedName>
    <definedName name="_xlnm.Print_Area" localSheetId="33">'Форма 24_ВЛИ-0,4кВ'!$A$1:$DB$48</definedName>
    <definedName name="_xlnm.Print_Area" localSheetId="34">'Форма 24_ТП'!$A$1:$DB$46</definedName>
    <definedName name="_xlnm.Print_Area" localSheetId="35">'Форма 24_ТП (2)'!$A$1:$DB$46</definedName>
    <definedName name="_xlnm.Print_Area" localSheetId="36">'Форма 24_ТП (3)'!$A$1:$DB$46</definedName>
    <definedName name="_xlnm.Print_Area" localSheetId="41">'Форма 24_ТП (4)'!$A$1:$DB$46</definedName>
    <definedName name="_xlnm.Print_Area" localSheetId="37">'Форма 24_ТП (5)'!$A$1:$DB$46</definedName>
    <definedName name="_xlnm.Print_Area" localSheetId="38">'Форма 24_ТП (6)'!$A$1:$DB$46</definedName>
    <definedName name="_xlnm.Print_Area" localSheetId="39">'Форма 24_ТП (7)'!$A$1:$DB$46</definedName>
    <definedName name="_xlnm.Print_Area" localSheetId="40">'Форма 24_ТП (8)'!$A$1:$DB$46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 (2)'!$A$1:$J$220</definedName>
    <definedName name="_xlnm.Print_Area" localSheetId="13">'Форма 5_Обор. (2)'!$A$1:$J$95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6б'!$A$1:$DB$47</definedName>
    <definedName name="_xlnm.Print_Area" localSheetId="18">'Форма 8'!$A$1:$DB$42</definedName>
    <definedName name="оор" localSheetId="56">#REF!</definedName>
    <definedName name="оор" localSheetId="57">#REF!</definedName>
    <definedName name="оор" localSheetId="59">#REF!</definedName>
    <definedName name="оор" localSheetId="61">#REF!</definedName>
    <definedName name="оор" localSheetId="62">#REF!</definedName>
    <definedName name="оор" localSheetId="63">#REF!</definedName>
    <definedName name="оор" localSheetId="58">#REF!</definedName>
    <definedName name="оор" localSheetId="60">#REF!</definedName>
    <definedName name="оор" localSheetId="64">#REF!</definedName>
    <definedName name="оор" localSheetId="70">#REF!</definedName>
    <definedName name="оор" localSheetId="66">#REF!</definedName>
    <definedName name="оор" localSheetId="65">#REF!</definedName>
    <definedName name="оор" localSheetId="46">#REF!</definedName>
    <definedName name="оор" localSheetId="47">#REF!</definedName>
    <definedName name="оор" localSheetId="48">#REF!</definedName>
    <definedName name="оор" localSheetId="49">#REF!</definedName>
    <definedName name="оор" localSheetId="50">#REF!</definedName>
    <definedName name="оор" localSheetId="51">#REF!</definedName>
    <definedName name="оор" localSheetId="52">#REF!</definedName>
    <definedName name="оор" localSheetId="53">#REF!</definedName>
    <definedName name="оор" localSheetId="54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56">#REF!</definedName>
    <definedName name="уаывп32ц5" localSheetId="57">#REF!</definedName>
    <definedName name="уаывп32ц5" localSheetId="59">#REF!</definedName>
    <definedName name="уаывп32ц5" localSheetId="61">#REF!</definedName>
    <definedName name="уаывп32ц5" localSheetId="62">#REF!</definedName>
    <definedName name="уаывп32ц5" localSheetId="63">#REF!</definedName>
    <definedName name="уаывп32ц5" localSheetId="58">#REF!</definedName>
    <definedName name="уаывп32ц5" localSheetId="60">#REF!</definedName>
    <definedName name="уаывп32ц5" localSheetId="64">#REF!</definedName>
    <definedName name="уаывп32ц5" localSheetId="70">#REF!</definedName>
    <definedName name="уаывп32ц5" localSheetId="66">#REF!</definedName>
    <definedName name="уаывп32ц5" localSheetId="65">#REF!</definedName>
    <definedName name="уаывп32ц5" localSheetId="46">#REF!</definedName>
    <definedName name="уаывп32ц5" localSheetId="47">#REF!</definedName>
    <definedName name="уаывп32ц5" localSheetId="48">#REF!</definedName>
    <definedName name="уаывп32ц5" localSheetId="49">#REF!</definedName>
    <definedName name="уаывп32ц5" localSheetId="50">#REF!</definedName>
    <definedName name="уаывп32ц5" localSheetId="51">#REF!</definedName>
    <definedName name="уаывп32ц5" localSheetId="52">#REF!</definedName>
    <definedName name="уаывп32ц5" localSheetId="53">#REF!</definedName>
    <definedName name="уаывп32ц5" localSheetId="54">#REF!</definedName>
    <definedName name="уаывп32ц5" localSheetId="9">#REF!</definedName>
    <definedName name="уаывп32ц5">#REF!</definedName>
    <definedName name="ыпарпмт24" localSheetId="56">#REF!</definedName>
    <definedName name="ыпарпмт24" localSheetId="57">#REF!</definedName>
    <definedName name="ыпарпмт24" localSheetId="59">#REF!</definedName>
    <definedName name="ыпарпмт24" localSheetId="61">#REF!</definedName>
    <definedName name="ыпарпмт24" localSheetId="62">#REF!</definedName>
    <definedName name="ыпарпмт24" localSheetId="63">#REF!</definedName>
    <definedName name="ыпарпмт24" localSheetId="58">#REF!</definedName>
    <definedName name="ыпарпмт24" localSheetId="60">#REF!</definedName>
    <definedName name="ыпарпмт24" localSheetId="64">#REF!</definedName>
    <definedName name="ыпарпмт24" localSheetId="70">#REF!</definedName>
    <definedName name="ыпарпмт24" localSheetId="66">#REF!</definedName>
    <definedName name="ыпарпмт24" localSheetId="65">#REF!</definedName>
    <definedName name="ыпарпмт24" localSheetId="46">#REF!</definedName>
    <definedName name="ыпарпмт24" localSheetId="47">#REF!</definedName>
    <definedName name="ыпарпмт24" localSheetId="48">#REF!</definedName>
    <definedName name="ыпарпмт24" localSheetId="49">#REF!</definedName>
    <definedName name="ыпарпмт24" localSheetId="50">#REF!</definedName>
    <definedName name="ыпарпмт24" localSheetId="51">#REF!</definedName>
    <definedName name="ыпарпмт24" localSheetId="52">#REF!</definedName>
    <definedName name="ыпарпмт24" localSheetId="53">#REF!</definedName>
    <definedName name="ыпарпмт24" localSheetId="54">#REF!</definedName>
    <definedName name="ыпарпмт24" localSheetId="9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6" i="362" l="1"/>
  <c r="A93" i="362"/>
  <c r="A90" i="362"/>
  <c r="A87" i="362"/>
  <c r="A84" i="362"/>
  <c r="J77" i="362"/>
  <c r="A71" i="362"/>
  <c r="A58" i="362"/>
  <c r="AB56" i="362"/>
  <c r="X50" i="362"/>
  <c r="A45" i="362"/>
  <c r="A44" i="362"/>
  <c r="A41" i="362"/>
  <c r="A40" i="362"/>
  <c r="A37" i="362"/>
  <c r="A36" i="362"/>
  <c r="A33" i="362"/>
  <c r="A32" i="362"/>
  <c r="A29" i="362"/>
  <c r="A18" i="362"/>
  <c r="A16" i="362"/>
  <c r="A13" i="362"/>
  <c r="A11" i="362"/>
  <c r="A8" i="362"/>
  <c r="A6" i="362"/>
  <c r="A3" i="362"/>
  <c r="BE2" i="362"/>
  <c r="BE3" i="362" s="1"/>
  <c r="A96" i="361"/>
  <c r="A93" i="361"/>
  <c r="A90" i="361"/>
  <c r="A87" i="361"/>
  <c r="A84" i="361"/>
  <c r="J77" i="361"/>
  <c r="A71" i="361"/>
  <c r="A58" i="361"/>
  <c r="AB56" i="361"/>
  <c r="X50" i="361"/>
  <c r="A45" i="361"/>
  <c r="A44" i="361"/>
  <c r="A41" i="361"/>
  <c r="A40" i="361"/>
  <c r="A37" i="361"/>
  <c r="A36" i="361"/>
  <c r="A33" i="361"/>
  <c r="A32" i="361"/>
  <c r="A29" i="361"/>
  <c r="A18" i="361"/>
  <c r="A16" i="361"/>
  <c r="A13" i="361"/>
  <c r="A11" i="361"/>
  <c r="A8" i="361"/>
  <c r="A6" i="361"/>
  <c r="A3" i="361"/>
  <c r="BE2" i="361"/>
  <c r="BE3" i="361" s="1"/>
  <c r="A96" i="360"/>
  <c r="A93" i="360"/>
  <c r="A90" i="360"/>
  <c r="A87" i="360"/>
  <c r="A84" i="360"/>
  <c r="J77" i="360"/>
  <c r="A71" i="360"/>
  <c r="A58" i="360"/>
  <c r="AB56" i="360"/>
  <c r="X50" i="360"/>
  <c r="A45" i="360"/>
  <c r="A44" i="360"/>
  <c r="A41" i="360"/>
  <c r="A40" i="360"/>
  <c r="A37" i="360"/>
  <c r="A36" i="360"/>
  <c r="A33" i="360"/>
  <c r="A32" i="360"/>
  <c r="A29" i="360"/>
  <c r="A18" i="360"/>
  <c r="A16" i="360"/>
  <c r="A13" i="360"/>
  <c r="A11" i="360"/>
  <c r="A8" i="360"/>
  <c r="A6" i="360"/>
  <c r="A3" i="360"/>
  <c r="BE2" i="360"/>
  <c r="BE3" i="360" s="1"/>
  <c r="A96" i="359"/>
  <c r="A93" i="359"/>
  <c r="A90" i="359"/>
  <c r="A87" i="359"/>
  <c r="A84" i="359"/>
  <c r="J77" i="359"/>
  <c r="A71" i="359"/>
  <c r="A58" i="359"/>
  <c r="AB56" i="359"/>
  <c r="X50" i="359"/>
  <c r="A45" i="359"/>
  <c r="A44" i="359"/>
  <c r="A41" i="359"/>
  <c r="A40" i="359"/>
  <c r="A37" i="359"/>
  <c r="A36" i="359"/>
  <c r="A33" i="359"/>
  <c r="A32" i="359"/>
  <c r="A29" i="359"/>
  <c r="A18" i="359"/>
  <c r="A16" i="359"/>
  <c r="A13" i="359"/>
  <c r="A11" i="359"/>
  <c r="A8" i="359"/>
  <c r="A6" i="359"/>
  <c r="A3" i="359"/>
  <c r="BE2" i="359"/>
  <c r="BE3" i="359" s="1"/>
  <c r="A96" i="358"/>
  <c r="A93" i="358"/>
  <c r="A90" i="358"/>
  <c r="A87" i="358"/>
  <c r="A84" i="358"/>
  <c r="J77" i="358"/>
  <c r="A71" i="358"/>
  <c r="A58" i="358"/>
  <c r="AB56" i="358"/>
  <c r="X50" i="358"/>
  <c r="A45" i="358"/>
  <c r="A44" i="358"/>
  <c r="A41" i="358"/>
  <c r="A40" i="358"/>
  <c r="A37" i="358"/>
  <c r="A36" i="358"/>
  <c r="A33" i="358"/>
  <c r="A32" i="358"/>
  <c r="A29" i="358"/>
  <c r="A18" i="358"/>
  <c r="A16" i="358"/>
  <c r="A13" i="358"/>
  <c r="A11" i="358"/>
  <c r="A8" i="358"/>
  <c r="A6" i="358"/>
  <c r="A3" i="358"/>
  <c r="BE2" i="358"/>
  <c r="BE3" i="358" s="1"/>
  <c r="A96" i="357"/>
  <c r="A93" i="357"/>
  <c r="A90" i="357"/>
  <c r="A87" i="357"/>
  <c r="A84" i="357"/>
  <c r="J77" i="357"/>
  <c r="A71" i="357"/>
  <c r="A58" i="357"/>
  <c r="AB56" i="357"/>
  <c r="X50" i="357"/>
  <c r="A45" i="357"/>
  <c r="A44" i="357"/>
  <c r="A41" i="357"/>
  <c r="A40" i="357"/>
  <c r="A37" i="357"/>
  <c r="A36" i="357"/>
  <c r="A33" i="357"/>
  <c r="A32" i="357"/>
  <c r="A29" i="357"/>
  <c r="A18" i="357"/>
  <c r="A16" i="357"/>
  <c r="A13" i="357"/>
  <c r="A11" i="357"/>
  <c r="A8" i="357"/>
  <c r="A6" i="357"/>
  <c r="A3" i="357"/>
  <c r="BE2" i="357"/>
  <c r="BE3" i="357" s="1"/>
  <c r="A96" i="356"/>
  <c r="A93" i="356"/>
  <c r="A90" i="356"/>
  <c r="A87" i="356"/>
  <c r="A84" i="356"/>
  <c r="J77" i="356"/>
  <c r="A71" i="356"/>
  <c r="A58" i="356"/>
  <c r="AB56" i="356"/>
  <c r="X50" i="356"/>
  <c r="A45" i="356"/>
  <c r="A44" i="356"/>
  <c r="A41" i="356"/>
  <c r="A40" i="356"/>
  <c r="A37" i="356"/>
  <c r="A36" i="356"/>
  <c r="A33" i="356"/>
  <c r="A32" i="356"/>
  <c r="A29" i="356"/>
  <c r="A18" i="356"/>
  <c r="A16" i="356"/>
  <c r="A13" i="356"/>
  <c r="A11" i="356"/>
  <c r="A8" i="356"/>
  <c r="A6" i="356"/>
  <c r="A3" i="356"/>
  <c r="BE2" i="356"/>
  <c r="BE3" i="356" s="1"/>
  <c r="A96" i="355"/>
  <c r="A93" i="355"/>
  <c r="A90" i="355"/>
  <c r="A87" i="355"/>
  <c r="A84" i="355"/>
  <c r="J77" i="355"/>
  <c r="A71" i="355"/>
  <c r="A58" i="355"/>
  <c r="AB56" i="355"/>
  <c r="X50" i="355"/>
  <c r="A45" i="355"/>
  <c r="A44" i="355"/>
  <c r="A41" i="355"/>
  <c r="A40" i="355"/>
  <c r="A37" i="355"/>
  <c r="A36" i="355"/>
  <c r="A33" i="355"/>
  <c r="A32" i="355"/>
  <c r="A29" i="355"/>
  <c r="A18" i="355"/>
  <c r="A16" i="355"/>
  <c r="A13" i="355"/>
  <c r="A11" i="355"/>
  <c r="A8" i="355"/>
  <c r="A6" i="355"/>
  <c r="A3" i="355"/>
  <c r="BE2" i="355"/>
  <c r="BE3" i="355" s="1"/>
  <c r="A96" i="354"/>
  <c r="A93" i="354"/>
  <c r="A90" i="354"/>
  <c r="A87" i="354"/>
  <c r="A84" i="354"/>
  <c r="J77" i="354"/>
  <c r="A71" i="354"/>
  <c r="A58" i="354"/>
  <c r="AB56" i="354"/>
  <c r="X50" i="354"/>
  <c r="A45" i="354"/>
  <c r="A44" i="354"/>
  <c r="A41" i="354"/>
  <c r="A40" i="354"/>
  <c r="A37" i="354"/>
  <c r="A36" i="354"/>
  <c r="A33" i="354"/>
  <c r="A32" i="354"/>
  <c r="A29" i="354"/>
  <c r="A18" i="354"/>
  <c r="A16" i="354"/>
  <c r="A13" i="354"/>
  <c r="A11" i="354"/>
  <c r="A8" i="354"/>
  <c r="A6" i="354"/>
  <c r="A3" i="354"/>
  <c r="BE2" i="354"/>
  <c r="BE3" i="354" s="1"/>
  <c r="A96" i="353"/>
  <c r="A93" i="353"/>
  <c r="A90" i="353"/>
  <c r="A87" i="353"/>
  <c r="A84" i="353"/>
  <c r="J77" i="353"/>
  <c r="A71" i="353"/>
  <c r="A58" i="353"/>
  <c r="AB56" i="353"/>
  <c r="X50" i="353"/>
  <c r="A45" i="353"/>
  <c r="A44" i="353"/>
  <c r="A41" i="353"/>
  <c r="A40" i="353"/>
  <c r="A37" i="353"/>
  <c r="A36" i="353"/>
  <c r="A33" i="353"/>
  <c r="A32" i="353"/>
  <c r="A29" i="353"/>
  <c r="A18" i="353"/>
  <c r="A16" i="353"/>
  <c r="A13" i="353"/>
  <c r="A11" i="353"/>
  <c r="A8" i="353"/>
  <c r="A6" i="353"/>
  <c r="A3" i="353"/>
  <c r="BE2" i="353"/>
  <c r="BE3" i="353" s="1"/>
  <c r="A96" i="352"/>
  <c r="A93" i="352"/>
  <c r="A90" i="352"/>
  <c r="A87" i="352"/>
  <c r="A84" i="352"/>
  <c r="J77" i="352"/>
  <c r="A71" i="352"/>
  <c r="A58" i="352"/>
  <c r="AB56" i="352"/>
  <c r="X50" i="352"/>
  <c r="A45" i="352"/>
  <c r="A44" i="352"/>
  <c r="A41" i="352"/>
  <c r="A40" i="352"/>
  <c r="A37" i="352"/>
  <c r="A36" i="352"/>
  <c r="A33" i="352"/>
  <c r="A32" i="352"/>
  <c r="A29" i="352"/>
  <c r="A18" i="352"/>
  <c r="A16" i="352"/>
  <c r="A13" i="352"/>
  <c r="A11" i="352"/>
  <c r="A8" i="352"/>
  <c r="A6" i="352"/>
  <c r="A3" i="352"/>
  <c r="BE2" i="352"/>
  <c r="BE3" i="352" s="1"/>
  <c r="A96" i="351"/>
  <c r="A93" i="351"/>
  <c r="A90" i="351"/>
  <c r="A87" i="351"/>
  <c r="A84" i="351"/>
  <c r="J77" i="351"/>
  <c r="A71" i="351"/>
  <c r="A58" i="351"/>
  <c r="AB56" i="351"/>
  <c r="X50" i="351"/>
  <c r="A45" i="351"/>
  <c r="A44" i="351"/>
  <c r="A41" i="351"/>
  <c r="A40" i="351"/>
  <c r="A37" i="351"/>
  <c r="A36" i="351"/>
  <c r="A33" i="351"/>
  <c r="A32" i="351"/>
  <c r="A29" i="351"/>
  <c r="A18" i="351"/>
  <c r="A16" i="351"/>
  <c r="A13" i="351"/>
  <c r="A11" i="351"/>
  <c r="A8" i="351"/>
  <c r="A6" i="351"/>
  <c r="A3" i="351"/>
  <c r="BE2" i="351"/>
  <c r="BE3" i="351" s="1"/>
  <c r="A96" i="350"/>
  <c r="A93" i="350"/>
  <c r="A90" i="350"/>
  <c r="A87" i="350"/>
  <c r="A84" i="350"/>
  <c r="J77" i="350"/>
  <c r="A71" i="350"/>
  <c r="A58" i="350"/>
  <c r="AB56" i="350"/>
  <c r="X50" i="350"/>
  <c r="A45" i="350"/>
  <c r="A44" i="350"/>
  <c r="A41" i="350"/>
  <c r="A40" i="350"/>
  <c r="A37" i="350"/>
  <c r="A36" i="350"/>
  <c r="A33" i="350"/>
  <c r="A32" i="350"/>
  <c r="A29" i="350"/>
  <c r="A18" i="350"/>
  <c r="A16" i="350"/>
  <c r="A13" i="350"/>
  <c r="A11" i="350"/>
  <c r="A8" i="350"/>
  <c r="A6" i="350"/>
  <c r="A3" i="350"/>
  <c r="BE2" i="350"/>
  <c r="BE3" i="350" s="1"/>
  <c r="A96" i="349"/>
  <c r="A93" i="349"/>
  <c r="A90" i="349"/>
  <c r="A87" i="349"/>
  <c r="A84" i="349"/>
  <c r="J77" i="349"/>
  <c r="A71" i="349"/>
  <c r="A58" i="349"/>
  <c r="AB56" i="349"/>
  <c r="X50" i="349"/>
  <c r="A45" i="349"/>
  <c r="A44" i="349"/>
  <c r="A41" i="349"/>
  <c r="A40" i="349"/>
  <c r="A37" i="349"/>
  <c r="A36" i="349"/>
  <c r="A33" i="349"/>
  <c r="A32" i="349"/>
  <c r="A29" i="349"/>
  <c r="A18" i="349"/>
  <c r="A16" i="349"/>
  <c r="A13" i="349"/>
  <c r="A11" i="349"/>
  <c r="A8" i="349"/>
  <c r="A6" i="349"/>
  <c r="A3" i="349"/>
  <c r="BE2" i="349"/>
  <c r="BE3" i="349" s="1"/>
  <c r="A96" i="348"/>
  <c r="A93" i="348"/>
  <c r="A90" i="348"/>
  <c r="A87" i="348"/>
  <c r="A84" i="348"/>
  <c r="J77" i="348"/>
  <c r="A71" i="348"/>
  <c r="A58" i="348"/>
  <c r="AB56" i="348"/>
  <c r="X50" i="348"/>
  <c r="A45" i="348"/>
  <c r="A44" i="348"/>
  <c r="A41" i="348"/>
  <c r="A40" i="348"/>
  <c r="A37" i="348"/>
  <c r="A36" i="348"/>
  <c r="A33" i="348"/>
  <c r="A32" i="348"/>
  <c r="A29" i="348"/>
  <c r="A18" i="348"/>
  <c r="A16" i="348"/>
  <c r="A13" i="348"/>
  <c r="A11" i="348"/>
  <c r="A8" i="348"/>
  <c r="A6" i="348"/>
  <c r="A3" i="348"/>
  <c r="BE2" i="348"/>
  <c r="BE3" i="348" s="1"/>
  <c r="A96" i="347"/>
  <c r="A93" i="347"/>
  <c r="A90" i="347"/>
  <c r="A87" i="347"/>
  <c r="A84" i="347"/>
  <c r="J77" i="347"/>
  <c r="A71" i="347"/>
  <c r="A58" i="347"/>
  <c r="AB56" i="347"/>
  <c r="X50" i="347"/>
  <c r="A45" i="347"/>
  <c r="A44" i="347"/>
  <c r="A41" i="347"/>
  <c r="A40" i="347"/>
  <c r="A37" i="347"/>
  <c r="A36" i="347"/>
  <c r="A33" i="347"/>
  <c r="A32" i="347"/>
  <c r="A29" i="347"/>
  <c r="A18" i="347"/>
  <c r="A16" i="347"/>
  <c r="A13" i="347"/>
  <c r="A11" i="347"/>
  <c r="A8" i="347"/>
  <c r="A6" i="347"/>
  <c r="A3" i="347"/>
  <c r="BE2" i="347"/>
  <c r="BE3" i="347" s="1"/>
  <c r="A96" i="346"/>
  <c r="A93" i="346"/>
  <c r="A90" i="346"/>
  <c r="A87" i="346"/>
  <c r="A84" i="346"/>
  <c r="J77" i="346"/>
  <c r="A71" i="346"/>
  <c r="A58" i="346"/>
  <c r="AB56" i="346"/>
  <c r="X50" i="346"/>
  <c r="A45" i="346"/>
  <c r="A44" i="346"/>
  <c r="A41" i="346"/>
  <c r="A40" i="346"/>
  <c r="A37" i="346"/>
  <c r="A36" i="346"/>
  <c r="A33" i="346"/>
  <c r="A32" i="346"/>
  <c r="A29" i="346"/>
  <c r="A18" i="346"/>
  <c r="A16" i="346"/>
  <c r="A13" i="346"/>
  <c r="A11" i="346"/>
  <c r="A8" i="346"/>
  <c r="A6" i="346"/>
  <c r="A3" i="346"/>
  <c r="BE2" i="346"/>
  <c r="BE3" i="346" s="1"/>
  <c r="A96" i="345"/>
  <c r="A93" i="345"/>
  <c r="A90" i="345"/>
  <c r="A87" i="345"/>
  <c r="A84" i="345"/>
  <c r="J77" i="345"/>
  <c r="A71" i="345"/>
  <c r="A58" i="345"/>
  <c r="AB56" i="345"/>
  <c r="X50" i="345"/>
  <c r="A45" i="345"/>
  <c r="A44" i="345"/>
  <c r="A41" i="345"/>
  <c r="A40" i="345"/>
  <c r="A37" i="345"/>
  <c r="A36" i="345"/>
  <c r="A33" i="345"/>
  <c r="A32" i="345"/>
  <c r="A29" i="345"/>
  <c r="A18" i="345"/>
  <c r="A16" i="345"/>
  <c r="A13" i="345"/>
  <c r="A11" i="345"/>
  <c r="A8" i="345"/>
  <c r="A6" i="345"/>
  <c r="A3" i="345"/>
  <c r="BE2" i="345"/>
  <c r="BE3" i="345" s="1"/>
  <c r="A96" i="344"/>
  <c r="A93" i="344"/>
  <c r="A90" i="344"/>
  <c r="A87" i="344"/>
  <c r="A84" i="344"/>
  <c r="J77" i="344"/>
  <c r="A71" i="344"/>
  <c r="A58" i="344"/>
  <c r="AB56" i="344"/>
  <c r="X50" i="344"/>
  <c r="A45" i="344"/>
  <c r="A44" i="344"/>
  <c r="A41" i="344"/>
  <c r="A40" i="344"/>
  <c r="A37" i="344"/>
  <c r="A36" i="344"/>
  <c r="A33" i="344"/>
  <c r="A32" i="344"/>
  <c r="A29" i="344"/>
  <c r="A18" i="344"/>
  <c r="A16" i="344"/>
  <c r="A13" i="344"/>
  <c r="A11" i="344"/>
  <c r="A8" i="344"/>
  <c r="A6" i="344"/>
  <c r="A3" i="344"/>
  <c r="BE2" i="344"/>
  <c r="BE3" i="344" s="1"/>
  <c r="A96" i="343"/>
  <c r="A93" i="343"/>
  <c r="A90" i="343"/>
  <c r="A87" i="343"/>
  <c r="A84" i="343"/>
  <c r="J77" i="343"/>
  <c r="A71" i="343"/>
  <c r="A58" i="343"/>
  <c r="AB56" i="343"/>
  <c r="X50" i="343"/>
  <c r="A45" i="343"/>
  <c r="A44" i="343"/>
  <c r="A41" i="343"/>
  <c r="A40" i="343"/>
  <c r="A37" i="343"/>
  <c r="A36" i="343"/>
  <c r="A33" i="343"/>
  <c r="A32" i="343"/>
  <c r="A29" i="343"/>
  <c r="A18" i="343"/>
  <c r="A16" i="343"/>
  <c r="A13" i="343"/>
  <c r="A11" i="343"/>
  <c r="A8" i="343"/>
  <c r="A6" i="343"/>
  <c r="A3" i="343"/>
  <c r="BE2" i="343"/>
  <c r="BE3" i="343" s="1"/>
  <c r="A96" i="342"/>
  <c r="A93" i="342"/>
  <c r="A90" i="342"/>
  <c r="A87" i="342"/>
  <c r="A84" i="342"/>
  <c r="J77" i="342"/>
  <c r="A71" i="342"/>
  <c r="A58" i="342"/>
  <c r="AB56" i="342"/>
  <c r="X50" i="342"/>
  <c r="A45" i="342"/>
  <c r="A44" i="342"/>
  <c r="A41" i="342"/>
  <c r="A40" i="342"/>
  <c r="A37" i="342"/>
  <c r="A36" i="342"/>
  <c r="A33" i="342"/>
  <c r="A32" i="342"/>
  <c r="A29" i="342"/>
  <c r="A18" i="342"/>
  <c r="A16" i="342"/>
  <c r="A13" i="342"/>
  <c r="A11" i="342"/>
  <c r="A8" i="342"/>
  <c r="A6" i="342"/>
  <c r="A3" i="342"/>
  <c r="BE2" i="342"/>
  <c r="BE3" i="342" s="1"/>
  <c r="A96" i="341"/>
  <c r="A93" i="341"/>
  <c r="A90" i="341"/>
  <c r="A87" i="341"/>
  <c r="A84" i="341"/>
  <c r="J77" i="341"/>
  <c r="A71" i="341"/>
  <c r="A58" i="341"/>
  <c r="AB56" i="341"/>
  <c r="X50" i="341"/>
  <c r="A45" i="341"/>
  <c r="A44" i="341"/>
  <c r="A41" i="341"/>
  <c r="A40" i="341"/>
  <c r="A37" i="341"/>
  <c r="A36" i="341"/>
  <c r="A33" i="341"/>
  <c r="A32" i="341"/>
  <c r="A29" i="341"/>
  <c r="A18" i="341"/>
  <c r="A16" i="341"/>
  <c r="A13" i="341"/>
  <c r="A11" i="341"/>
  <c r="A8" i="341"/>
  <c r="A6" i="341"/>
  <c r="A3" i="341"/>
  <c r="BE2" i="341"/>
  <c r="BE3" i="341" s="1"/>
  <c r="A96" i="340"/>
  <c r="A93" i="340"/>
  <c r="A90" i="340"/>
  <c r="A87" i="340"/>
  <c r="A84" i="340"/>
  <c r="J77" i="340"/>
  <c r="A71" i="340"/>
  <c r="A58" i="340"/>
  <c r="AB56" i="340"/>
  <c r="X50" i="340"/>
  <c r="A45" i="340"/>
  <c r="A44" i="340"/>
  <c r="A41" i="340"/>
  <c r="A40" i="340"/>
  <c r="A37" i="340"/>
  <c r="A36" i="340"/>
  <c r="A33" i="340"/>
  <c r="A32" i="340"/>
  <c r="A29" i="340"/>
  <c r="A18" i="340"/>
  <c r="A16" i="340"/>
  <c r="A13" i="340"/>
  <c r="A11" i="340"/>
  <c r="A8" i="340"/>
  <c r="A6" i="340"/>
  <c r="A3" i="340"/>
  <c r="BE2" i="340"/>
  <c r="BE3" i="340" s="1"/>
  <c r="A96" i="339"/>
  <c r="A93" i="339"/>
  <c r="A90" i="339"/>
  <c r="A87" i="339"/>
  <c r="A84" i="339"/>
  <c r="J77" i="339"/>
  <c r="A71" i="339"/>
  <c r="A58" i="339"/>
  <c r="AB56" i="339"/>
  <c r="X50" i="339"/>
  <c r="A45" i="339"/>
  <c r="A44" i="339"/>
  <c r="A41" i="339"/>
  <c r="A40" i="339"/>
  <c r="A37" i="339"/>
  <c r="A36" i="339"/>
  <c r="A33" i="339"/>
  <c r="A32" i="339"/>
  <c r="A29" i="339"/>
  <c r="A18" i="339"/>
  <c r="A16" i="339"/>
  <c r="A13" i="339"/>
  <c r="A11" i="339"/>
  <c r="A8" i="339"/>
  <c r="A6" i="339"/>
  <c r="A3" i="339"/>
  <c r="BE2" i="339"/>
  <c r="BE3" i="339" s="1"/>
  <c r="A96" i="338"/>
  <c r="A93" i="338"/>
  <c r="A90" i="338"/>
  <c r="A87" i="338"/>
  <c r="A84" i="338"/>
  <c r="J77" i="338"/>
  <c r="A71" i="338"/>
  <c r="A58" i="338"/>
  <c r="AB56" i="338"/>
  <c r="X50" i="338"/>
  <c r="A45" i="338"/>
  <c r="A44" i="338"/>
  <c r="A41" i="338"/>
  <c r="A40" i="338"/>
  <c r="A37" i="338"/>
  <c r="A36" i="338"/>
  <c r="A33" i="338"/>
  <c r="A32" i="338"/>
  <c r="A29" i="338"/>
  <c r="A18" i="338"/>
  <c r="A16" i="338"/>
  <c r="A13" i="338"/>
  <c r="A11" i="338"/>
  <c r="A8" i="338"/>
  <c r="A6" i="338"/>
  <c r="A3" i="338"/>
  <c r="BE2" i="338"/>
  <c r="BE3" i="338" s="1"/>
  <c r="A96" i="337"/>
  <c r="A93" i="337"/>
  <c r="A90" i="337"/>
  <c r="A87" i="337"/>
  <c r="A84" i="337"/>
  <c r="J77" i="337"/>
  <c r="A71" i="337"/>
  <c r="A58" i="337"/>
  <c r="AB56" i="337"/>
  <c r="X50" i="337"/>
  <c r="A45" i="337"/>
  <c r="A44" i="337"/>
  <c r="A41" i="337"/>
  <c r="A40" i="337"/>
  <c r="A37" i="337"/>
  <c r="A36" i="337"/>
  <c r="A33" i="337"/>
  <c r="A32" i="337"/>
  <c r="A29" i="337"/>
  <c r="A18" i="337"/>
  <c r="A16" i="337"/>
  <c r="A13" i="337"/>
  <c r="A11" i="337"/>
  <c r="A8" i="337"/>
  <c r="A6" i="337"/>
  <c r="A3" i="337"/>
  <c r="BE2" i="337"/>
  <c r="BE3" i="337" s="1"/>
  <c r="A96" i="336"/>
  <c r="A93" i="336"/>
  <c r="A90" i="336"/>
  <c r="A87" i="336"/>
  <c r="A84" i="336"/>
  <c r="J77" i="336"/>
  <c r="A71" i="336"/>
  <c r="A58" i="336"/>
  <c r="AB56" i="336"/>
  <c r="X50" i="336"/>
  <c r="A45" i="336"/>
  <c r="A44" i="336"/>
  <c r="A41" i="336"/>
  <c r="A40" i="336"/>
  <c r="A37" i="336"/>
  <c r="A36" i="336"/>
  <c r="A33" i="336"/>
  <c r="A32" i="336"/>
  <c r="A29" i="336"/>
  <c r="A18" i="336"/>
  <c r="A16" i="336"/>
  <c r="A13" i="336"/>
  <c r="A11" i="336"/>
  <c r="A8" i="336"/>
  <c r="A6" i="336"/>
  <c r="A3" i="336"/>
  <c r="BE2" i="336"/>
  <c r="BE3" i="336" s="1"/>
  <c r="A96" i="335"/>
  <c r="A93" i="335"/>
  <c r="A90" i="335"/>
  <c r="A87" i="335"/>
  <c r="A84" i="335"/>
  <c r="J77" i="335"/>
  <c r="A71" i="335"/>
  <c r="A58" i="335"/>
  <c r="AB56" i="335"/>
  <c r="X50" i="335"/>
  <c r="A45" i="335"/>
  <c r="A44" i="335"/>
  <c r="A41" i="335"/>
  <c r="A40" i="335"/>
  <c r="A37" i="335"/>
  <c r="A36" i="335"/>
  <c r="A33" i="335"/>
  <c r="A32" i="335"/>
  <c r="A29" i="335"/>
  <c r="A18" i="335"/>
  <c r="A16" i="335"/>
  <c r="A13" i="335"/>
  <c r="A11" i="335"/>
  <c r="A8" i="335"/>
  <c r="A6" i="335"/>
  <c r="A3" i="335"/>
  <c r="BE2" i="335"/>
  <c r="BE3" i="335" s="1"/>
  <c r="A96" i="334"/>
  <c r="A93" i="334"/>
  <c r="A90" i="334"/>
  <c r="A87" i="334"/>
  <c r="A84" i="334"/>
  <c r="J77" i="334"/>
  <c r="A71" i="334"/>
  <c r="A58" i="334"/>
  <c r="AB56" i="334"/>
  <c r="X50" i="334"/>
  <c r="A45" i="334"/>
  <c r="A44" i="334"/>
  <c r="A41" i="334"/>
  <c r="A40" i="334"/>
  <c r="A37" i="334"/>
  <c r="A36" i="334"/>
  <c r="A33" i="334"/>
  <c r="A32" i="334"/>
  <c r="A29" i="334"/>
  <c r="A18" i="334"/>
  <c r="A16" i="334"/>
  <c r="A13" i="334"/>
  <c r="A11" i="334"/>
  <c r="A8" i="334"/>
  <c r="A6" i="334"/>
  <c r="A3" i="334"/>
  <c r="BE2" i="334"/>
  <c r="BE3" i="334" s="1"/>
  <c r="I33" i="333"/>
  <c r="I31" i="333"/>
  <c r="A25" i="333"/>
  <c r="A21" i="333"/>
  <c r="A19" i="333"/>
  <c r="F17" i="333"/>
  <c r="A15" i="333"/>
  <c r="D13" i="333"/>
  <c r="G7" i="333"/>
  <c r="G5" i="333"/>
  <c r="O5" i="333" s="1"/>
  <c r="G3" i="333"/>
  <c r="O3" i="333" s="1"/>
  <c r="A3" i="333"/>
  <c r="G1" i="333"/>
  <c r="I33" i="332"/>
  <c r="I31" i="332"/>
  <c r="A25" i="332"/>
  <c r="A21" i="332"/>
  <c r="A19" i="332"/>
  <c r="F17" i="332"/>
  <c r="A15" i="332"/>
  <c r="D13" i="332"/>
  <c r="G7" i="332"/>
  <c r="G5" i="332"/>
  <c r="O5" i="332" s="1"/>
  <c r="G3" i="332"/>
  <c r="O3" i="332" s="1"/>
  <c r="A3" i="332"/>
  <c r="G1" i="332"/>
  <c r="I33" i="331"/>
  <c r="I31" i="331"/>
  <c r="A25" i="331"/>
  <c r="A21" i="331"/>
  <c r="A19" i="331"/>
  <c r="F17" i="331"/>
  <c r="A15" i="331"/>
  <c r="D13" i="331"/>
  <c r="G7" i="331"/>
  <c r="G5" i="331"/>
  <c r="O5" i="331" s="1"/>
  <c r="G3" i="331"/>
  <c r="O3" i="331" s="1"/>
  <c r="A3" i="331"/>
  <c r="G1" i="331"/>
  <c r="I33" i="330"/>
  <c r="I31" i="330"/>
  <c r="A25" i="330"/>
  <c r="A21" i="330"/>
  <c r="A19" i="330"/>
  <c r="F17" i="330"/>
  <c r="A15" i="330"/>
  <c r="D13" i="330"/>
  <c r="G7" i="330"/>
  <c r="G5" i="330"/>
  <c r="O5" i="330" s="1"/>
  <c r="G3" i="330"/>
  <c r="O3" i="330" s="1"/>
  <c r="A3" i="330"/>
  <c r="G1" i="330"/>
  <c r="I33" i="329"/>
  <c r="I31" i="329"/>
  <c r="A25" i="329"/>
  <c r="A21" i="329"/>
  <c r="A19" i="329"/>
  <c r="F17" i="329"/>
  <c r="A15" i="329"/>
  <c r="D13" i="329"/>
  <c r="G7" i="329"/>
  <c r="G5" i="329"/>
  <c r="O5" i="329" s="1"/>
  <c r="G3" i="329"/>
  <c r="O3" i="329" s="1"/>
  <c r="A3" i="329"/>
  <c r="G1" i="329"/>
  <c r="I33" i="328"/>
  <c r="I31" i="328"/>
  <c r="A25" i="328"/>
  <c r="A21" i="328"/>
  <c r="A19" i="328"/>
  <c r="F17" i="328"/>
  <c r="A15" i="328"/>
  <c r="D13" i="328"/>
  <c r="G7" i="328"/>
  <c r="G5" i="328"/>
  <c r="O5" i="328" s="1"/>
  <c r="G3" i="328"/>
  <c r="O3" i="328" s="1"/>
  <c r="A3" i="328"/>
  <c r="G1" i="328"/>
  <c r="I33" i="327"/>
  <c r="I31" i="327"/>
  <c r="A25" i="327"/>
  <c r="A21" i="327"/>
  <c r="A19" i="327"/>
  <c r="F17" i="327"/>
  <c r="A15" i="327"/>
  <c r="D13" i="327"/>
  <c r="G7" i="327"/>
  <c r="G5" i="327"/>
  <c r="O5" i="327" s="1"/>
  <c r="G3" i="327"/>
  <c r="O3" i="327" s="1"/>
  <c r="A3" i="327"/>
  <c r="G1" i="327"/>
  <c r="CJ35" i="326"/>
  <c r="CJ33" i="326"/>
  <c r="A23" i="326"/>
  <c r="A21" i="326"/>
  <c r="AO19" i="326"/>
  <c r="A17" i="326"/>
  <c r="AF15" i="326"/>
  <c r="BH8" i="326"/>
  <c r="BH6" i="326"/>
  <c r="DH6" i="326" s="1"/>
  <c r="BH4" i="326"/>
  <c r="DH4" i="326" s="1"/>
  <c r="A4" i="326"/>
  <c r="BH2" i="326"/>
  <c r="CJ35" i="325"/>
  <c r="CJ33" i="325"/>
  <c r="A23" i="325"/>
  <c r="A21" i="325"/>
  <c r="AO19" i="325"/>
  <c r="A17" i="325"/>
  <c r="AF15" i="325"/>
  <c r="BH8" i="325"/>
  <c r="BH6" i="325"/>
  <c r="DH6" i="325" s="1"/>
  <c r="BH4" i="325"/>
  <c r="DH4" i="325" s="1"/>
  <c r="A4" i="325"/>
  <c r="BH2" i="325"/>
  <c r="CJ35" i="324"/>
  <c r="CJ33" i="324"/>
  <c r="A23" i="324"/>
  <c r="A21" i="324"/>
  <c r="AO19" i="324"/>
  <c r="A17" i="324"/>
  <c r="AF15" i="324"/>
  <c r="BH8" i="324"/>
  <c r="BH6" i="324"/>
  <c r="DH6" i="324" s="1"/>
  <c r="BH4" i="324"/>
  <c r="DH4" i="324" s="1"/>
  <c r="A4" i="324"/>
  <c r="BH2" i="324"/>
  <c r="CJ35" i="323"/>
  <c r="CJ33" i="323"/>
  <c r="A23" i="323"/>
  <c r="A21" i="323"/>
  <c r="AO19" i="323"/>
  <c r="A17" i="323"/>
  <c r="AF15" i="323"/>
  <c r="BH8" i="323"/>
  <c r="BH6" i="323"/>
  <c r="DH6" i="323" s="1"/>
  <c r="BH4" i="323"/>
  <c r="DH4" i="323" s="1"/>
  <c r="A4" i="323"/>
  <c r="BH2" i="323"/>
  <c r="CJ35" i="322"/>
  <c r="CJ33" i="322"/>
  <c r="A23" i="322"/>
  <c r="A21" i="322"/>
  <c r="AO19" i="322"/>
  <c r="A17" i="322"/>
  <c r="AF15" i="322"/>
  <c r="BH8" i="322"/>
  <c r="BH6" i="322"/>
  <c r="DH6" i="322" s="1"/>
  <c r="BH4" i="322"/>
  <c r="DH4" i="322" s="1"/>
  <c r="A4" i="322"/>
  <c r="BH2" i="322"/>
  <c r="CJ35" i="321"/>
  <c r="CJ33" i="321"/>
  <c r="A23" i="321"/>
  <c r="A21" i="321"/>
  <c r="AO19" i="321"/>
  <c r="A17" i="321"/>
  <c r="AF15" i="321"/>
  <c r="BH8" i="321"/>
  <c r="BH6" i="321"/>
  <c r="DH6" i="321" s="1"/>
  <c r="BH4" i="321"/>
  <c r="DH4" i="321" s="1"/>
  <c r="A4" i="321"/>
  <c r="BH2" i="321"/>
  <c r="CJ35" i="320"/>
  <c r="CJ33" i="320"/>
  <c r="A23" i="320"/>
  <c r="A21" i="320"/>
  <c r="AO19" i="320"/>
  <c r="A17" i="320"/>
  <c r="AF15" i="320"/>
  <c r="BH8" i="320"/>
  <c r="BH6" i="320"/>
  <c r="DH6" i="320" s="1"/>
  <c r="BH4" i="320"/>
  <c r="DH4" i="320" s="1"/>
  <c r="A4" i="320"/>
  <c r="BH2" i="320"/>
  <c r="A23" i="231"/>
  <c r="CJ45" i="319"/>
  <c r="CJ43" i="319"/>
  <c r="BN25" i="319"/>
  <c r="Q25" i="319"/>
  <c r="A23" i="319"/>
  <c r="A18" i="319"/>
  <c r="BC16" i="319"/>
  <c r="A15" i="319"/>
  <c r="AG13" i="319"/>
  <c r="BD8" i="319"/>
  <c r="BD6" i="319"/>
  <c r="DH6" i="319" s="1"/>
  <c r="BD4" i="319"/>
  <c r="DH4" i="319" s="1"/>
  <c r="A4" i="319"/>
  <c r="BD2" i="319"/>
  <c r="CJ45" i="318"/>
  <c r="CJ43" i="318"/>
  <c r="BN25" i="318"/>
  <c r="Q25" i="318"/>
  <c r="A23" i="318"/>
  <c r="A18" i="318"/>
  <c r="BC16" i="318"/>
  <c r="A15" i="318"/>
  <c r="AG13" i="318"/>
  <c r="BD8" i="318"/>
  <c r="BD6" i="318"/>
  <c r="DH6" i="318" s="1"/>
  <c r="BD4" i="318"/>
  <c r="DH4" i="318" s="1"/>
  <c r="A4" i="318"/>
  <c r="BD2" i="318"/>
  <c r="CJ45" i="317"/>
  <c r="CJ43" i="317"/>
  <c r="BN25" i="317"/>
  <c r="Q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CJ45" i="316"/>
  <c r="CJ43" i="316"/>
  <c r="BN25" i="316"/>
  <c r="Q25" i="316"/>
  <c r="A23" i="316"/>
  <c r="A18" i="316"/>
  <c r="BC16" i="316"/>
  <c r="A15" i="316"/>
  <c r="AG13" i="316"/>
  <c r="BD8" i="316"/>
  <c r="BD6" i="316"/>
  <c r="DH6" i="316" s="1"/>
  <c r="BD4" i="316"/>
  <c r="DH4" i="316" s="1"/>
  <c r="A4" i="316"/>
  <c r="BD2" i="316"/>
  <c r="CJ45" i="315"/>
  <c r="CJ43" i="315"/>
  <c r="BN25" i="315"/>
  <c r="Q25" i="315"/>
  <c r="A23" i="315"/>
  <c r="A18" i="315"/>
  <c r="BC16" i="315"/>
  <c r="A15" i="315"/>
  <c r="AG13" i="315"/>
  <c r="BD8" i="315"/>
  <c r="BD6" i="315"/>
  <c r="DH6" i="315" s="1"/>
  <c r="BD4" i="315"/>
  <c r="DH4" i="315" s="1"/>
  <c r="A4" i="315"/>
  <c r="BD2" i="315"/>
  <c r="CJ45" i="314"/>
  <c r="CJ43" i="314"/>
  <c r="BN25" i="314"/>
  <c r="Q25" i="314"/>
  <c r="A23" i="314"/>
  <c r="A18" i="314"/>
  <c r="BC16" i="314"/>
  <c r="A15" i="314"/>
  <c r="AG13" i="314"/>
  <c r="BD8" i="314"/>
  <c r="BD6" i="314"/>
  <c r="DH6" i="314" s="1"/>
  <c r="BD4" i="314"/>
  <c r="DH4" i="314" s="1"/>
  <c r="A4" i="314"/>
  <c r="BD2" i="314"/>
  <c r="CJ45" i="313"/>
  <c r="CJ43" i="313"/>
  <c r="BN25" i="313"/>
  <c r="Q25" i="313"/>
  <c r="A23" i="313"/>
  <c r="A18" i="313"/>
  <c r="BC16" i="313"/>
  <c r="A15" i="313"/>
  <c r="AG13" i="313"/>
  <c r="BD8" i="313"/>
  <c r="BD6" i="313"/>
  <c r="DH6" i="313" s="1"/>
  <c r="BD4" i="313"/>
  <c r="DH4" i="313" s="1"/>
  <c r="A4" i="313"/>
  <c r="BD2" i="313"/>
  <c r="CJ45" i="171"/>
  <c r="CJ43" i="171"/>
  <c r="BX58" i="312"/>
  <c r="X17" i="312"/>
  <c r="BC8" i="312"/>
  <c r="BC6" i="312"/>
  <c r="DH6" i="312" s="1"/>
  <c r="BC4" i="312"/>
  <c r="DH4" i="312" s="1"/>
  <c r="A4" i="312"/>
  <c r="BC2" i="312"/>
  <c r="H29" i="111"/>
  <c r="H28" i="111"/>
  <c r="H27" i="111"/>
  <c r="H26" i="111"/>
  <c r="H25" i="111"/>
  <c r="H24" i="111"/>
  <c r="H23" i="111"/>
  <c r="H22" i="111"/>
  <c r="H21" i="111"/>
  <c r="H20" i="111"/>
  <c r="H19" i="111"/>
  <c r="H18" i="111"/>
  <c r="H17" i="111"/>
  <c r="H16" i="111"/>
  <c r="B29" i="113"/>
  <c r="B28" i="113"/>
  <c r="B27" i="113"/>
  <c r="B26" i="113"/>
  <c r="B25" i="113"/>
  <c r="B24" i="113"/>
  <c r="B23" i="113"/>
  <c r="B22" i="113"/>
  <c r="B21" i="113"/>
  <c r="B20" i="113"/>
  <c r="B19" i="113"/>
  <c r="B18" i="113"/>
  <c r="B17" i="113"/>
  <c r="B16" i="113"/>
  <c r="B15" i="113"/>
  <c r="B14" i="113"/>
  <c r="A82" i="349" l="1"/>
  <c r="A79" i="349"/>
  <c r="I78" i="349"/>
  <c r="A74" i="349"/>
  <c r="V69" i="349"/>
  <c r="AE67" i="349"/>
  <c r="W67" i="349"/>
  <c r="S67" i="349"/>
  <c r="AE66" i="349"/>
  <c r="W66" i="349"/>
  <c r="S66" i="349"/>
  <c r="A64" i="349"/>
  <c r="A61" i="349"/>
  <c r="A54" i="349"/>
  <c r="A27" i="349"/>
  <c r="A26" i="349"/>
  <c r="BB23" i="349"/>
  <c r="AX23" i="349"/>
  <c r="AT23" i="349"/>
  <c r="C23" i="349"/>
  <c r="A82" i="350"/>
  <c r="A79" i="350"/>
  <c r="I78" i="350"/>
  <c r="A74" i="350"/>
  <c r="V69" i="350"/>
  <c r="AE67" i="350"/>
  <c r="W67" i="350"/>
  <c r="S67" i="350"/>
  <c r="AE66" i="350"/>
  <c r="W66" i="350"/>
  <c r="S66" i="350"/>
  <c r="A64" i="350"/>
  <c r="A61" i="350"/>
  <c r="A54" i="350"/>
  <c r="A27" i="350"/>
  <c r="A26" i="350"/>
  <c r="BB23" i="350"/>
  <c r="AX23" i="350"/>
  <c r="AT23" i="350"/>
  <c r="C23" i="350"/>
  <c r="A82" i="351"/>
  <c r="A79" i="351"/>
  <c r="I78" i="351"/>
  <c r="A74" i="351"/>
  <c r="V69" i="351"/>
  <c r="AE67" i="351"/>
  <c r="W67" i="351"/>
  <c r="S67" i="351"/>
  <c r="AE66" i="351"/>
  <c r="W66" i="351"/>
  <c r="S66" i="351"/>
  <c r="A64" i="351"/>
  <c r="A61" i="351"/>
  <c r="A54" i="351"/>
  <c r="A27" i="351"/>
  <c r="A26" i="351"/>
  <c r="BB23" i="351"/>
  <c r="AX23" i="351"/>
  <c r="AT23" i="351"/>
  <c r="C23" i="351"/>
  <c r="A82" i="352"/>
  <c r="A79" i="352"/>
  <c r="I78" i="352"/>
  <c r="A74" i="352"/>
  <c r="V69" i="352"/>
  <c r="AE67" i="352"/>
  <c r="W67" i="352"/>
  <c r="S67" i="352"/>
  <c r="AE66" i="352"/>
  <c r="W66" i="352"/>
  <c r="S66" i="352"/>
  <c r="A64" i="352"/>
  <c r="A61" i="352"/>
  <c r="A54" i="352"/>
  <c r="A27" i="352"/>
  <c r="A26" i="352"/>
  <c r="BB23" i="352"/>
  <c r="AX23" i="352"/>
  <c r="AT23" i="352"/>
  <c r="C23" i="352"/>
  <c r="A82" i="353"/>
  <c r="A79" i="353"/>
  <c r="I78" i="353"/>
  <c r="A74" i="353"/>
  <c r="V69" i="353"/>
  <c r="AE67" i="353"/>
  <c r="W67" i="353"/>
  <c r="S67" i="353"/>
  <c r="AE66" i="353"/>
  <c r="W66" i="353"/>
  <c r="S66" i="353"/>
  <c r="A64" i="353"/>
  <c r="A61" i="353"/>
  <c r="A54" i="353"/>
  <c r="A27" i="353"/>
  <c r="A26" i="353"/>
  <c r="BB23" i="353"/>
  <c r="AX23" i="353"/>
  <c r="AT23" i="353"/>
  <c r="C23" i="353"/>
  <c r="A82" i="354"/>
  <c r="A79" i="354"/>
  <c r="I78" i="354"/>
  <c r="A74" i="354"/>
  <c r="V69" i="354"/>
  <c r="AE67" i="354"/>
  <c r="W67" i="354"/>
  <c r="S67" i="354"/>
  <c r="AE66" i="354"/>
  <c r="W66" i="354"/>
  <c r="S66" i="354"/>
  <c r="A64" i="354"/>
  <c r="A54" i="354"/>
  <c r="A27" i="354"/>
  <c r="A26" i="354"/>
  <c r="BB23" i="354"/>
  <c r="AX23" i="354"/>
  <c r="AT23" i="354"/>
  <c r="C23" i="354"/>
  <c r="A82" i="355"/>
  <c r="A79" i="355"/>
  <c r="I78" i="355"/>
  <c r="A74" i="355"/>
  <c r="V69" i="355"/>
  <c r="AE67" i="355"/>
  <c r="W67" i="355"/>
  <c r="S67" i="355"/>
  <c r="AE66" i="355"/>
  <c r="W66" i="355"/>
  <c r="S66" i="355"/>
  <c r="A64" i="355"/>
  <c r="A54" i="355"/>
  <c r="A27" i="355"/>
  <c r="A26" i="355"/>
  <c r="BB23" i="355"/>
  <c r="AX23" i="355"/>
  <c r="AT23" i="355"/>
  <c r="C23" i="355"/>
  <c r="A82" i="356"/>
  <c r="A79" i="356"/>
  <c r="I78" i="356"/>
  <c r="A74" i="356"/>
  <c r="V69" i="356"/>
  <c r="AE67" i="356"/>
  <c r="W67" i="356"/>
  <c r="S67" i="356"/>
  <c r="AE66" i="356"/>
  <c r="W66" i="356"/>
  <c r="S66" i="356"/>
  <c r="A64" i="356"/>
  <c r="A61" i="356"/>
  <c r="A54" i="356"/>
  <c r="A27" i="356"/>
  <c r="A26" i="356"/>
  <c r="BB23" i="356"/>
  <c r="AX23" i="356"/>
  <c r="AT23" i="356"/>
  <c r="C23" i="356"/>
  <c r="A82" i="357"/>
  <c r="A79" i="357"/>
  <c r="I78" i="357"/>
  <c r="A74" i="357"/>
  <c r="V69" i="357"/>
  <c r="AE67" i="357"/>
  <c r="W67" i="357"/>
  <c r="S67" i="357"/>
  <c r="AE66" i="357"/>
  <c r="W66" i="357"/>
  <c r="S66" i="357"/>
  <c r="A64" i="357"/>
  <c r="A61" i="357"/>
  <c r="A54" i="357"/>
  <c r="A27" i="357"/>
  <c r="A26" i="357"/>
  <c r="BB23" i="357"/>
  <c r="AX23" i="357"/>
  <c r="AT23" i="357"/>
  <c r="C23" i="357"/>
  <c r="A82" i="358"/>
  <c r="A79" i="358"/>
  <c r="I78" i="358"/>
  <c r="A74" i="358"/>
  <c r="V69" i="358"/>
  <c r="AE67" i="358"/>
  <c r="W67" i="358"/>
  <c r="S67" i="358"/>
  <c r="AE66" i="358"/>
  <c r="W66" i="358"/>
  <c r="S66" i="358"/>
  <c r="A64" i="358"/>
  <c r="A61" i="358"/>
  <c r="A54" i="358"/>
  <c r="A27" i="358"/>
  <c r="A26" i="358"/>
  <c r="BB23" i="358"/>
  <c r="AX23" i="358"/>
  <c r="AT23" i="358"/>
  <c r="C23" i="358"/>
  <c r="A82" i="359"/>
  <c r="A79" i="359"/>
  <c r="I78" i="359"/>
  <c r="A74" i="359"/>
  <c r="V69" i="359"/>
  <c r="AE67" i="359"/>
  <c r="W67" i="359"/>
  <c r="S67" i="359"/>
  <c r="AE66" i="359"/>
  <c r="W66" i="359"/>
  <c r="S66" i="359"/>
  <c r="A64" i="359"/>
  <c r="A61" i="359"/>
  <c r="A54" i="359"/>
  <c r="A27" i="359"/>
  <c r="A26" i="359"/>
  <c r="BB23" i="359"/>
  <c r="AX23" i="359"/>
  <c r="AT23" i="359"/>
  <c r="C23" i="359"/>
  <c r="A82" i="360"/>
  <c r="A79" i="360"/>
  <c r="I78" i="360"/>
  <c r="A74" i="360"/>
  <c r="V69" i="360"/>
  <c r="AE67" i="360"/>
  <c r="W67" i="360"/>
  <c r="S67" i="360"/>
  <c r="AE66" i="360"/>
  <c r="W66" i="360"/>
  <c r="S66" i="360"/>
  <c r="A64" i="360"/>
  <c r="A61" i="360"/>
  <c r="A54" i="360"/>
  <c r="A27" i="360"/>
  <c r="A26" i="360"/>
  <c r="BB23" i="360"/>
  <c r="AX23" i="360"/>
  <c r="AT23" i="360"/>
  <c r="C23" i="360"/>
  <c r="A82" i="361"/>
  <c r="A79" i="361"/>
  <c r="I78" i="361"/>
  <c r="A74" i="361"/>
  <c r="V69" i="361"/>
  <c r="AE67" i="361"/>
  <c r="W67" i="361"/>
  <c r="S67" i="361"/>
  <c r="AE66" i="361"/>
  <c r="W66" i="361"/>
  <c r="S66" i="361"/>
  <c r="A64" i="361"/>
  <c r="A61" i="361"/>
  <c r="A54" i="361"/>
  <c r="A27" i="361"/>
  <c r="A26" i="361"/>
  <c r="BB23" i="361"/>
  <c r="AX23" i="361"/>
  <c r="AT23" i="361"/>
  <c r="C23" i="361"/>
  <c r="A82" i="362"/>
  <c r="A79" i="362"/>
  <c r="I78" i="362"/>
  <c r="A74" i="362"/>
  <c r="V69" i="362"/>
  <c r="AE67" i="362"/>
  <c r="W67" i="362"/>
  <c r="S67" i="362"/>
  <c r="AE66" i="362"/>
  <c r="W66" i="362"/>
  <c r="S66" i="362"/>
  <c r="A64" i="362"/>
  <c r="A61" i="362"/>
  <c r="A54" i="362"/>
  <c r="A27" i="362"/>
  <c r="A26" i="362"/>
  <c r="BB23" i="362"/>
  <c r="AX23" i="362"/>
  <c r="AT23" i="362"/>
  <c r="C23" i="362"/>
  <c r="A82" i="334"/>
  <c r="A79" i="334"/>
  <c r="I78" i="334"/>
  <c r="A74" i="334"/>
  <c r="V69" i="334"/>
  <c r="AE67" i="334"/>
  <c r="W67" i="334"/>
  <c r="S67" i="334"/>
  <c r="AE66" i="334"/>
  <c r="W66" i="334"/>
  <c r="S66" i="334"/>
  <c r="A64" i="334"/>
  <c r="A61" i="334"/>
  <c r="A54" i="334"/>
  <c r="A27" i="334"/>
  <c r="A26" i="334"/>
  <c r="BB23" i="334"/>
  <c r="AX23" i="334"/>
  <c r="AT23" i="334"/>
  <c r="C23" i="334"/>
  <c r="A82" i="335"/>
  <c r="A79" i="335"/>
  <c r="I78" i="335"/>
  <c r="A74" i="335"/>
  <c r="V69" i="335"/>
  <c r="AE67" i="335"/>
  <c r="W67" i="335"/>
  <c r="S67" i="335"/>
  <c r="AE66" i="335"/>
  <c r="W66" i="335"/>
  <c r="S66" i="335"/>
  <c r="A64" i="335"/>
  <c r="A61" i="335"/>
  <c r="A54" i="335"/>
  <c r="A27" i="335"/>
  <c r="A26" i="335"/>
  <c r="BB23" i="335"/>
  <c r="AX23" i="335"/>
  <c r="AT23" i="335"/>
  <c r="C23" i="335"/>
  <c r="A82" i="336"/>
  <c r="A79" i="336"/>
  <c r="I78" i="336"/>
  <c r="A74" i="336"/>
  <c r="V69" i="336"/>
  <c r="AE67" i="336"/>
  <c r="W67" i="336"/>
  <c r="S67" i="336"/>
  <c r="AE66" i="336"/>
  <c r="W66" i="336"/>
  <c r="S66" i="336"/>
  <c r="A64" i="336"/>
  <c r="A61" i="336"/>
  <c r="A54" i="336"/>
  <c r="A27" i="336"/>
  <c r="A26" i="336"/>
  <c r="BB23" i="336"/>
  <c r="AX23" i="336"/>
  <c r="AT23" i="336"/>
  <c r="C23" i="336"/>
  <c r="A82" i="337"/>
  <c r="A79" i="337"/>
  <c r="I78" i="337"/>
  <c r="A74" i="337"/>
  <c r="V69" i="337"/>
  <c r="AE67" i="337"/>
  <c r="W67" i="337"/>
  <c r="S67" i="337"/>
  <c r="AE66" i="337"/>
  <c r="W66" i="337"/>
  <c r="S66" i="337"/>
  <c r="A64" i="337"/>
  <c r="A61" i="337"/>
  <c r="A54" i="337"/>
  <c r="A27" i="337"/>
  <c r="A26" i="337"/>
  <c r="BB23" i="337"/>
  <c r="AX23" i="337"/>
  <c r="AT23" i="337"/>
  <c r="C23" i="337"/>
  <c r="A82" i="338"/>
  <c r="A79" i="338"/>
  <c r="I78" i="338"/>
  <c r="A74" i="338"/>
  <c r="V69" i="338"/>
  <c r="AE67" i="338"/>
  <c r="W67" i="338"/>
  <c r="S67" i="338"/>
  <c r="AE66" i="338"/>
  <c r="W66" i="338"/>
  <c r="S66" i="338"/>
  <c r="A64" i="338"/>
  <c r="A61" i="338"/>
  <c r="A54" i="338"/>
  <c r="A27" i="338"/>
  <c r="A26" i="338"/>
  <c r="BB23" i="338"/>
  <c r="AX23" i="338"/>
  <c r="AT23" i="338"/>
  <c r="C23" i="338"/>
  <c r="A82" i="339"/>
  <c r="A79" i="339"/>
  <c r="I78" i="339"/>
  <c r="A74" i="339"/>
  <c r="V69" i="339"/>
  <c r="AE67" i="339"/>
  <c r="W67" i="339"/>
  <c r="S67" i="339"/>
  <c r="AE66" i="339"/>
  <c r="W66" i="339"/>
  <c r="S66" i="339"/>
  <c r="A64" i="339"/>
  <c r="A61" i="339"/>
  <c r="A54" i="339"/>
  <c r="A27" i="339"/>
  <c r="A26" i="339"/>
  <c r="BB23" i="339"/>
  <c r="AX23" i="339"/>
  <c r="AT23" i="339"/>
  <c r="C23" i="339"/>
  <c r="A82" i="340"/>
  <c r="A79" i="340"/>
  <c r="I78" i="340"/>
  <c r="A74" i="340"/>
  <c r="V69" i="340"/>
  <c r="AE67" i="340"/>
  <c r="W67" i="340"/>
  <c r="S67" i="340"/>
  <c r="AE66" i="340"/>
  <c r="W66" i="340"/>
  <c r="S66" i="340"/>
  <c r="A64" i="340"/>
  <c r="A61" i="340"/>
  <c r="A54" i="340"/>
  <c r="A27" i="340"/>
  <c r="A26" i="340"/>
  <c r="BB23" i="340"/>
  <c r="AX23" i="340"/>
  <c r="AT23" i="340"/>
  <c r="C23" i="340"/>
  <c r="A82" i="341"/>
  <c r="A79" i="341"/>
  <c r="I78" i="341"/>
  <c r="A74" i="341"/>
  <c r="V69" i="341"/>
  <c r="AE67" i="341"/>
  <c r="W67" i="341"/>
  <c r="S67" i="341"/>
  <c r="AE66" i="341"/>
  <c r="W66" i="341"/>
  <c r="S66" i="341"/>
  <c r="A64" i="341"/>
  <c r="A61" i="341"/>
  <c r="A54" i="341"/>
  <c r="A27" i="341"/>
  <c r="A26" i="341"/>
  <c r="BB23" i="341"/>
  <c r="AX23" i="341"/>
  <c r="AT23" i="341"/>
  <c r="C23" i="341"/>
  <c r="A82" i="342"/>
  <c r="A79" i="342"/>
  <c r="I78" i="342"/>
  <c r="A74" i="342"/>
  <c r="V69" i="342"/>
  <c r="AE67" i="342"/>
  <c r="W67" i="342"/>
  <c r="S67" i="342"/>
  <c r="AE66" i="342"/>
  <c r="W66" i="342"/>
  <c r="S66" i="342"/>
  <c r="A64" i="342"/>
  <c r="A61" i="342"/>
  <c r="A54" i="342"/>
  <c r="A27" i="342"/>
  <c r="A26" i="342"/>
  <c r="BB23" i="342"/>
  <c r="AX23" i="342"/>
  <c r="AT23" i="342"/>
  <c r="C23" i="342"/>
  <c r="A82" i="343"/>
  <c r="A79" i="343"/>
  <c r="I78" i="343"/>
  <c r="A74" i="343"/>
  <c r="V69" i="343"/>
  <c r="AE67" i="343"/>
  <c r="W67" i="343"/>
  <c r="S67" i="343"/>
  <c r="AE66" i="343"/>
  <c r="W66" i="343"/>
  <c r="S66" i="343"/>
  <c r="A64" i="343"/>
  <c r="A61" i="343"/>
  <c r="A54" i="343"/>
  <c r="A27" i="343"/>
  <c r="A26" i="343"/>
  <c r="BB23" i="343"/>
  <c r="AX23" i="343"/>
  <c r="AT23" i="343"/>
  <c r="C23" i="343"/>
  <c r="A82" i="344"/>
  <c r="A79" i="344"/>
  <c r="I78" i="344"/>
  <c r="A74" i="344"/>
  <c r="V69" i="344"/>
  <c r="AE67" i="344"/>
  <c r="W67" i="344"/>
  <c r="S67" i="344"/>
  <c r="AE66" i="344"/>
  <c r="W66" i="344"/>
  <c r="S66" i="344"/>
  <c r="A64" i="344"/>
  <c r="A61" i="344"/>
  <c r="A54" i="344"/>
  <c r="A27" i="344"/>
  <c r="A26" i="344"/>
  <c r="BB23" i="344"/>
  <c r="AX23" i="344"/>
  <c r="AT23" i="344"/>
  <c r="C23" i="344"/>
  <c r="A82" i="345"/>
  <c r="A79" i="345"/>
  <c r="I78" i="345"/>
  <c r="A74" i="345"/>
  <c r="V69" i="345"/>
  <c r="AE67" i="345"/>
  <c r="W67" i="345"/>
  <c r="S67" i="345"/>
  <c r="AE66" i="345"/>
  <c r="W66" i="345"/>
  <c r="S66" i="345"/>
  <c r="A64" i="345"/>
  <c r="A61" i="345"/>
  <c r="A54" i="345"/>
  <c r="A27" i="345"/>
  <c r="A26" i="345"/>
  <c r="BB23" i="345"/>
  <c r="AX23" i="345"/>
  <c r="AT23" i="345"/>
  <c r="C23" i="345"/>
  <c r="A82" i="346"/>
  <c r="A79" i="346"/>
  <c r="I78" i="346"/>
  <c r="A74" i="346"/>
  <c r="V69" i="346"/>
  <c r="AE67" i="346"/>
  <c r="W67" i="346"/>
  <c r="S67" i="346"/>
  <c r="AE66" i="346"/>
  <c r="W66" i="346"/>
  <c r="S66" i="346"/>
  <c r="A64" i="346"/>
  <c r="A61" i="346"/>
  <c r="A54" i="346"/>
  <c r="A27" i="346"/>
  <c r="A26" i="346"/>
  <c r="BB23" i="346"/>
  <c r="AX23" i="346"/>
  <c r="AT23" i="346"/>
  <c r="C23" i="346"/>
  <c r="A82" i="347"/>
  <c r="A79" i="347"/>
  <c r="I78" i="347"/>
  <c r="A74" i="347"/>
  <c r="V69" i="347"/>
  <c r="AE67" i="347"/>
  <c r="W67" i="347"/>
  <c r="S67" i="347"/>
  <c r="AE66" i="347"/>
  <c r="W66" i="347"/>
  <c r="S66" i="347"/>
  <c r="A64" i="347"/>
  <c r="A61" i="347"/>
  <c r="A54" i="347"/>
  <c r="A27" i="347"/>
  <c r="A26" i="347"/>
  <c r="BB23" i="347"/>
  <c r="AX23" i="347"/>
  <c r="AT23" i="347"/>
  <c r="C23" i="347"/>
  <c r="A82" i="348"/>
  <c r="A79" i="348"/>
  <c r="I78" i="348"/>
  <c r="A74" i="348"/>
  <c r="V69" i="348"/>
  <c r="AE67" i="348"/>
  <c r="W67" i="348"/>
  <c r="S67" i="348"/>
  <c r="AE66" i="348"/>
  <c r="W66" i="348"/>
  <c r="S66" i="348"/>
  <c r="A64" i="348"/>
  <c r="A61" i="348"/>
  <c r="A54" i="348"/>
  <c r="A27" i="348"/>
  <c r="A26" i="348"/>
  <c r="BB23" i="348"/>
  <c r="AX23" i="348"/>
  <c r="AT23" i="348"/>
  <c r="C23" i="348"/>
  <c r="BV425" i="254"/>
  <c r="BU422" i="254"/>
  <c r="BS422" i="254"/>
  <c r="Z422" i="254"/>
  <c r="BQ422" i="254" s="1"/>
  <c r="C422" i="254"/>
  <c r="B422" i="254"/>
  <c r="BV419" i="254"/>
  <c r="BU416" i="254"/>
  <c r="BS416" i="254"/>
  <c r="Z416" i="254"/>
  <c r="BQ416" i="254" s="1"/>
  <c r="C416" i="254"/>
  <c r="B416" i="254"/>
  <c r="BV413" i="254"/>
  <c r="BU410" i="254"/>
  <c r="BS410" i="254"/>
  <c r="Z410" i="254"/>
  <c r="BQ410" i="254" s="1"/>
  <c r="C410" i="254"/>
  <c r="B410" i="254"/>
  <c r="BV407" i="254"/>
  <c r="BU404" i="254"/>
  <c r="BS404" i="254"/>
  <c r="Z404" i="254"/>
  <c r="BQ404" i="254" s="1"/>
  <c r="C404" i="254"/>
  <c r="B404" i="254"/>
  <c r="BV401" i="254"/>
  <c r="BU398" i="254"/>
  <c r="BS398" i="254"/>
  <c r="Z398" i="254"/>
  <c r="BQ398" i="254" s="1"/>
  <c r="C398" i="254"/>
  <c r="B398" i="254"/>
  <c r="BV395" i="254"/>
  <c r="BU392" i="254"/>
  <c r="BS392" i="254"/>
  <c r="Z392" i="254"/>
  <c r="BQ392" i="254" s="1"/>
  <c r="C392" i="254"/>
  <c r="B392" i="254"/>
  <c r="BV389" i="254"/>
  <c r="BU386" i="254"/>
  <c r="BS386" i="254"/>
  <c r="Z386" i="254"/>
  <c r="BQ386" i="254" s="1"/>
  <c r="C386" i="254"/>
  <c r="B386" i="254"/>
  <c r="BV383" i="254"/>
  <c r="BU380" i="254"/>
  <c r="BS380" i="254"/>
  <c r="Z380" i="254"/>
  <c r="BQ380" i="254" s="1"/>
  <c r="C380" i="254"/>
  <c r="B380" i="254"/>
  <c r="BV377" i="254"/>
  <c r="BU374" i="254"/>
  <c r="BS374" i="254"/>
  <c r="Z374" i="254"/>
  <c r="BQ374" i="254" s="1"/>
  <c r="C374" i="254"/>
  <c r="B374" i="254"/>
  <c r="BV371" i="254"/>
  <c r="BU368" i="254"/>
  <c r="BS368" i="254"/>
  <c r="Z368" i="254"/>
  <c r="BQ368" i="254" s="1"/>
  <c r="C368" i="254"/>
  <c r="B368" i="254"/>
  <c r="BV365" i="254"/>
  <c r="BU362" i="254"/>
  <c r="BS362" i="254"/>
  <c r="Z362" i="254"/>
  <c r="BQ362" i="254" s="1"/>
  <c r="C362" i="254"/>
  <c r="B362" i="254"/>
  <c r="BV359" i="254"/>
  <c r="BU356" i="254"/>
  <c r="BS356" i="254"/>
  <c r="Z356" i="254"/>
  <c r="BQ356" i="254" s="1"/>
  <c r="C356" i="254"/>
  <c r="B356" i="254"/>
  <c r="BV353" i="254"/>
  <c r="BU350" i="254"/>
  <c r="BS350" i="254"/>
  <c r="Z350" i="254"/>
  <c r="BQ350" i="254" s="1"/>
  <c r="C350" i="254"/>
  <c r="B350" i="254"/>
  <c r="BV347" i="254"/>
  <c r="BU344" i="254"/>
  <c r="BS344" i="254"/>
  <c r="Z344" i="254"/>
  <c r="BQ344" i="254" s="1"/>
  <c r="C344" i="254"/>
  <c r="B344" i="254"/>
  <c r="BV341" i="254"/>
  <c r="BU338" i="254"/>
  <c r="BS338" i="254"/>
  <c r="Z338" i="254"/>
  <c r="BQ338" i="254" s="1"/>
  <c r="C338" i="254"/>
  <c r="B338" i="254"/>
  <c r="BV335" i="254"/>
  <c r="BU332" i="254"/>
  <c r="BS332" i="254"/>
  <c r="Z332" i="254"/>
  <c r="BQ332" i="254" s="1"/>
  <c r="C332" i="254"/>
  <c r="B332" i="254"/>
  <c r="BV329" i="254"/>
  <c r="BU326" i="254"/>
  <c r="BS326" i="254"/>
  <c r="Z326" i="254"/>
  <c r="BQ326" i="254" s="1"/>
  <c r="C326" i="254"/>
  <c r="B326" i="254"/>
  <c r="BV323" i="254"/>
  <c r="BU320" i="254"/>
  <c r="BS320" i="254"/>
  <c r="Z320" i="254"/>
  <c r="BQ320" i="254" s="1"/>
  <c r="C320" i="254"/>
  <c r="B320" i="254"/>
  <c r="BV317" i="254"/>
  <c r="BU314" i="254"/>
  <c r="BS314" i="254"/>
  <c r="Z314" i="254"/>
  <c r="BQ314" i="254" s="1"/>
  <c r="C314" i="254"/>
  <c r="B314" i="254"/>
  <c r="BV311" i="254"/>
  <c r="BU308" i="254"/>
  <c r="BS308" i="254"/>
  <c r="Z308" i="254"/>
  <c r="BQ308" i="254" s="1"/>
  <c r="C308" i="254"/>
  <c r="B308" i="254"/>
  <c r="BV305" i="254"/>
  <c r="BU302" i="254"/>
  <c r="BS302" i="254"/>
  <c r="Z302" i="254"/>
  <c r="BQ302" i="254" s="1"/>
  <c r="C302" i="254"/>
  <c r="B302" i="254"/>
  <c r="BV299" i="254"/>
  <c r="BU296" i="254"/>
  <c r="BS296" i="254"/>
  <c r="Z296" i="254"/>
  <c r="BQ296" i="254" s="1"/>
  <c r="C296" i="254"/>
  <c r="B296" i="254"/>
  <c r="BV293" i="254"/>
  <c r="BU290" i="254"/>
  <c r="BS290" i="254"/>
  <c r="Z290" i="254"/>
  <c r="BQ290" i="254" s="1"/>
  <c r="C290" i="254"/>
  <c r="B290" i="254"/>
  <c r="BV287" i="254"/>
  <c r="BU284" i="254"/>
  <c r="BS284" i="254"/>
  <c r="Z284" i="254"/>
  <c r="BQ284" i="254" s="1"/>
  <c r="C284" i="254"/>
  <c r="B284" i="254"/>
  <c r="BV281" i="254"/>
  <c r="BU278" i="254"/>
  <c r="BS278" i="254"/>
  <c r="Z278" i="254"/>
  <c r="BQ278" i="254" s="1"/>
  <c r="C278" i="254"/>
  <c r="B278" i="254"/>
  <c r="BV275" i="254"/>
  <c r="BU272" i="254"/>
  <c r="BS272" i="254"/>
  <c r="Z272" i="254"/>
  <c r="BQ272" i="254" s="1"/>
  <c r="C272" i="254"/>
  <c r="B272" i="254"/>
  <c r="BV269" i="254"/>
  <c r="BU266" i="254"/>
  <c r="BS266" i="254"/>
  <c r="Z266" i="254"/>
  <c r="BQ266" i="254" s="1"/>
  <c r="C266" i="254"/>
  <c r="B266" i="254"/>
  <c r="BV263" i="254"/>
  <c r="BU260" i="254"/>
  <c r="BS260" i="254"/>
  <c r="Z260" i="254"/>
  <c r="BQ260" i="254" s="1"/>
  <c r="C260" i="254"/>
  <c r="B260" i="254"/>
  <c r="BV257" i="254"/>
  <c r="BU254" i="254"/>
  <c r="BS254" i="254"/>
  <c r="Z254" i="254"/>
  <c r="BQ254" i="254" s="1"/>
  <c r="C254" i="254"/>
  <c r="B254" i="254"/>
  <c r="BV251" i="254"/>
  <c r="BU248" i="254"/>
  <c r="BS248" i="254"/>
  <c r="Z248" i="254"/>
  <c r="BQ248" i="254" s="1"/>
  <c r="C248" i="254"/>
  <c r="B248" i="254"/>
  <c r="BV245" i="254"/>
  <c r="BU242" i="254"/>
  <c r="BS242" i="254"/>
  <c r="Z242" i="254"/>
  <c r="BQ242" i="254" s="1"/>
  <c r="C242" i="254"/>
  <c r="B242" i="254"/>
  <c r="BV239" i="254"/>
  <c r="BU236" i="254"/>
  <c r="BS236" i="254"/>
  <c r="Z236" i="254"/>
  <c r="BQ236" i="254" s="1"/>
  <c r="C236" i="254"/>
  <c r="B236" i="254"/>
  <c r="BV233" i="254"/>
  <c r="BU230" i="254"/>
  <c r="BS230" i="254"/>
  <c r="Z230" i="254"/>
  <c r="BQ230" i="254" s="1"/>
  <c r="C230" i="254"/>
  <c r="B230" i="254"/>
  <c r="BV227" i="254"/>
  <c r="BU224" i="254"/>
  <c r="BS224" i="254"/>
  <c r="Z224" i="254"/>
  <c r="BQ224" i="254" s="1"/>
  <c r="C224" i="254"/>
  <c r="B224" i="254"/>
  <c r="BV221" i="254"/>
  <c r="BU218" i="254"/>
  <c r="BS218" i="254"/>
  <c r="Z218" i="254"/>
  <c r="BQ218" i="254" s="1"/>
  <c r="C218" i="254"/>
  <c r="B218" i="254"/>
  <c r="BV215" i="254"/>
  <c r="BU212" i="254"/>
  <c r="BS212" i="254"/>
  <c r="Z212" i="254"/>
  <c r="BQ212" i="254" s="1"/>
  <c r="C212" i="254"/>
  <c r="B212" i="254"/>
  <c r="BV209" i="254"/>
  <c r="BU206" i="254"/>
  <c r="BS206" i="254"/>
  <c r="Z206" i="254"/>
  <c r="BQ206" i="254" s="1"/>
  <c r="C206" i="254"/>
  <c r="B206" i="254"/>
  <c r="BV203" i="254"/>
  <c r="BU200" i="254"/>
  <c r="BS200" i="254"/>
  <c r="Z200" i="254"/>
  <c r="BQ200" i="254" s="1"/>
  <c r="C200" i="254"/>
  <c r="B200" i="254"/>
  <c r="BV197" i="254"/>
  <c r="BU194" i="254"/>
  <c r="BS194" i="254"/>
  <c r="Z194" i="254"/>
  <c r="BQ194" i="254" s="1"/>
  <c r="C194" i="254"/>
  <c r="B194" i="254"/>
  <c r="BV191" i="254"/>
  <c r="BU188" i="254"/>
  <c r="BS188" i="254"/>
  <c r="Z188" i="254"/>
  <c r="BQ188" i="254" s="1"/>
  <c r="C188" i="254"/>
  <c r="B188" i="254"/>
  <c r="BV185" i="254"/>
  <c r="BU182" i="254"/>
  <c r="BS182" i="254"/>
  <c r="Z182" i="254"/>
  <c r="BQ182" i="254" s="1"/>
  <c r="C182" i="254"/>
  <c r="B182" i="254"/>
  <c r="BV179" i="254"/>
  <c r="BU176" i="254"/>
  <c r="BS176" i="254"/>
  <c r="Z176" i="254"/>
  <c r="BQ176" i="254" s="1"/>
  <c r="C176" i="254"/>
  <c r="B176" i="254"/>
  <c r="BV173" i="254"/>
  <c r="BU170" i="254"/>
  <c r="BS170" i="254"/>
  <c r="Z170" i="254"/>
  <c r="BQ170" i="254" s="1"/>
  <c r="C170" i="254"/>
  <c r="B170" i="254"/>
  <c r="BV167" i="254"/>
  <c r="BU164" i="254"/>
  <c r="BS164" i="254"/>
  <c r="Z164" i="254"/>
  <c r="BQ164" i="254" s="1"/>
  <c r="C164" i="254"/>
  <c r="B164" i="254"/>
  <c r="BV161" i="254"/>
  <c r="BU158" i="254"/>
  <c r="BS158" i="254"/>
  <c r="Z158" i="254"/>
  <c r="BQ158" i="254" s="1"/>
  <c r="C158" i="254"/>
  <c r="B158" i="254"/>
  <c r="P49" i="117"/>
  <c r="P48" i="117"/>
  <c r="M48" i="117"/>
  <c r="J48" i="117"/>
  <c r="P47" i="117"/>
  <c r="M47" i="117"/>
  <c r="J47" i="117"/>
  <c r="P46" i="117"/>
  <c r="M46" i="117"/>
  <c r="J46" i="117"/>
  <c r="P45" i="117"/>
  <c r="M45" i="117"/>
  <c r="P44" i="117"/>
  <c r="P43" i="117"/>
  <c r="M43" i="117"/>
  <c r="J43" i="117"/>
  <c r="P42" i="117"/>
  <c r="M42" i="117"/>
  <c r="J42" i="117"/>
  <c r="P41" i="117"/>
  <c r="M41" i="117"/>
  <c r="J41" i="117"/>
  <c r="P40" i="117"/>
  <c r="M40" i="117"/>
  <c r="M50" i="117"/>
  <c r="P50" i="117"/>
  <c r="J51" i="117"/>
  <c r="A61" i="354" s="1"/>
  <c r="M51" i="117"/>
  <c r="P51" i="117"/>
  <c r="J52" i="117"/>
  <c r="A61" i="355" s="1"/>
  <c r="M52" i="117"/>
  <c r="M53" i="117"/>
  <c r="J54" i="117"/>
  <c r="M54" i="117"/>
  <c r="J55" i="117"/>
  <c r="M55" i="117"/>
  <c r="P56" i="117"/>
  <c r="J57" i="117"/>
  <c r="M57" i="117"/>
  <c r="P57" i="117"/>
  <c r="J58" i="117"/>
  <c r="M58" i="117"/>
  <c r="J59" i="117"/>
  <c r="M59" i="117"/>
  <c r="P59" i="117"/>
  <c r="P19" i="117"/>
  <c r="P18" i="117"/>
  <c r="M18" i="117"/>
  <c r="J18" i="117"/>
  <c r="P17" i="117"/>
  <c r="M17" i="117"/>
  <c r="J17" i="117"/>
  <c r="P16" i="117"/>
  <c r="M16" i="117"/>
  <c r="J16" i="117"/>
  <c r="P15" i="117"/>
  <c r="M15" i="117"/>
  <c r="P14" i="117"/>
  <c r="P13" i="117"/>
  <c r="M13" i="117"/>
  <c r="J13" i="117"/>
  <c r="P12" i="117"/>
  <c r="M12" i="117"/>
  <c r="J12" i="117"/>
  <c r="P11" i="117"/>
  <c r="M11" i="117"/>
  <c r="J11" i="117"/>
  <c r="P10" i="117"/>
  <c r="M10" i="117"/>
  <c r="P39" i="117"/>
  <c r="P38" i="117"/>
  <c r="M38" i="117"/>
  <c r="J38" i="117"/>
  <c r="P37" i="117"/>
  <c r="M37" i="117"/>
  <c r="J37" i="117"/>
  <c r="P36" i="117"/>
  <c r="M36" i="117"/>
  <c r="J36" i="117"/>
  <c r="P35" i="117"/>
  <c r="M35" i="117"/>
  <c r="P34" i="117"/>
  <c r="P33" i="117"/>
  <c r="M33" i="117"/>
  <c r="J33" i="117"/>
  <c r="P32" i="117"/>
  <c r="M32" i="117"/>
  <c r="J32" i="117"/>
  <c r="P31" i="117"/>
  <c r="M31" i="117"/>
  <c r="J31" i="117"/>
  <c r="P30" i="117"/>
  <c r="M30" i="117"/>
  <c r="P29" i="117"/>
  <c r="P28" i="117"/>
  <c r="M28" i="117"/>
  <c r="J28" i="117"/>
  <c r="P27" i="117"/>
  <c r="M27" i="117"/>
  <c r="J27" i="117"/>
  <c r="P26" i="117"/>
  <c r="M26" i="117"/>
  <c r="J26" i="117"/>
  <c r="P25" i="117"/>
  <c r="M25" i="117"/>
  <c r="M8" i="117"/>
  <c r="J8" i="117"/>
  <c r="M7" i="117"/>
  <c r="J7" i="117"/>
  <c r="M6" i="117"/>
  <c r="J6" i="117"/>
  <c r="M5" i="117"/>
  <c r="J3" i="117"/>
  <c r="N188" i="311"/>
  <c r="B397" i="254" l="1"/>
  <c r="B393" i="254"/>
  <c r="B403" i="254"/>
  <c r="B399" i="254"/>
  <c r="B409" i="254"/>
  <c r="B405" i="254"/>
  <c r="B415" i="254"/>
  <c r="B411" i="254"/>
  <c r="B421" i="254"/>
  <c r="B417" i="254"/>
  <c r="B427" i="254"/>
  <c r="B423" i="254"/>
  <c r="B241" i="254"/>
  <c r="B237" i="254"/>
  <c r="B247" i="254"/>
  <c r="B243" i="254"/>
  <c r="B253" i="254"/>
  <c r="B249" i="254"/>
  <c r="B259" i="254"/>
  <c r="B255" i="254"/>
  <c r="B265" i="254"/>
  <c r="B261" i="254"/>
  <c r="B271" i="254"/>
  <c r="B267" i="254"/>
  <c r="B277" i="254"/>
  <c r="B273" i="254"/>
  <c r="B283" i="254"/>
  <c r="B279" i="254"/>
  <c r="B289" i="254"/>
  <c r="B285" i="254"/>
  <c r="B295" i="254"/>
  <c r="B291" i="254"/>
  <c r="B301" i="254"/>
  <c r="B297" i="254"/>
  <c r="B307" i="254"/>
  <c r="B303" i="254"/>
  <c r="B313" i="254"/>
  <c r="B309" i="254"/>
  <c r="B319" i="254"/>
  <c r="B315" i="254"/>
  <c r="B325" i="254"/>
  <c r="B321" i="254"/>
  <c r="B331" i="254"/>
  <c r="B327" i="254"/>
  <c r="B337" i="254"/>
  <c r="B333" i="254"/>
  <c r="B343" i="254"/>
  <c r="B339" i="254"/>
  <c r="B349" i="254"/>
  <c r="B345" i="254"/>
  <c r="B355" i="254"/>
  <c r="B351" i="254"/>
  <c r="B361" i="254"/>
  <c r="B357" i="254"/>
  <c r="B367" i="254"/>
  <c r="B363" i="254"/>
  <c r="B373" i="254"/>
  <c r="B369" i="254"/>
  <c r="B379" i="254"/>
  <c r="B375" i="254"/>
  <c r="B385" i="254"/>
  <c r="B381" i="254"/>
  <c r="B391" i="254"/>
  <c r="B387" i="254"/>
  <c r="B163" i="254"/>
  <c r="B159" i="254"/>
  <c r="B169" i="254"/>
  <c r="B165" i="254"/>
  <c r="B175" i="254"/>
  <c r="B171" i="254"/>
  <c r="B181" i="254"/>
  <c r="B177" i="254"/>
  <c r="B187" i="254"/>
  <c r="B183" i="254"/>
  <c r="B193" i="254"/>
  <c r="B189" i="254"/>
  <c r="B199" i="254"/>
  <c r="B195" i="254"/>
  <c r="B205" i="254"/>
  <c r="B201" i="254"/>
  <c r="B211" i="254"/>
  <c r="B207" i="254"/>
  <c r="B217" i="254"/>
  <c r="B213" i="254"/>
  <c r="B223" i="254"/>
  <c r="B219" i="254"/>
  <c r="B229" i="254"/>
  <c r="B225" i="254"/>
  <c r="B235" i="254"/>
  <c r="B231" i="254"/>
  <c r="N191" i="311"/>
  <c r="N192" i="311" s="1"/>
  <c r="Z423" i="254" l="1"/>
  <c r="BQ423" i="254" s="1"/>
  <c r="C423" i="254"/>
  <c r="B424" i="254"/>
  <c r="Z427" i="254"/>
  <c r="BQ427" i="254" s="1"/>
  <c r="C427" i="254"/>
  <c r="Z417" i="254"/>
  <c r="BQ417" i="254" s="1"/>
  <c r="C417" i="254"/>
  <c r="B418" i="254"/>
  <c r="Z421" i="254"/>
  <c r="BQ421" i="254" s="1"/>
  <c r="C421" i="254"/>
  <c r="Z411" i="254"/>
  <c r="BQ411" i="254" s="1"/>
  <c r="C411" i="254"/>
  <c r="B412" i="254"/>
  <c r="Z415" i="254"/>
  <c r="BQ415" i="254" s="1"/>
  <c r="C415" i="254"/>
  <c r="Z405" i="254"/>
  <c r="BQ405" i="254" s="1"/>
  <c r="C405" i="254"/>
  <c r="B406" i="254"/>
  <c r="Z409" i="254"/>
  <c r="BQ409" i="254" s="1"/>
  <c r="C409" i="254"/>
  <c r="Z399" i="254"/>
  <c r="BQ399" i="254" s="1"/>
  <c r="C399" i="254"/>
  <c r="B400" i="254"/>
  <c r="Z403" i="254"/>
  <c r="BQ403" i="254" s="1"/>
  <c r="C403" i="254"/>
  <c r="Z393" i="254"/>
  <c r="BQ393" i="254" s="1"/>
  <c r="C393" i="254"/>
  <c r="B394" i="254"/>
  <c r="Z397" i="254"/>
  <c r="BQ397" i="254" s="1"/>
  <c r="C397" i="254"/>
  <c r="Z387" i="254"/>
  <c r="BQ387" i="254" s="1"/>
  <c r="C387" i="254"/>
  <c r="B388" i="254"/>
  <c r="Z391" i="254"/>
  <c r="BQ391" i="254" s="1"/>
  <c r="C391" i="254"/>
  <c r="Z381" i="254"/>
  <c r="BQ381" i="254" s="1"/>
  <c r="C381" i="254"/>
  <c r="B382" i="254"/>
  <c r="Z385" i="254"/>
  <c r="BQ385" i="254" s="1"/>
  <c r="C385" i="254"/>
  <c r="Z375" i="254"/>
  <c r="BQ375" i="254" s="1"/>
  <c r="C375" i="254"/>
  <c r="B376" i="254"/>
  <c r="Z379" i="254"/>
  <c r="BQ379" i="254" s="1"/>
  <c r="C379" i="254"/>
  <c r="Z369" i="254"/>
  <c r="BQ369" i="254" s="1"/>
  <c r="C369" i="254"/>
  <c r="B370" i="254"/>
  <c r="Z373" i="254"/>
  <c r="BQ373" i="254" s="1"/>
  <c r="C373" i="254"/>
  <c r="Z363" i="254"/>
  <c r="BQ363" i="254" s="1"/>
  <c r="C363" i="254"/>
  <c r="B364" i="254"/>
  <c r="Z367" i="254"/>
  <c r="BQ367" i="254" s="1"/>
  <c r="C367" i="254"/>
  <c r="Z357" i="254"/>
  <c r="BQ357" i="254" s="1"/>
  <c r="C357" i="254"/>
  <c r="B358" i="254"/>
  <c r="Z361" i="254"/>
  <c r="BQ361" i="254" s="1"/>
  <c r="C361" i="254"/>
  <c r="Z351" i="254"/>
  <c r="BQ351" i="254" s="1"/>
  <c r="C351" i="254"/>
  <c r="B352" i="254"/>
  <c r="Z355" i="254"/>
  <c r="BQ355" i="254" s="1"/>
  <c r="C355" i="254"/>
  <c r="Z345" i="254"/>
  <c r="BQ345" i="254" s="1"/>
  <c r="C345" i="254"/>
  <c r="B346" i="254"/>
  <c r="Z349" i="254"/>
  <c r="BQ349" i="254" s="1"/>
  <c r="C349" i="254"/>
  <c r="Z339" i="254"/>
  <c r="BQ339" i="254" s="1"/>
  <c r="C339" i="254"/>
  <c r="B340" i="254"/>
  <c r="Z343" i="254"/>
  <c r="BQ343" i="254" s="1"/>
  <c r="C343" i="254"/>
  <c r="Z333" i="254"/>
  <c r="BQ333" i="254" s="1"/>
  <c r="C333" i="254"/>
  <c r="B334" i="254"/>
  <c r="Z337" i="254"/>
  <c r="BQ337" i="254" s="1"/>
  <c r="C337" i="254"/>
  <c r="Z327" i="254"/>
  <c r="BQ327" i="254" s="1"/>
  <c r="C327" i="254"/>
  <c r="B328" i="254"/>
  <c r="Z331" i="254"/>
  <c r="BQ331" i="254" s="1"/>
  <c r="C331" i="254"/>
  <c r="Z321" i="254"/>
  <c r="BQ321" i="254" s="1"/>
  <c r="C321" i="254"/>
  <c r="B322" i="254"/>
  <c r="Z325" i="254"/>
  <c r="BQ325" i="254" s="1"/>
  <c r="C325" i="254"/>
  <c r="Z315" i="254"/>
  <c r="BQ315" i="254" s="1"/>
  <c r="C315" i="254"/>
  <c r="B316" i="254"/>
  <c r="Z319" i="254"/>
  <c r="BQ319" i="254" s="1"/>
  <c r="C319" i="254"/>
  <c r="Z309" i="254"/>
  <c r="BQ309" i="254" s="1"/>
  <c r="C309" i="254"/>
  <c r="B310" i="254"/>
  <c r="Z313" i="254"/>
  <c r="BQ313" i="254" s="1"/>
  <c r="C313" i="254"/>
  <c r="Z303" i="254"/>
  <c r="BQ303" i="254" s="1"/>
  <c r="C303" i="254"/>
  <c r="B304" i="254"/>
  <c r="Z307" i="254"/>
  <c r="BQ307" i="254" s="1"/>
  <c r="C307" i="254"/>
  <c r="Z297" i="254"/>
  <c r="BQ297" i="254" s="1"/>
  <c r="C297" i="254"/>
  <c r="B298" i="254"/>
  <c r="Z301" i="254"/>
  <c r="BQ301" i="254" s="1"/>
  <c r="C301" i="254"/>
  <c r="Z291" i="254"/>
  <c r="BQ291" i="254" s="1"/>
  <c r="C291" i="254"/>
  <c r="B292" i="254"/>
  <c r="Z295" i="254"/>
  <c r="BQ295" i="254" s="1"/>
  <c r="C295" i="254"/>
  <c r="Z285" i="254"/>
  <c r="BQ285" i="254" s="1"/>
  <c r="C285" i="254"/>
  <c r="B286" i="254"/>
  <c r="Z289" i="254"/>
  <c r="BQ289" i="254" s="1"/>
  <c r="C289" i="254"/>
  <c r="Z279" i="254"/>
  <c r="BQ279" i="254" s="1"/>
  <c r="C279" i="254"/>
  <c r="B280" i="254"/>
  <c r="Z283" i="254"/>
  <c r="BQ283" i="254" s="1"/>
  <c r="C283" i="254"/>
  <c r="Z273" i="254"/>
  <c r="BQ273" i="254" s="1"/>
  <c r="C273" i="254"/>
  <c r="B274" i="254"/>
  <c r="Z277" i="254"/>
  <c r="BQ277" i="254" s="1"/>
  <c r="C277" i="254"/>
  <c r="Z267" i="254"/>
  <c r="BQ267" i="254" s="1"/>
  <c r="C267" i="254"/>
  <c r="B268" i="254"/>
  <c r="Z271" i="254"/>
  <c r="BQ271" i="254" s="1"/>
  <c r="C271" i="254"/>
  <c r="Z261" i="254"/>
  <c r="BQ261" i="254" s="1"/>
  <c r="C261" i="254"/>
  <c r="B262" i="254"/>
  <c r="Z265" i="254"/>
  <c r="BQ265" i="254" s="1"/>
  <c r="C265" i="254"/>
  <c r="Z255" i="254"/>
  <c r="BQ255" i="254" s="1"/>
  <c r="C255" i="254"/>
  <c r="B256" i="254"/>
  <c r="Z259" i="254"/>
  <c r="BQ259" i="254" s="1"/>
  <c r="C259" i="254"/>
  <c r="Z249" i="254"/>
  <c r="BQ249" i="254" s="1"/>
  <c r="C249" i="254"/>
  <c r="B250" i="254"/>
  <c r="Z253" i="254"/>
  <c r="BQ253" i="254" s="1"/>
  <c r="C253" i="254"/>
  <c r="Z243" i="254"/>
  <c r="BQ243" i="254" s="1"/>
  <c r="C243" i="254"/>
  <c r="B244" i="254"/>
  <c r="Z247" i="254"/>
  <c r="BQ247" i="254" s="1"/>
  <c r="C247" i="254"/>
  <c r="Z237" i="254"/>
  <c r="BQ237" i="254" s="1"/>
  <c r="C237" i="254"/>
  <c r="B238" i="254"/>
  <c r="Z241" i="254"/>
  <c r="BQ241" i="254" s="1"/>
  <c r="C241" i="254"/>
  <c r="Z231" i="254"/>
  <c r="BQ231" i="254" s="1"/>
  <c r="C231" i="254"/>
  <c r="B232" i="254"/>
  <c r="Z235" i="254"/>
  <c r="BQ235" i="254" s="1"/>
  <c r="C235" i="254"/>
  <c r="Z225" i="254"/>
  <c r="BQ225" i="254" s="1"/>
  <c r="C225" i="254"/>
  <c r="B226" i="254"/>
  <c r="Z229" i="254"/>
  <c r="BQ229" i="254" s="1"/>
  <c r="C229" i="254"/>
  <c r="Z219" i="254"/>
  <c r="BQ219" i="254" s="1"/>
  <c r="C219" i="254"/>
  <c r="B220" i="254"/>
  <c r="Z223" i="254"/>
  <c r="BQ223" i="254" s="1"/>
  <c r="C223" i="254"/>
  <c r="Z213" i="254"/>
  <c r="BQ213" i="254" s="1"/>
  <c r="C213" i="254"/>
  <c r="B214" i="254"/>
  <c r="Z217" i="254"/>
  <c r="BQ217" i="254" s="1"/>
  <c r="C217" i="254"/>
  <c r="Z207" i="254"/>
  <c r="BQ207" i="254" s="1"/>
  <c r="C207" i="254"/>
  <c r="B208" i="254"/>
  <c r="Z211" i="254"/>
  <c r="BQ211" i="254" s="1"/>
  <c r="C211" i="254"/>
  <c r="Z201" i="254"/>
  <c r="BQ201" i="254" s="1"/>
  <c r="C201" i="254"/>
  <c r="B202" i="254"/>
  <c r="Z205" i="254"/>
  <c r="BQ205" i="254" s="1"/>
  <c r="C205" i="254"/>
  <c r="Z195" i="254"/>
  <c r="BQ195" i="254" s="1"/>
  <c r="C195" i="254"/>
  <c r="B196" i="254"/>
  <c r="Z199" i="254"/>
  <c r="BQ199" i="254" s="1"/>
  <c r="C199" i="254"/>
  <c r="Z189" i="254"/>
  <c r="BQ189" i="254" s="1"/>
  <c r="C189" i="254"/>
  <c r="B190" i="254"/>
  <c r="Z193" i="254"/>
  <c r="BQ193" i="254" s="1"/>
  <c r="C193" i="254"/>
  <c r="Z183" i="254"/>
  <c r="BQ183" i="254" s="1"/>
  <c r="C183" i="254"/>
  <c r="B184" i="254"/>
  <c r="Z187" i="254"/>
  <c r="BQ187" i="254" s="1"/>
  <c r="C187" i="254"/>
  <c r="Z177" i="254"/>
  <c r="BQ177" i="254" s="1"/>
  <c r="C177" i="254"/>
  <c r="B178" i="254"/>
  <c r="Z181" i="254"/>
  <c r="BQ181" i="254" s="1"/>
  <c r="C181" i="254"/>
  <c r="Z171" i="254"/>
  <c r="BQ171" i="254" s="1"/>
  <c r="C171" i="254"/>
  <c r="B172" i="254"/>
  <c r="Z175" i="254"/>
  <c r="BQ175" i="254" s="1"/>
  <c r="C175" i="254"/>
  <c r="Z165" i="254"/>
  <c r="BQ165" i="254" s="1"/>
  <c r="C165" i="254"/>
  <c r="B166" i="254"/>
  <c r="Z169" i="254"/>
  <c r="BQ169" i="254" s="1"/>
  <c r="C169" i="254"/>
  <c r="Z159" i="254"/>
  <c r="BQ159" i="254" s="1"/>
  <c r="C159" i="254"/>
  <c r="B160" i="254"/>
  <c r="Z163" i="254"/>
  <c r="BQ163" i="254" s="1"/>
  <c r="C163" i="254"/>
  <c r="R231" i="308"/>
  <c r="N131" i="311"/>
  <c r="M103" i="311"/>
  <c r="N94" i="311"/>
  <c r="J219" i="311"/>
  <c r="D219" i="311"/>
  <c r="J215" i="311"/>
  <c r="D215" i="311"/>
  <c r="K209" i="311"/>
  <c r="K210" i="311" s="1"/>
  <c r="J209" i="311"/>
  <c r="D209" i="311"/>
  <c r="E11" i="311"/>
  <c r="E9" i="311"/>
  <c r="Q9" i="311" s="1"/>
  <c r="E7" i="311"/>
  <c r="Q7" i="311" s="1"/>
  <c r="A7" i="311"/>
  <c r="I4" i="311"/>
  <c r="J99" i="310"/>
  <c r="D99" i="310"/>
  <c r="J97" i="310"/>
  <c r="D97" i="310"/>
  <c r="J94" i="310"/>
  <c r="D94" i="310"/>
  <c r="J92" i="310"/>
  <c r="D92" i="310"/>
  <c r="K86" i="310"/>
  <c r="J86" i="310"/>
  <c r="D86" i="310"/>
  <c r="E11" i="310"/>
  <c r="E9" i="310"/>
  <c r="E7" i="310"/>
  <c r="A7" i="310"/>
  <c r="I4" i="310"/>
  <c r="J217" i="311"/>
  <c r="D217" i="311"/>
  <c r="K213" i="311"/>
  <c r="K214" i="311" s="1"/>
  <c r="J213" i="311"/>
  <c r="D213" i="311"/>
  <c r="K211" i="311"/>
  <c r="K212" i="311" s="1"/>
  <c r="J211" i="311"/>
  <c r="D211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0" i="310"/>
  <c r="K91" i="310" s="1"/>
  <c r="J90" i="310"/>
  <c r="D90" i="310"/>
  <c r="K88" i="310"/>
  <c r="K89" i="310" s="1"/>
  <c r="J88" i="310"/>
  <c r="D88" i="310"/>
  <c r="K87" i="310"/>
  <c r="K70" i="310"/>
  <c r="K71" i="310" s="1"/>
  <c r="L65" i="310"/>
  <c r="L66" i="310" s="1"/>
  <c r="L67" i="310" s="1"/>
  <c r="L69" i="310" s="1"/>
  <c r="K65" i="310"/>
  <c r="K66" i="310" s="1"/>
  <c r="A65" i="310"/>
  <c r="A64" i="310"/>
  <c r="L63" i="310"/>
  <c r="L62" i="310"/>
  <c r="K62" i="310"/>
  <c r="K63" i="310" s="1"/>
  <c r="A61" i="310"/>
  <c r="L60" i="310"/>
  <c r="K59" i="310"/>
  <c r="K60" i="310" s="1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L34" i="310"/>
  <c r="L35" i="310" s="1"/>
  <c r="L36" i="310" s="1"/>
  <c r="I34" i="310"/>
  <c r="L33" i="310"/>
  <c r="K33" i="310"/>
  <c r="K34" i="310" s="1"/>
  <c r="K35" i="310" s="1"/>
  <c r="I33" i="310"/>
  <c r="A33" i="310"/>
  <c r="A32" i="310"/>
  <c r="I31" i="310"/>
  <c r="I30" i="310"/>
  <c r="I29" i="310"/>
  <c r="L28" i="310"/>
  <c r="L29" i="310" s="1"/>
  <c r="L30" i="310" s="1"/>
  <c r="L31" i="310" s="1"/>
  <c r="K28" i="310"/>
  <c r="A28" i="310" s="1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Q9" i="310"/>
  <c r="Q7" i="310"/>
  <c r="BQ438" i="254"/>
  <c r="BQ437" i="254"/>
  <c r="BQ436" i="254"/>
  <c r="BQ435" i="254"/>
  <c r="BQ434" i="254"/>
  <c r="BQ433" i="254"/>
  <c r="BQ432" i="254"/>
  <c r="BQ430" i="254"/>
  <c r="BV155" i="254"/>
  <c r="BU152" i="254"/>
  <c r="BV149" i="254"/>
  <c r="BU146" i="254"/>
  <c r="BV143" i="254"/>
  <c r="BU140" i="254"/>
  <c r="BV137" i="254"/>
  <c r="BU134" i="254"/>
  <c r="BS146" i="254"/>
  <c r="BS140" i="254"/>
  <c r="BS152" i="254"/>
  <c r="BS134" i="254"/>
  <c r="Z394" i="254" l="1"/>
  <c r="BQ394" i="254" s="1"/>
  <c r="C394" i="254"/>
  <c r="B395" i="254"/>
  <c r="Z400" i="254"/>
  <c r="BQ400" i="254" s="1"/>
  <c r="C400" i="254"/>
  <c r="B401" i="254"/>
  <c r="Z406" i="254"/>
  <c r="BQ406" i="254" s="1"/>
  <c r="C406" i="254"/>
  <c r="B407" i="254"/>
  <c r="Z412" i="254"/>
  <c r="BQ412" i="254" s="1"/>
  <c r="C412" i="254"/>
  <c r="B413" i="254"/>
  <c r="Z418" i="254"/>
  <c r="BQ418" i="254" s="1"/>
  <c r="C418" i="254"/>
  <c r="B419" i="254"/>
  <c r="Z424" i="254"/>
  <c r="BQ424" i="254" s="1"/>
  <c r="C424" i="254"/>
  <c r="B425" i="254"/>
  <c r="Z238" i="254"/>
  <c r="BQ238" i="254" s="1"/>
  <c r="C238" i="254"/>
  <c r="B239" i="254"/>
  <c r="Z244" i="254"/>
  <c r="BQ244" i="254" s="1"/>
  <c r="C244" i="254"/>
  <c r="B245" i="254"/>
  <c r="Z250" i="254"/>
  <c r="BQ250" i="254" s="1"/>
  <c r="C250" i="254"/>
  <c r="B251" i="254"/>
  <c r="Z256" i="254"/>
  <c r="BQ256" i="254" s="1"/>
  <c r="C256" i="254"/>
  <c r="B257" i="254"/>
  <c r="Z262" i="254"/>
  <c r="BQ262" i="254" s="1"/>
  <c r="C262" i="254"/>
  <c r="B263" i="254"/>
  <c r="Z268" i="254"/>
  <c r="BQ268" i="254" s="1"/>
  <c r="C268" i="254"/>
  <c r="B269" i="254"/>
  <c r="Z274" i="254"/>
  <c r="BQ274" i="254" s="1"/>
  <c r="C274" i="254"/>
  <c r="B275" i="254"/>
  <c r="Z280" i="254"/>
  <c r="BQ280" i="254" s="1"/>
  <c r="C280" i="254"/>
  <c r="B281" i="254"/>
  <c r="Z286" i="254"/>
  <c r="BQ286" i="254" s="1"/>
  <c r="C286" i="254"/>
  <c r="B287" i="254"/>
  <c r="Z292" i="254"/>
  <c r="BQ292" i="254" s="1"/>
  <c r="C292" i="254"/>
  <c r="B293" i="254"/>
  <c r="Z298" i="254"/>
  <c r="BQ298" i="254" s="1"/>
  <c r="C298" i="254"/>
  <c r="B299" i="254"/>
  <c r="Z304" i="254"/>
  <c r="BQ304" i="254" s="1"/>
  <c r="C304" i="254"/>
  <c r="B305" i="254"/>
  <c r="Z310" i="254"/>
  <c r="BQ310" i="254" s="1"/>
  <c r="C310" i="254"/>
  <c r="B311" i="254"/>
  <c r="Z316" i="254"/>
  <c r="BQ316" i="254" s="1"/>
  <c r="C316" i="254"/>
  <c r="B317" i="254"/>
  <c r="Z322" i="254"/>
  <c r="BQ322" i="254" s="1"/>
  <c r="C322" i="254"/>
  <c r="B323" i="254"/>
  <c r="Z328" i="254"/>
  <c r="BQ328" i="254" s="1"/>
  <c r="C328" i="254"/>
  <c r="B329" i="254"/>
  <c r="Z334" i="254"/>
  <c r="BQ334" i="254" s="1"/>
  <c r="C334" i="254"/>
  <c r="B335" i="254"/>
  <c r="Z340" i="254"/>
  <c r="BQ340" i="254" s="1"/>
  <c r="C340" i="254"/>
  <c r="B341" i="254"/>
  <c r="Z346" i="254"/>
  <c r="BQ346" i="254" s="1"/>
  <c r="C346" i="254"/>
  <c r="B347" i="254"/>
  <c r="Z352" i="254"/>
  <c r="BQ352" i="254" s="1"/>
  <c r="C352" i="254"/>
  <c r="B353" i="254"/>
  <c r="Z358" i="254"/>
  <c r="BQ358" i="254" s="1"/>
  <c r="C358" i="254"/>
  <c r="B359" i="254"/>
  <c r="Z364" i="254"/>
  <c r="BQ364" i="254" s="1"/>
  <c r="C364" i="254"/>
  <c r="B365" i="254"/>
  <c r="Z370" i="254"/>
  <c r="BQ370" i="254" s="1"/>
  <c r="C370" i="254"/>
  <c r="B371" i="254"/>
  <c r="Z376" i="254"/>
  <c r="BQ376" i="254" s="1"/>
  <c r="C376" i="254"/>
  <c r="B377" i="254"/>
  <c r="Z382" i="254"/>
  <c r="BQ382" i="254" s="1"/>
  <c r="C382" i="254"/>
  <c r="B383" i="254"/>
  <c r="Z388" i="254"/>
  <c r="BQ388" i="254" s="1"/>
  <c r="C388" i="254"/>
  <c r="B389" i="254"/>
  <c r="Z160" i="254"/>
  <c r="BQ160" i="254" s="1"/>
  <c r="C160" i="254"/>
  <c r="B161" i="254"/>
  <c r="Z166" i="254"/>
  <c r="BQ166" i="254" s="1"/>
  <c r="C166" i="254"/>
  <c r="B167" i="254"/>
  <c r="Z172" i="254"/>
  <c r="BQ172" i="254" s="1"/>
  <c r="C172" i="254"/>
  <c r="B173" i="254"/>
  <c r="Z178" i="254"/>
  <c r="BQ178" i="254" s="1"/>
  <c r="C178" i="254"/>
  <c r="B179" i="254"/>
  <c r="Z184" i="254"/>
  <c r="BQ184" i="254" s="1"/>
  <c r="C184" i="254"/>
  <c r="B185" i="254"/>
  <c r="Z190" i="254"/>
  <c r="BQ190" i="254" s="1"/>
  <c r="C190" i="254"/>
  <c r="B191" i="254"/>
  <c r="Z196" i="254"/>
  <c r="BQ196" i="254" s="1"/>
  <c r="C196" i="254"/>
  <c r="B197" i="254"/>
  <c r="Z202" i="254"/>
  <c r="BQ202" i="254" s="1"/>
  <c r="C202" i="254"/>
  <c r="B203" i="254"/>
  <c r="Z208" i="254"/>
  <c r="BQ208" i="254" s="1"/>
  <c r="C208" i="254"/>
  <c r="B209" i="254"/>
  <c r="Z214" i="254"/>
  <c r="BQ214" i="254" s="1"/>
  <c r="C214" i="254"/>
  <c r="B215" i="254"/>
  <c r="Z220" i="254"/>
  <c r="BQ220" i="254" s="1"/>
  <c r="C220" i="254"/>
  <c r="B221" i="254"/>
  <c r="Z226" i="254"/>
  <c r="BQ226" i="254" s="1"/>
  <c r="C226" i="254"/>
  <c r="B227" i="254"/>
  <c r="Z232" i="254"/>
  <c r="BQ232" i="254" s="1"/>
  <c r="C232" i="254"/>
  <c r="B233" i="254"/>
  <c r="A62" i="310"/>
  <c r="K29" i="310"/>
  <c r="K30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2" i="311" s="1"/>
  <c r="L44" i="311" s="1"/>
  <c r="L45" i="311" s="1"/>
  <c r="L46" i="311" s="1"/>
  <c r="L47" i="311" s="1"/>
  <c r="L48" i="311" s="1"/>
  <c r="L49" i="311" s="1"/>
  <c r="L50" i="311" s="1"/>
  <c r="L51" i="311" s="1"/>
  <c r="L53" i="311" s="1"/>
  <c r="L54" i="311" s="1"/>
  <c r="L55" i="311" s="1"/>
  <c r="L56" i="311" s="1"/>
  <c r="L57" i="311" s="1"/>
  <c r="L58" i="311" s="1"/>
  <c r="L59" i="311" s="1"/>
  <c r="L60" i="311" s="1"/>
  <c r="L62" i="311" s="1"/>
  <c r="L63" i="311" s="1"/>
  <c r="L64" i="311" s="1"/>
  <c r="L65" i="311" s="1"/>
  <c r="L66" i="311" s="1"/>
  <c r="L67" i="311" s="1"/>
  <c r="L68" i="311" s="1"/>
  <c r="L69" i="311" s="1"/>
  <c r="L71" i="311" s="1"/>
  <c r="L72" i="311" s="1"/>
  <c r="L73" i="311" s="1"/>
  <c r="L74" i="311" s="1"/>
  <c r="L75" i="311" s="1"/>
  <c r="L76" i="311" s="1"/>
  <c r="L77" i="311" s="1"/>
  <c r="L78" i="311" s="1"/>
  <c r="L80" i="311" s="1"/>
  <c r="L81" i="311" s="1"/>
  <c r="L82" i="311" s="1"/>
  <c r="L83" i="311" s="1"/>
  <c r="L84" i="311" s="1"/>
  <c r="L85" i="311" s="1"/>
  <c r="L86" i="311" s="1"/>
  <c r="L87" i="311" s="1"/>
  <c r="A17" i="311"/>
  <c r="A99" i="311"/>
  <c r="A90" i="311"/>
  <c r="K36" i="310"/>
  <c r="A36" i="310" s="1"/>
  <c r="A35" i="310"/>
  <c r="K45" i="310"/>
  <c r="A44" i="310"/>
  <c r="A19" i="310"/>
  <c r="K20" i="310"/>
  <c r="K31" i="310"/>
  <c r="A31" i="310" s="1"/>
  <c r="A30" i="310"/>
  <c r="K50" i="310"/>
  <c r="A49" i="310"/>
  <c r="K25" i="310"/>
  <c r="A24" i="310"/>
  <c r="A54" i="310"/>
  <c r="K55" i="310"/>
  <c r="A69" i="310"/>
  <c r="L70" i="310"/>
  <c r="A66" i="310"/>
  <c r="K67" i="310"/>
  <c r="K40" i="310"/>
  <c r="A39" i="310"/>
  <c r="A23" i="310"/>
  <c r="A53" i="310"/>
  <c r="K72" i="310"/>
  <c r="A18" i="310"/>
  <c r="A48" i="310"/>
  <c r="A34" i="310"/>
  <c r="A43" i="310"/>
  <c r="A29" i="310"/>
  <c r="A38" i="310"/>
  <c r="L112" i="311"/>
  <c r="L113" i="311" s="1"/>
  <c r="L114" i="311" s="1"/>
  <c r="L115" i="311" s="1"/>
  <c r="L116" i="311" s="1"/>
  <c r="L117" i="311" s="1"/>
  <c r="L118" i="311" s="1"/>
  <c r="L119" i="311" s="1"/>
  <c r="L120" i="311" s="1"/>
  <c r="L121" i="311" s="1"/>
  <c r="L122" i="311" s="1"/>
  <c r="L123" i="311" s="1"/>
  <c r="L124" i="311" s="1"/>
  <c r="L125" i="311" s="1"/>
  <c r="L126" i="311" s="1"/>
  <c r="L127" i="311" s="1"/>
  <c r="L128" i="311" s="1"/>
  <c r="L129" i="311" s="1"/>
  <c r="L130" i="311" s="1"/>
  <c r="L131" i="311" s="1"/>
  <c r="L132" i="311" s="1"/>
  <c r="L133" i="311" s="1"/>
  <c r="L134" i="311" s="1"/>
  <c r="L135" i="311" s="1"/>
  <c r="L137" i="311" s="1"/>
  <c r="L138" i="311" s="1"/>
  <c r="L139" i="311" s="1"/>
  <c r="L140" i="311" s="1"/>
  <c r="L141" i="311"/>
  <c r="L142" i="311" s="1"/>
  <c r="L143" i="311" s="1"/>
  <c r="L144" i="311" s="1"/>
  <c r="L145" i="311" s="1"/>
  <c r="L146" i="311" s="1"/>
  <c r="L147" i="311" s="1"/>
  <c r="L148" i="311" s="1"/>
  <c r="L149" i="311" s="1"/>
  <c r="L150" i="311" s="1"/>
  <c r="L151" i="311" s="1"/>
  <c r="L152" i="311" s="1"/>
  <c r="L153" i="311" s="1"/>
  <c r="L154" i="311" s="1"/>
  <c r="L155" i="311" s="1"/>
  <c r="L156" i="311" s="1"/>
  <c r="L157" i="311" s="1"/>
  <c r="L158" i="311" s="1"/>
  <c r="L159" i="311" s="1"/>
  <c r="L160" i="311" s="1"/>
  <c r="L161" i="311" s="1"/>
  <c r="L162" i="311" s="1"/>
  <c r="L163" i="311" s="1"/>
  <c r="L164" i="311" s="1"/>
  <c r="L166" i="311" s="1"/>
  <c r="L167" i="311" s="1"/>
  <c r="L97" i="311"/>
  <c r="A91" i="311"/>
  <c r="K92" i="311"/>
  <c r="K21" i="311"/>
  <c r="A100" i="311"/>
  <c r="K101" i="311"/>
  <c r="B153" i="254"/>
  <c r="B154" i="254" s="1"/>
  <c r="C152" i="254"/>
  <c r="B152" i="254"/>
  <c r="B157" i="254"/>
  <c r="Z152" i="254"/>
  <c r="BQ152" i="254" s="1"/>
  <c r="B141" i="254"/>
  <c r="B142" i="254" s="1"/>
  <c r="C140" i="254"/>
  <c r="B140" i="254"/>
  <c r="Z140" i="254"/>
  <c r="BQ140" i="254" s="1"/>
  <c r="B145" i="254"/>
  <c r="B139" i="254"/>
  <c r="C134" i="254"/>
  <c r="Z134" i="254"/>
  <c r="BQ134" i="254" s="1"/>
  <c r="B135" i="254"/>
  <c r="B136" i="254" s="1"/>
  <c r="B134" i="254"/>
  <c r="B151" i="254"/>
  <c r="Z146" i="254"/>
  <c r="BQ146" i="254" s="1"/>
  <c r="B147" i="254"/>
  <c r="B148" i="254" s="1"/>
  <c r="C146" i="254"/>
  <c r="B146" i="254"/>
  <c r="Z425" i="254" l="1"/>
  <c r="BQ425" i="254" s="1"/>
  <c r="C425" i="254"/>
  <c r="B426" i="254"/>
  <c r="Z419" i="254"/>
  <c r="BQ419" i="254" s="1"/>
  <c r="C419" i="254"/>
  <c r="B420" i="254"/>
  <c r="Z413" i="254"/>
  <c r="BQ413" i="254" s="1"/>
  <c r="C413" i="254"/>
  <c r="B414" i="254"/>
  <c r="Z407" i="254"/>
  <c r="BQ407" i="254" s="1"/>
  <c r="C407" i="254"/>
  <c r="B408" i="254"/>
  <c r="Z401" i="254"/>
  <c r="BQ401" i="254" s="1"/>
  <c r="C401" i="254"/>
  <c r="B402" i="254"/>
  <c r="Z395" i="254"/>
  <c r="BQ395" i="254" s="1"/>
  <c r="C395" i="254"/>
  <c r="B396" i="254"/>
  <c r="Z389" i="254"/>
  <c r="BQ389" i="254" s="1"/>
  <c r="C389" i="254"/>
  <c r="B390" i="254"/>
  <c r="Z383" i="254"/>
  <c r="BQ383" i="254" s="1"/>
  <c r="C383" i="254"/>
  <c r="B384" i="254"/>
  <c r="Z377" i="254"/>
  <c r="BQ377" i="254" s="1"/>
  <c r="C377" i="254"/>
  <c r="B378" i="254"/>
  <c r="Z371" i="254"/>
  <c r="BQ371" i="254" s="1"/>
  <c r="C371" i="254"/>
  <c r="B372" i="254"/>
  <c r="Z365" i="254"/>
  <c r="BQ365" i="254" s="1"/>
  <c r="C365" i="254"/>
  <c r="B366" i="254"/>
  <c r="Z359" i="254"/>
  <c r="BQ359" i="254" s="1"/>
  <c r="C359" i="254"/>
  <c r="B360" i="254"/>
  <c r="Z353" i="254"/>
  <c r="BQ353" i="254" s="1"/>
  <c r="C353" i="254"/>
  <c r="B354" i="254"/>
  <c r="Z347" i="254"/>
  <c r="BQ347" i="254" s="1"/>
  <c r="C347" i="254"/>
  <c r="B348" i="254"/>
  <c r="Z341" i="254"/>
  <c r="BQ341" i="254" s="1"/>
  <c r="C341" i="254"/>
  <c r="B342" i="254"/>
  <c r="Z335" i="254"/>
  <c r="BQ335" i="254" s="1"/>
  <c r="C335" i="254"/>
  <c r="B336" i="254"/>
  <c r="Z329" i="254"/>
  <c r="BQ329" i="254" s="1"/>
  <c r="C329" i="254"/>
  <c r="B330" i="254"/>
  <c r="Z323" i="254"/>
  <c r="BQ323" i="254" s="1"/>
  <c r="C323" i="254"/>
  <c r="B324" i="254"/>
  <c r="Z317" i="254"/>
  <c r="BQ317" i="254" s="1"/>
  <c r="C317" i="254"/>
  <c r="B318" i="254"/>
  <c r="Z311" i="254"/>
  <c r="BQ311" i="254" s="1"/>
  <c r="C311" i="254"/>
  <c r="B312" i="254"/>
  <c r="Z305" i="254"/>
  <c r="BQ305" i="254" s="1"/>
  <c r="C305" i="254"/>
  <c r="B306" i="254"/>
  <c r="Z299" i="254"/>
  <c r="BQ299" i="254" s="1"/>
  <c r="C299" i="254"/>
  <c r="B300" i="254"/>
  <c r="Z293" i="254"/>
  <c r="BQ293" i="254" s="1"/>
  <c r="C293" i="254"/>
  <c r="B294" i="254"/>
  <c r="Z287" i="254"/>
  <c r="BQ287" i="254" s="1"/>
  <c r="C287" i="254"/>
  <c r="B288" i="254"/>
  <c r="Z281" i="254"/>
  <c r="BQ281" i="254" s="1"/>
  <c r="C281" i="254"/>
  <c r="B282" i="254"/>
  <c r="Z275" i="254"/>
  <c r="BQ275" i="254" s="1"/>
  <c r="C275" i="254"/>
  <c r="B276" i="254"/>
  <c r="Z269" i="254"/>
  <c r="BQ269" i="254" s="1"/>
  <c r="C269" i="254"/>
  <c r="B270" i="254"/>
  <c r="Z263" i="254"/>
  <c r="BQ263" i="254" s="1"/>
  <c r="C263" i="254"/>
  <c r="B264" i="254"/>
  <c r="Z257" i="254"/>
  <c r="BQ257" i="254" s="1"/>
  <c r="C257" i="254"/>
  <c r="B258" i="254"/>
  <c r="Z251" i="254"/>
  <c r="BQ251" i="254" s="1"/>
  <c r="C251" i="254"/>
  <c r="B252" i="254"/>
  <c r="Z245" i="254"/>
  <c r="BQ245" i="254" s="1"/>
  <c r="C245" i="254"/>
  <c r="B246" i="254"/>
  <c r="Z239" i="254"/>
  <c r="BQ239" i="254" s="1"/>
  <c r="C239" i="254"/>
  <c r="B240" i="254"/>
  <c r="Z233" i="254"/>
  <c r="BQ233" i="254" s="1"/>
  <c r="C233" i="254"/>
  <c r="B234" i="254"/>
  <c r="Z227" i="254"/>
  <c r="BQ227" i="254" s="1"/>
  <c r="C227" i="254"/>
  <c r="B228" i="254"/>
  <c r="Z221" i="254"/>
  <c r="BQ221" i="254" s="1"/>
  <c r="C221" i="254"/>
  <c r="B222" i="254"/>
  <c r="Z215" i="254"/>
  <c r="BQ215" i="254" s="1"/>
  <c r="C215" i="254"/>
  <c r="B216" i="254"/>
  <c r="Z209" i="254"/>
  <c r="BQ209" i="254" s="1"/>
  <c r="C209" i="254"/>
  <c r="B210" i="254"/>
  <c r="Z203" i="254"/>
  <c r="BQ203" i="254" s="1"/>
  <c r="C203" i="254"/>
  <c r="B204" i="254"/>
  <c r="Z197" i="254"/>
  <c r="BQ197" i="254" s="1"/>
  <c r="C197" i="254"/>
  <c r="B198" i="254"/>
  <c r="Z191" i="254"/>
  <c r="BQ191" i="254" s="1"/>
  <c r="C191" i="254"/>
  <c r="B192" i="254"/>
  <c r="Z185" i="254"/>
  <c r="BQ185" i="254" s="1"/>
  <c r="C185" i="254"/>
  <c r="B186" i="254"/>
  <c r="Z179" i="254"/>
  <c r="BQ179" i="254" s="1"/>
  <c r="C179" i="254"/>
  <c r="B180" i="254"/>
  <c r="Z173" i="254"/>
  <c r="BQ173" i="254" s="1"/>
  <c r="C173" i="254"/>
  <c r="B174" i="254"/>
  <c r="Z167" i="254"/>
  <c r="BQ167" i="254" s="1"/>
  <c r="C167" i="254"/>
  <c r="B168" i="254"/>
  <c r="Z161" i="254"/>
  <c r="BQ161" i="254" s="1"/>
  <c r="C161" i="254"/>
  <c r="B162" i="254"/>
  <c r="L168" i="311"/>
  <c r="A19" i="311"/>
  <c r="L20" i="311"/>
  <c r="A67" i="310"/>
  <c r="L71" i="310"/>
  <c r="A70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Z148" i="254"/>
  <c r="BQ148" i="254" s="1"/>
  <c r="C148" i="254"/>
  <c r="C142" i="254"/>
  <c r="Z142" i="254"/>
  <c r="BQ142" i="254" s="1"/>
  <c r="B143" i="254"/>
  <c r="B144" i="254" s="1"/>
  <c r="Z136" i="254"/>
  <c r="BQ136" i="254" s="1"/>
  <c r="C136" i="254"/>
  <c r="C154" i="254"/>
  <c r="Z154" i="254"/>
  <c r="BQ154" i="254" s="1"/>
  <c r="B155" i="254"/>
  <c r="Z139" i="254"/>
  <c r="BQ139" i="254" s="1"/>
  <c r="C139" i="254"/>
  <c r="Z145" i="254"/>
  <c r="BQ145" i="254" s="1"/>
  <c r="C145" i="254"/>
  <c r="Z135" i="254"/>
  <c r="BQ135" i="254" s="1"/>
  <c r="C135" i="254"/>
  <c r="C141" i="254"/>
  <c r="Z141" i="254"/>
  <c r="BQ141" i="254" s="1"/>
  <c r="Z147" i="254"/>
  <c r="BQ147" i="254" s="1"/>
  <c r="C147" i="254"/>
  <c r="B149" i="254"/>
  <c r="Z151" i="254"/>
  <c r="BQ151" i="254" s="1"/>
  <c r="C151" i="254"/>
  <c r="B137" i="254"/>
  <c r="B138" i="254" s="1"/>
  <c r="Z157" i="254"/>
  <c r="BQ157" i="254" s="1"/>
  <c r="C157" i="254"/>
  <c r="Z153" i="254"/>
  <c r="BQ153" i="254" s="1"/>
  <c r="C153" i="254"/>
  <c r="R481" i="308"/>
  <c r="R459" i="308"/>
  <c r="R466" i="308"/>
  <c r="R465" i="308"/>
  <c r="R464" i="308"/>
  <c r="R460" i="308"/>
  <c r="R451" i="308"/>
  <c r="R449" i="308"/>
  <c r="R448" i="308"/>
  <c r="R447" i="308"/>
  <c r="R446" i="308"/>
  <c r="X434" i="308"/>
  <c r="R484" i="308" s="1"/>
  <c r="R434" i="308"/>
  <c r="R413" i="308"/>
  <c r="R391" i="308"/>
  <c r="R392" i="308" s="1"/>
  <c r="A376" i="308"/>
  <c r="R381" i="308"/>
  <c r="R383" i="308" s="1"/>
  <c r="R380" i="308"/>
  <c r="R379" i="308"/>
  <c r="R378" i="308"/>
  <c r="P400" i="308"/>
  <c r="R400" i="308"/>
  <c r="P401" i="308"/>
  <c r="P402" i="308"/>
  <c r="P403" i="308"/>
  <c r="P404" i="308"/>
  <c r="P405" i="308"/>
  <c r="P406" i="308"/>
  <c r="P407" i="308"/>
  <c r="V377" i="308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A388" i="308" s="1"/>
  <c r="X366" i="308"/>
  <c r="R403" i="308" s="1"/>
  <c r="R405" i="308" s="1"/>
  <c r="R406" i="308" s="1"/>
  <c r="R366" i="308"/>
  <c r="R278" i="308"/>
  <c r="R303" i="308" s="1"/>
  <c r="R158" i="308"/>
  <c r="R102" i="308"/>
  <c r="R204" i="308" s="1"/>
  <c r="R207" i="308"/>
  <c r="X168" i="308"/>
  <c r="R168" i="308" s="1"/>
  <c r="R157" i="308"/>
  <c r="R159" i="308" s="1"/>
  <c r="R230" i="308" s="1"/>
  <c r="R232" i="308" s="1"/>
  <c r="R58" i="308"/>
  <c r="R70" i="308" s="1"/>
  <c r="R72" i="308" s="1"/>
  <c r="R14" i="308"/>
  <c r="R26" i="308" s="1"/>
  <c r="R28" i="308" s="1"/>
  <c r="R471" i="308"/>
  <c r="R473" i="308" s="1"/>
  <c r="R474" i="308" s="1"/>
  <c r="R470" i="308"/>
  <c r="R472" i="308" s="1"/>
  <c r="R469" i="308"/>
  <c r="R416" i="308"/>
  <c r="R214" i="308"/>
  <c r="R216" i="308" s="1"/>
  <c r="R110" i="308"/>
  <c r="R112" i="308" s="1"/>
  <c r="R80" i="308"/>
  <c r="R36" i="308"/>
  <c r="X19" i="308"/>
  <c r="R515" i="308"/>
  <c r="R517" i="308" s="1"/>
  <c r="X514" i="308"/>
  <c r="X513" i="308"/>
  <c r="X505" i="308"/>
  <c r="R507" i="308" s="1"/>
  <c r="R508" i="308" s="1"/>
  <c r="R502" i="308"/>
  <c r="R501" i="308"/>
  <c r="A356" i="308"/>
  <c r="U289" i="308"/>
  <c r="V289" i="308"/>
  <c r="R277" i="308"/>
  <c r="P277" i="308"/>
  <c r="V278" i="308"/>
  <c r="R98" i="308"/>
  <c r="P98" i="308"/>
  <c r="P56" i="308"/>
  <c r="R56" i="308"/>
  <c r="P291" i="308"/>
  <c r="P292" i="308"/>
  <c r="P293" i="308"/>
  <c r="P294" i="308"/>
  <c r="P295" i="308"/>
  <c r="P296" i="308"/>
  <c r="P297" i="308"/>
  <c r="R297" i="308"/>
  <c r="P298" i="308"/>
  <c r="P299" i="308"/>
  <c r="P300" i="308"/>
  <c r="P301" i="308"/>
  <c r="R301" i="308"/>
  <c r="P302" i="308"/>
  <c r="R302" i="308"/>
  <c r="P303" i="308"/>
  <c r="P304" i="308"/>
  <c r="P305" i="308"/>
  <c r="P306" i="308"/>
  <c r="P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R315" i="308"/>
  <c r="P316" i="308"/>
  <c r="R316" i="308"/>
  <c r="P317" i="308"/>
  <c r="R317" i="308"/>
  <c r="P318" i="308"/>
  <c r="R318" i="308"/>
  <c r="P319" i="308"/>
  <c r="P320" i="308"/>
  <c r="R320" i="308"/>
  <c r="P321" i="308"/>
  <c r="R321" i="308"/>
  <c r="P322" i="308"/>
  <c r="P323" i="308"/>
  <c r="R323" i="308"/>
  <c r="P324" i="308"/>
  <c r="P325" i="308"/>
  <c r="R325" i="308"/>
  <c r="P326" i="308"/>
  <c r="R326" i="308"/>
  <c r="P327" i="308"/>
  <c r="P328" i="308"/>
  <c r="P329" i="308"/>
  <c r="R329" i="308"/>
  <c r="P330" i="308"/>
  <c r="R330" i="308"/>
  <c r="P331" i="308"/>
  <c r="R331" i="308"/>
  <c r="P332" i="308"/>
  <c r="R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P343" i="308"/>
  <c r="P344" i="308"/>
  <c r="P345" i="308"/>
  <c r="R345" i="308"/>
  <c r="P346" i="308"/>
  <c r="R346" i="308"/>
  <c r="P347" i="308"/>
  <c r="P348" i="308"/>
  <c r="P349" i="308"/>
  <c r="P350" i="308"/>
  <c r="P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R359" i="308"/>
  <c r="P360" i="308"/>
  <c r="R360" i="308"/>
  <c r="P361" i="308"/>
  <c r="R361" i="308"/>
  <c r="P362" i="308"/>
  <c r="R362" i="308"/>
  <c r="P363" i="308"/>
  <c r="P364" i="308"/>
  <c r="R364" i="308"/>
  <c r="P365" i="308"/>
  <c r="R365" i="308"/>
  <c r="P366" i="308"/>
  <c r="R431" i="308"/>
  <c r="P367" i="308"/>
  <c r="R367" i="308"/>
  <c r="P368" i="308"/>
  <c r="P369" i="308"/>
  <c r="R369" i="308"/>
  <c r="P370" i="308"/>
  <c r="R370" i="308"/>
  <c r="P371" i="308"/>
  <c r="P372" i="308"/>
  <c r="P373" i="308"/>
  <c r="R373" i="308"/>
  <c r="R397" i="308" s="1"/>
  <c r="P374" i="308"/>
  <c r="R374" i="308"/>
  <c r="R398" i="308" s="1"/>
  <c r="P375" i="308"/>
  <c r="R375" i="308"/>
  <c r="P408" i="308"/>
  <c r="P409" i="308"/>
  <c r="R409" i="308"/>
  <c r="P410" i="308"/>
  <c r="P411" i="308"/>
  <c r="P412" i="308"/>
  <c r="P413" i="308"/>
  <c r="P414" i="308"/>
  <c r="P415" i="308"/>
  <c r="P416" i="308"/>
  <c r="P417" i="308"/>
  <c r="P418" i="308"/>
  <c r="P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R427" i="308"/>
  <c r="P428" i="308"/>
  <c r="R428" i="308"/>
  <c r="P429" i="308"/>
  <c r="R429" i="308"/>
  <c r="P430" i="308"/>
  <c r="R430" i="308"/>
  <c r="P431" i="308"/>
  <c r="P432" i="308"/>
  <c r="R432" i="308"/>
  <c r="P433" i="308"/>
  <c r="R433" i="308"/>
  <c r="P434" i="308"/>
  <c r="R499" i="308"/>
  <c r="P435" i="308"/>
  <c r="R435" i="308"/>
  <c r="P436" i="308"/>
  <c r="P437" i="308"/>
  <c r="R437" i="308"/>
  <c r="P438" i="308"/>
  <c r="R438" i="308"/>
  <c r="P439" i="308"/>
  <c r="P440" i="308"/>
  <c r="P441" i="308"/>
  <c r="R441" i="308"/>
  <c r="P442" i="308"/>
  <c r="R442" i="308"/>
  <c r="P443" i="308"/>
  <c r="R443" i="308"/>
  <c r="P468" i="308"/>
  <c r="R468" i="308"/>
  <c r="P469" i="308"/>
  <c r="P470" i="308"/>
  <c r="P471" i="308"/>
  <c r="P472" i="308"/>
  <c r="P473" i="308"/>
  <c r="P474" i="308"/>
  <c r="P475" i="308"/>
  <c r="P476" i="308"/>
  <c r="P477" i="308"/>
  <c r="R477" i="308"/>
  <c r="P478" i="308"/>
  <c r="P479" i="308"/>
  <c r="P480" i="308"/>
  <c r="P481" i="308"/>
  <c r="P482" i="308"/>
  <c r="R482" i="308"/>
  <c r="P483" i="308"/>
  <c r="P484" i="308"/>
  <c r="P485" i="308"/>
  <c r="P486" i="308"/>
  <c r="P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R495" i="308"/>
  <c r="P496" i="308"/>
  <c r="R496" i="308"/>
  <c r="P497" i="308"/>
  <c r="R497" i="308"/>
  <c r="P498" i="308"/>
  <c r="R498" i="308"/>
  <c r="P499" i="308"/>
  <c r="P500" i="308"/>
  <c r="R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P515" i="308"/>
  <c r="P516" i="308"/>
  <c r="P517" i="308"/>
  <c r="P518" i="308"/>
  <c r="R518" i="308"/>
  <c r="P519" i="308"/>
  <c r="P520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R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5" i="308"/>
  <c r="R45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P57" i="308"/>
  <c r="R57" i="308"/>
  <c r="P58" i="308"/>
  <c r="P59" i="308"/>
  <c r="R59" i="308"/>
  <c r="P60" i="308"/>
  <c r="P61" i="308"/>
  <c r="R61" i="308"/>
  <c r="P62" i="308"/>
  <c r="R62" i="308"/>
  <c r="P63" i="308"/>
  <c r="P64" i="308"/>
  <c r="P65" i="308"/>
  <c r="R65" i="308"/>
  <c r="P66" i="308"/>
  <c r="R66" i="308"/>
  <c r="P67" i="308"/>
  <c r="R67" i="308"/>
  <c r="P68" i="308"/>
  <c r="R68" i="308"/>
  <c r="P69" i="308"/>
  <c r="P70" i="308"/>
  <c r="P71" i="308"/>
  <c r="P72" i="308"/>
  <c r="P73" i="308"/>
  <c r="P74" i="308"/>
  <c r="P75" i="308"/>
  <c r="P76" i="308"/>
  <c r="P77" i="308"/>
  <c r="R77" i="308"/>
  <c r="P78" i="308"/>
  <c r="P79" i="308"/>
  <c r="P80" i="308"/>
  <c r="P81" i="308"/>
  <c r="R81" i="308"/>
  <c r="P82" i="308"/>
  <c r="R82" i="308"/>
  <c r="P83" i="308"/>
  <c r="P84" i="308"/>
  <c r="P85" i="308"/>
  <c r="P86" i="308"/>
  <c r="P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9" i="308"/>
  <c r="P100" i="308"/>
  <c r="R100" i="308"/>
  <c r="P101" i="308"/>
  <c r="R101" i="308"/>
  <c r="P102" i="308"/>
  <c r="P103" i="308"/>
  <c r="R103" i="308"/>
  <c r="P104" i="308"/>
  <c r="P105" i="308"/>
  <c r="R105" i="308"/>
  <c r="P106" i="308"/>
  <c r="R106" i="308"/>
  <c r="P107" i="308"/>
  <c r="R107" i="308"/>
  <c r="P108" i="308"/>
  <c r="R108" i="308"/>
  <c r="P109" i="308"/>
  <c r="P110" i="308"/>
  <c r="P111" i="308"/>
  <c r="P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R134" i="308"/>
  <c r="P135" i="308"/>
  <c r="R135" i="308"/>
  <c r="P136" i="308"/>
  <c r="R136" i="308"/>
  <c r="P137" i="308"/>
  <c r="R137" i="308"/>
  <c r="P138" i="308"/>
  <c r="R138" i="308"/>
  <c r="P139" i="308"/>
  <c r="R139" i="308"/>
  <c r="P140" i="308"/>
  <c r="P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R149" i="308"/>
  <c r="P150" i="308"/>
  <c r="R150" i="308"/>
  <c r="P151" i="308"/>
  <c r="R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P158" i="308"/>
  <c r="P159" i="308"/>
  <c r="P160" i="308"/>
  <c r="R160" i="308"/>
  <c r="P161" i="308"/>
  <c r="R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P169" i="308"/>
  <c r="P170" i="308"/>
  <c r="P171" i="308"/>
  <c r="P172" i="308"/>
  <c r="P173" i="308"/>
  <c r="P174" i="308"/>
  <c r="P175" i="308"/>
  <c r="P176" i="308"/>
  <c r="P177" i="308"/>
  <c r="R177" i="308"/>
  <c r="P178" i="308"/>
  <c r="P179" i="308"/>
  <c r="P180" i="308"/>
  <c r="P181" i="308"/>
  <c r="R181" i="308"/>
  <c r="P182" i="308"/>
  <c r="P183" i="308"/>
  <c r="R183" i="308"/>
  <c r="P184" i="308"/>
  <c r="R184" i="308"/>
  <c r="P185" i="308"/>
  <c r="P186" i="308"/>
  <c r="P187" i="308"/>
  <c r="P188" i="308"/>
  <c r="P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R201" i="308"/>
  <c r="P202" i="308"/>
  <c r="R202" i="308"/>
  <c r="P203" i="308"/>
  <c r="R203" i="308"/>
  <c r="P204" i="308"/>
  <c r="P205" i="308"/>
  <c r="R205" i="308"/>
  <c r="P206" i="308"/>
  <c r="R206" i="308"/>
  <c r="P207" i="308"/>
  <c r="R275" i="308"/>
  <c r="P208" i="308"/>
  <c r="R208" i="308"/>
  <c r="P209" i="308"/>
  <c r="P210" i="308"/>
  <c r="R210" i="308"/>
  <c r="P211" i="308"/>
  <c r="R211" i="308"/>
  <c r="P212" i="308"/>
  <c r="R212" i="308"/>
  <c r="P213" i="308"/>
  <c r="P214" i="308"/>
  <c r="P215" i="308"/>
  <c r="P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R223" i="308"/>
  <c r="P224" i="308"/>
  <c r="R224" i="308"/>
  <c r="P225" i="308"/>
  <c r="R225" i="308"/>
  <c r="P226" i="308"/>
  <c r="R226" i="308"/>
  <c r="P227" i="308"/>
  <c r="R227" i="308"/>
  <c r="P228" i="308"/>
  <c r="R228" i="308"/>
  <c r="P229" i="308"/>
  <c r="R229" i="308"/>
  <c r="P230" i="308"/>
  <c r="P231" i="308"/>
  <c r="P232" i="308"/>
  <c r="P233" i="308"/>
  <c r="R233" i="308"/>
  <c r="P234" i="308"/>
  <c r="R234" i="308"/>
  <c r="P235" i="308"/>
  <c r="R235" i="308"/>
  <c r="P236" i="308"/>
  <c r="R236" i="308"/>
  <c r="P237" i="308"/>
  <c r="R237" i="308"/>
  <c r="P238" i="308"/>
  <c r="R238" i="308"/>
  <c r="P239" i="308"/>
  <c r="P240" i="308"/>
  <c r="P241" i="308"/>
  <c r="P242" i="308"/>
  <c r="P243" i="308"/>
  <c r="P244" i="308"/>
  <c r="P245" i="308"/>
  <c r="P246" i="308"/>
  <c r="P247" i="308"/>
  <c r="P248" i="308"/>
  <c r="R248" i="308"/>
  <c r="P249" i="308"/>
  <c r="P250" i="308"/>
  <c r="P251" i="308"/>
  <c r="P252" i="308"/>
  <c r="R252" i="308"/>
  <c r="P253" i="308"/>
  <c r="P254" i="308"/>
  <c r="R254" i="308"/>
  <c r="P255" i="308"/>
  <c r="R255" i="308"/>
  <c r="P256" i="308"/>
  <c r="P257" i="308"/>
  <c r="P258" i="308"/>
  <c r="P259" i="308"/>
  <c r="P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R271" i="308"/>
  <c r="P272" i="308"/>
  <c r="R272" i="308"/>
  <c r="P273" i="308"/>
  <c r="R273" i="308"/>
  <c r="P274" i="308"/>
  <c r="R274" i="308"/>
  <c r="P275" i="308"/>
  <c r="P276" i="308"/>
  <c r="R276" i="308"/>
  <c r="P278" i="308"/>
  <c r="P279" i="308"/>
  <c r="R279" i="308"/>
  <c r="P280" i="308"/>
  <c r="P281" i="308"/>
  <c r="R281" i="308"/>
  <c r="P282" i="308"/>
  <c r="R282" i="308"/>
  <c r="P283" i="308"/>
  <c r="P284" i="308"/>
  <c r="P285" i="308"/>
  <c r="R285" i="308"/>
  <c r="P286" i="308"/>
  <c r="R286" i="308"/>
  <c r="P287" i="308"/>
  <c r="R287" i="308"/>
  <c r="P288" i="308"/>
  <c r="R288" i="308"/>
  <c r="P289" i="308"/>
  <c r="P290" i="308"/>
  <c r="R13" i="308"/>
  <c r="P13" i="308"/>
  <c r="X220" i="308"/>
  <c r="X311" i="308" s="1"/>
  <c r="X219" i="308"/>
  <c r="X197" i="308"/>
  <c r="X171" i="308"/>
  <c r="X120" i="308"/>
  <c r="X87" i="308"/>
  <c r="Z396" i="254" l="1"/>
  <c r="BQ396" i="254" s="1"/>
  <c r="C396" i="254"/>
  <c r="Z402" i="254"/>
  <c r="BQ402" i="254" s="1"/>
  <c r="C402" i="254"/>
  <c r="Z408" i="254"/>
  <c r="BQ408" i="254" s="1"/>
  <c r="C408" i="254"/>
  <c r="Z414" i="254"/>
  <c r="BQ414" i="254" s="1"/>
  <c r="C414" i="254"/>
  <c r="Z420" i="254"/>
  <c r="BQ420" i="254" s="1"/>
  <c r="C420" i="254"/>
  <c r="Z426" i="254"/>
  <c r="BQ426" i="254" s="1"/>
  <c r="C426" i="254"/>
  <c r="Z240" i="254"/>
  <c r="BQ240" i="254" s="1"/>
  <c r="C240" i="254"/>
  <c r="Z246" i="254"/>
  <c r="BQ246" i="254" s="1"/>
  <c r="C246" i="254"/>
  <c r="Z252" i="254"/>
  <c r="BQ252" i="254" s="1"/>
  <c r="C252" i="254"/>
  <c r="Z258" i="254"/>
  <c r="BQ258" i="254" s="1"/>
  <c r="C258" i="254"/>
  <c r="Z264" i="254"/>
  <c r="BQ264" i="254" s="1"/>
  <c r="C264" i="254"/>
  <c r="Z270" i="254"/>
  <c r="BQ270" i="254" s="1"/>
  <c r="C270" i="254"/>
  <c r="Z276" i="254"/>
  <c r="BQ276" i="254" s="1"/>
  <c r="C276" i="254"/>
  <c r="Z282" i="254"/>
  <c r="BQ282" i="254" s="1"/>
  <c r="C282" i="254"/>
  <c r="Z288" i="254"/>
  <c r="BQ288" i="254" s="1"/>
  <c r="C288" i="254"/>
  <c r="Z294" i="254"/>
  <c r="BQ294" i="254" s="1"/>
  <c r="C294" i="254"/>
  <c r="Z300" i="254"/>
  <c r="BQ300" i="254" s="1"/>
  <c r="C300" i="254"/>
  <c r="Z306" i="254"/>
  <c r="BQ306" i="254" s="1"/>
  <c r="C306" i="254"/>
  <c r="Z312" i="254"/>
  <c r="BQ312" i="254" s="1"/>
  <c r="C312" i="254"/>
  <c r="Z318" i="254"/>
  <c r="BQ318" i="254" s="1"/>
  <c r="C318" i="254"/>
  <c r="Z324" i="254"/>
  <c r="BQ324" i="254" s="1"/>
  <c r="C324" i="254"/>
  <c r="Z330" i="254"/>
  <c r="BQ330" i="254" s="1"/>
  <c r="C330" i="254"/>
  <c r="Z336" i="254"/>
  <c r="BQ336" i="254" s="1"/>
  <c r="C336" i="254"/>
  <c r="Z342" i="254"/>
  <c r="BQ342" i="254" s="1"/>
  <c r="C342" i="254"/>
  <c r="Z348" i="254"/>
  <c r="BQ348" i="254" s="1"/>
  <c r="C348" i="254"/>
  <c r="Z354" i="254"/>
  <c r="BQ354" i="254" s="1"/>
  <c r="C354" i="254"/>
  <c r="Z360" i="254"/>
  <c r="BQ360" i="254" s="1"/>
  <c r="C360" i="254"/>
  <c r="Z366" i="254"/>
  <c r="BQ366" i="254" s="1"/>
  <c r="C366" i="254"/>
  <c r="Z372" i="254"/>
  <c r="BQ372" i="254" s="1"/>
  <c r="C372" i="254"/>
  <c r="Z378" i="254"/>
  <c r="BQ378" i="254" s="1"/>
  <c r="C378" i="254"/>
  <c r="Z384" i="254"/>
  <c r="BQ384" i="254" s="1"/>
  <c r="C384" i="254"/>
  <c r="Z390" i="254"/>
  <c r="BQ390" i="254" s="1"/>
  <c r="C390" i="254"/>
  <c r="Z162" i="254"/>
  <c r="BQ162" i="254" s="1"/>
  <c r="C162" i="254"/>
  <c r="Z168" i="254"/>
  <c r="BQ168" i="254" s="1"/>
  <c r="C168" i="254"/>
  <c r="Z174" i="254"/>
  <c r="BQ174" i="254" s="1"/>
  <c r="C174" i="254"/>
  <c r="Z180" i="254"/>
  <c r="BQ180" i="254" s="1"/>
  <c r="C180" i="254"/>
  <c r="Z186" i="254"/>
  <c r="BQ186" i="254" s="1"/>
  <c r="C186" i="254"/>
  <c r="Z192" i="254"/>
  <c r="BQ192" i="254" s="1"/>
  <c r="C192" i="254"/>
  <c r="Z198" i="254"/>
  <c r="BQ198" i="254" s="1"/>
  <c r="C198" i="254"/>
  <c r="Z204" i="254"/>
  <c r="BQ204" i="254" s="1"/>
  <c r="C204" i="254"/>
  <c r="Z210" i="254"/>
  <c r="BQ210" i="254" s="1"/>
  <c r="C210" i="254"/>
  <c r="Z216" i="254"/>
  <c r="BQ216" i="254" s="1"/>
  <c r="C216" i="254"/>
  <c r="Z222" i="254"/>
  <c r="BQ222" i="254" s="1"/>
  <c r="C222" i="254"/>
  <c r="Z228" i="254"/>
  <c r="BQ228" i="254" s="1"/>
  <c r="C228" i="254"/>
  <c r="Z234" i="254"/>
  <c r="BQ234" i="254" s="1"/>
  <c r="C234" i="254"/>
  <c r="L169" i="311"/>
  <c r="L21" i="311"/>
  <c r="A20" i="311"/>
  <c r="L72" i="310"/>
  <c r="A71" i="310"/>
  <c r="K74" i="310"/>
  <c r="K23" i="311"/>
  <c r="A102" i="311"/>
  <c r="K103" i="311"/>
  <c r="A93" i="311"/>
  <c r="K94" i="311"/>
  <c r="Z144" i="254"/>
  <c r="BQ144" i="254" s="1"/>
  <c r="C144" i="254"/>
  <c r="Z143" i="254"/>
  <c r="BQ143" i="254" s="1"/>
  <c r="C143" i="254"/>
  <c r="Z137" i="254"/>
  <c r="BQ137" i="254" s="1"/>
  <c r="C137" i="254"/>
  <c r="Z149" i="254"/>
  <c r="BQ149" i="254" s="1"/>
  <c r="C149" i="254"/>
  <c r="Z155" i="254"/>
  <c r="BQ155" i="254" s="1"/>
  <c r="C155" i="254"/>
  <c r="Z138" i="254"/>
  <c r="BQ138" i="254" s="1"/>
  <c r="C138" i="254"/>
  <c r="B150" i="254"/>
  <c r="B156" i="254"/>
  <c r="R408" i="308"/>
  <c r="R475" i="308"/>
  <c r="R483" i="308" s="1"/>
  <c r="R485" i="308" s="1"/>
  <c r="R486" i="308" s="1"/>
  <c r="R487" i="308" s="1"/>
  <c r="R476" i="308"/>
  <c r="A382" i="308"/>
  <c r="V389" i="308"/>
  <c r="V390" i="308" s="1"/>
  <c r="R402" i="308"/>
  <c r="R404" i="308" s="1"/>
  <c r="A387" i="308"/>
  <c r="A381" i="308"/>
  <c r="A386" i="308"/>
  <c r="A380" i="308"/>
  <c r="A385" i="308"/>
  <c r="A379" i="308"/>
  <c r="A384" i="308"/>
  <c r="A378" i="308"/>
  <c r="A383" i="308"/>
  <c r="A377" i="308"/>
  <c r="R368" i="308"/>
  <c r="R401" i="308"/>
  <c r="R407" i="308"/>
  <c r="R415" i="308" s="1"/>
  <c r="R417" i="308" s="1"/>
  <c r="R418" i="308" s="1"/>
  <c r="R419" i="308" s="1"/>
  <c r="R169" i="308"/>
  <c r="R171" i="308" s="1"/>
  <c r="R176" i="308"/>
  <c r="R104" i="308" s="1"/>
  <c r="X239" i="308"/>
  <c r="R170" i="308"/>
  <c r="R172" i="308" s="1"/>
  <c r="R173" i="308" s="1"/>
  <c r="R175" i="308"/>
  <c r="R185" i="308" s="1"/>
  <c r="R371" i="308"/>
  <c r="R372" i="308" s="1"/>
  <c r="R396" i="308" s="1"/>
  <c r="R322" i="308"/>
  <c r="R348" i="308" s="1"/>
  <c r="R186" i="308"/>
  <c r="R436" i="308"/>
  <c r="R289" i="308"/>
  <c r="R295" i="308"/>
  <c r="R305" i="308" s="1"/>
  <c r="R306" i="308" s="1"/>
  <c r="R307" i="308" s="1"/>
  <c r="R290" i="308"/>
  <c r="R292" i="308" s="1"/>
  <c r="R304" i="308"/>
  <c r="R319" i="308"/>
  <c r="R516" i="308"/>
  <c r="R291" i="308"/>
  <c r="R293" i="308" s="1"/>
  <c r="R294" i="308" s="1"/>
  <c r="R296" i="308"/>
  <c r="R280" i="308" s="1"/>
  <c r="R55" i="308"/>
  <c r="R84" i="308"/>
  <c r="R71" i="308"/>
  <c r="R73" i="308" s="1"/>
  <c r="R74" i="308" s="1"/>
  <c r="R99" i="308"/>
  <c r="R75" i="308"/>
  <c r="R83" i="308" s="1"/>
  <c r="R506" i="308"/>
  <c r="R27" i="308"/>
  <c r="R29" i="308" s="1"/>
  <c r="R30" i="308" s="1"/>
  <c r="R31" i="308"/>
  <c r="R40" i="308"/>
  <c r="R76" i="308"/>
  <c r="R60" i="308" s="1"/>
  <c r="R69" i="308"/>
  <c r="R25" i="308"/>
  <c r="R32" i="308"/>
  <c r="X265" i="308"/>
  <c r="X173" i="308"/>
  <c r="Y199" i="308"/>
  <c r="X88" i="308"/>
  <c r="V14" i="308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9" i="308" s="1"/>
  <c r="V50" i="308" s="1"/>
  <c r="V51" i="308" s="1"/>
  <c r="V52" i="308" s="1"/>
  <c r="V53" i="308" s="1"/>
  <c r="V54" i="308" s="1"/>
  <c r="V55" i="308" s="1"/>
  <c r="V56" i="308" s="1"/>
  <c r="V58" i="308" s="1"/>
  <c r="V60" i="308" s="1"/>
  <c r="V61" i="308" s="1"/>
  <c r="U13" i="308"/>
  <c r="U14" i="308" s="1"/>
  <c r="U16" i="308" s="1"/>
  <c r="U17" i="308" s="1"/>
  <c r="U18" i="308" s="1"/>
  <c r="U19" i="308" s="1"/>
  <c r="U20" i="308" s="1"/>
  <c r="U21" i="308" s="1"/>
  <c r="U22" i="308" s="1"/>
  <c r="U23" i="308" s="1"/>
  <c r="U25" i="308" s="1"/>
  <c r="U26" i="308" s="1"/>
  <c r="U27" i="308" s="1"/>
  <c r="DC29" i="268"/>
  <c r="DC31" i="268"/>
  <c r="DC33" i="268"/>
  <c r="K21" i="143"/>
  <c r="K19" i="143"/>
  <c r="K17" i="143"/>
  <c r="U528" i="308"/>
  <c r="U525" i="308"/>
  <c r="U522" i="308"/>
  <c r="H13" i="115"/>
  <c r="H12" i="115"/>
  <c r="H15" i="115"/>
  <c r="H17" i="115"/>
  <c r="H19" i="115"/>
  <c r="H21" i="115"/>
  <c r="H23" i="115"/>
  <c r="H2" i="115"/>
  <c r="O12" i="115" s="1" a="1"/>
  <c r="A11" i="143"/>
  <c r="L170" i="311" l="1"/>
  <c r="L22" i="311"/>
  <c r="A21" i="311"/>
  <c r="K75" i="310"/>
  <c r="A72" i="310"/>
  <c r="A103" i="311"/>
  <c r="K104" i="311"/>
  <c r="A94" i="311"/>
  <c r="K95" i="311"/>
  <c r="K24" i="311"/>
  <c r="Z156" i="254"/>
  <c r="BQ156" i="254" s="1"/>
  <c r="C156" i="254"/>
  <c r="Z150" i="254"/>
  <c r="BQ150" i="254" s="1"/>
  <c r="C150" i="254"/>
  <c r="R109" i="308"/>
  <c r="R111" i="308" s="1"/>
  <c r="A389" i="308"/>
  <c r="R187" i="308"/>
  <c r="R188" i="308" s="1"/>
  <c r="R189" i="308" s="1"/>
  <c r="V391" i="308"/>
  <c r="A390" i="308"/>
  <c r="R239" i="308"/>
  <c r="R257" i="308"/>
  <c r="R247" i="308"/>
  <c r="R209" i="308" s="1"/>
  <c r="R246" i="308"/>
  <c r="R241" i="308"/>
  <c r="R243" i="308" s="1"/>
  <c r="R244" i="308" s="1"/>
  <c r="R240" i="308"/>
  <c r="R242" i="308" s="1"/>
  <c r="R363" i="308"/>
  <c r="R340" i="308"/>
  <c r="R324" i="308" s="1"/>
  <c r="R339" i="308"/>
  <c r="R335" i="308"/>
  <c r="R337" i="308" s="1"/>
  <c r="R338" i="308" s="1"/>
  <c r="R334" i="308"/>
  <c r="R336" i="308" s="1"/>
  <c r="R333" i="308"/>
  <c r="L12" i="115" a="1"/>
  <c r="L12" i="115" s="1"/>
  <c r="L13" i="115" s="1" a="1"/>
  <c r="L13" i="115" s="1"/>
  <c r="L14" i="115" s="1" a="1"/>
  <c r="L14" i="115" s="1"/>
  <c r="R283" i="308"/>
  <c r="R284" i="308" s="1"/>
  <c r="R439" i="308"/>
  <c r="R440" i="308" s="1"/>
  <c r="R85" i="308"/>
  <c r="R86" i="308" s="1"/>
  <c r="R87" i="308" s="1"/>
  <c r="R63" i="308"/>
  <c r="R64" i="308" s="1"/>
  <c r="R16" i="308"/>
  <c r="Y32" i="308"/>
  <c r="R39" i="308"/>
  <c r="R41" i="308" s="1"/>
  <c r="R42" i="308" s="1"/>
  <c r="R43" i="308" s="1"/>
  <c r="V62" i="308"/>
  <c r="V63" i="308" s="1"/>
  <c r="U28" i="308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9" i="308" s="1"/>
  <c r="U50" i="308" s="1"/>
  <c r="U51" i="308" s="1"/>
  <c r="U52" i="308" s="1"/>
  <c r="U53" i="308" s="1"/>
  <c r="U54" i="308" s="1"/>
  <c r="U55" i="308" s="1"/>
  <c r="U56" i="308" s="1"/>
  <c r="U58" i="308" s="1"/>
  <c r="U60" i="308" s="1"/>
  <c r="U61" i="308" s="1"/>
  <c r="A13" i="308"/>
  <c r="A18" i="308"/>
  <c r="A14" i="308"/>
  <c r="A15" i="308"/>
  <c r="A16" i="308"/>
  <c r="A17" i="308"/>
  <c r="O12" i="115"/>
  <c r="U523" i="308"/>
  <c r="K20" i="143"/>
  <c r="DC34" i="268"/>
  <c r="DC32" i="268"/>
  <c r="K18" i="143"/>
  <c r="DC30" i="268"/>
  <c r="K22" i="143"/>
  <c r="U529" i="308"/>
  <c r="U526" i="308"/>
  <c r="O27" i="139"/>
  <c r="AU21" i="139"/>
  <c r="AU21" i="309"/>
  <c r="AY20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71" i="311" l="1"/>
  <c r="L23" i="311"/>
  <c r="A22" i="311"/>
  <c r="L74" i="310"/>
  <c r="K76" i="310"/>
  <c r="K97" i="311"/>
  <c r="A95" i="311"/>
  <c r="K96" i="311"/>
  <c r="A96" i="311" s="1"/>
  <c r="A104" i="311"/>
  <c r="K105" i="311"/>
  <c r="V392" i="308"/>
  <c r="V393" i="308" s="1"/>
  <c r="A391" i="308"/>
  <c r="R256" i="308"/>
  <c r="R258" i="308" s="1"/>
  <c r="R259" i="308" s="1"/>
  <c r="R260" i="308" s="1"/>
  <c r="R347" i="308"/>
  <c r="R327" i="308" s="1"/>
  <c r="R328" i="308" s="1"/>
  <c r="R349" i="308"/>
  <c r="R350" i="308" s="1"/>
  <c r="R351" i="308" s="1"/>
  <c r="R19" i="308"/>
  <c r="R20" i="308" s="1"/>
  <c r="V64" i="308"/>
  <c r="V65" i="308" s="1"/>
  <c r="V66" i="308" s="1"/>
  <c r="V67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3" i="308" s="1"/>
  <c r="V94" i="308" s="1"/>
  <c r="V95" i="308" s="1"/>
  <c r="V96" i="308" s="1"/>
  <c r="V97" i="308" s="1"/>
  <c r="U62" i="308"/>
  <c r="U63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2" i="254"/>
  <c r="BS110" i="254"/>
  <c r="BS86" i="254"/>
  <c r="BS104" i="254"/>
  <c r="BS98" i="254"/>
  <c r="BS122" i="254"/>
  <c r="BS128" i="254"/>
  <c r="BS116" i="254"/>
  <c r="L172" i="311" l="1"/>
  <c r="L24" i="311"/>
  <c r="A23" i="311"/>
  <c r="L75" i="310"/>
  <c r="A74" i="310"/>
  <c r="A25" i="311"/>
  <c r="K26" i="311"/>
  <c r="K106" i="311"/>
  <c r="A105" i="311"/>
  <c r="A392" i="308"/>
  <c r="R213" i="308"/>
  <c r="R215" i="308" s="1"/>
  <c r="V98" i="308"/>
  <c r="V99" i="308" s="1"/>
  <c r="V100" i="308" s="1"/>
  <c r="V102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7" i="308" s="1"/>
  <c r="V118" i="308" s="1"/>
  <c r="V119" i="308" s="1"/>
  <c r="V120" i="308" s="1"/>
  <c r="V121" i="308" s="1"/>
  <c r="V122" i="308" s="1"/>
  <c r="U64" i="308"/>
  <c r="U65" i="308" s="1"/>
  <c r="U66" i="308" s="1"/>
  <c r="U67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3" i="308" s="1"/>
  <c r="U94" i="308" s="1"/>
  <c r="U95" i="308" s="1"/>
  <c r="U96" i="308" s="1"/>
  <c r="U97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73" i="311" l="1"/>
  <c r="L26" i="311"/>
  <c r="L27" i="311" s="1"/>
  <c r="A24" i="311"/>
  <c r="L76" i="310"/>
  <c r="A75" i="310"/>
  <c r="K78" i="310"/>
  <c r="K108" i="311"/>
  <c r="A107" i="311"/>
  <c r="K27" i="311"/>
  <c r="V123" i="308"/>
  <c r="V124" i="308" s="1"/>
  <c r="V125" i="308" s="1"/>
  <c r="V127" i="308" s="1"/>
  <c r="V128" i="308" s="1"/>
  <c r="V129" i="308" s="1"/>
  <c r="V130" i="308" s="1"/>
  <c r="V131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3" i="308" s="1"/>
  <c r="V154" i="308" s="1"/>
  <c r="V155" i="308" s="1"/>
  <c r="V156" i="308" s="1"/>
  <c r="V157" i="308" s="1"/>
  <c r="V158" i="308" s="1"/>
  <c r="V159" i="308" s="1"/>
  <c r="V160" i="308" s="1"/>
  <c r="V162" i="308" s="1"/>
  <c r="V163" i="308" s="1"/>
  <c r="V164" i="308" s="1"/>
  <c r="V165" i="308" s="1"/>
  <c r="V166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8" i="308" s="1"/>
  <c r="V199" i="308" s="1"/>
  <c r="V200" i="308" s="1"/>
  <c r="V201" i="308" s="1"/>
  <c r="V202" i="308" s="1"/>
  <c r="V203" i="308" s="1"/>
  <c r="V204" i="308" s="1"/>
  <c r="V205" i="308" s="1"/>
  <c r="V207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1" i="308" s="1"/>
  <c r="V222" i="308" s="1"/>
  <c r="V223" i="308" s="1"/>
  <c r="V224" i="308" s="1"/>
  <c r="V226" i="308" s="1"/>
  <c r="V227" i="308" s="1"/>
  <c r="V228" i="308" s="1"/>
  <c r="V229" i="308" s="1"/>
  <c r="V230" i="308" s="1"/>
  <c r="V231" i="308" s="1"/>
  <c r="V232" i="308" s="1"/>
  <c r="V233" i="308" s="1"/>
  <c r="V235" i="308" s="1"/>
  <c r="V236" i="308" s="1"/>
  <c r="V237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9" i="308" s="1"/>
  <c r="V270" i="308" s="1"/>
  <c r="V271" i="308" s="1"/>
  <c r="V272" i="308" s="1"/>
  <c r="V273" i="308" s="1"/>
  <c r="V274" i="308" s="1"/>
  <c r="V275" i="308" s="1"/>
  <c r="V276" i="308" s="1"/>
  <c r="V280" i="308" s="1"/>
  <c r="V281" i="308" s="1"/>
  <c r="V282" i="308" s="1"/>
  <c r="V283" i="308" s="1"/>
  <c r="V284" i="308" s="1"/>
  <c r="V285" i="308" s="1"/>
  <c r="V286" i="308" s="1"/>
  <c r="V287" i="308" s="1"/>
  <c r="U98" i="308"/>
  <c r="U99" i="308" s="1"/>
  <c r="U100" i="308" s="1"/>
  <c r="U102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7" i="308" s="1"/>
  <c r="U118" i="308" s="1"/>
  <c r="U119" i="308" s="1"/>
  <c r="U120" i="308" s="1"/>
  <c r="U121" i="308" s="1"/>
  <c r="U122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26" i="311" l="1"/>
  <c r="L28" i="311"/>
  <c r="L29" i="311" s="1"/>
  <c r="L30" i="311" s="1"/>
  <c r="L31" i="311" s="1"/>
  <c r="L32" i="311" s="1"/>
  <c r="L33" i="311" s="1"/>
  <c r="K79" i="310"/>
  <c r="A27" i="311"/>
  <c r="A108" i="311"/>
  <c r="K109" i="311"/>
  <c r="A393" i="308"/>
  <c r="V394" i="308"/>
  <c r="V290" i="308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3" i="308" s="1"/>
  <c r="V314" i="308" s="1"/>
  <c r="V315" i="308" s="1"/>
  <c r="V316" i="308" s="1"/>
  <c r="V317" i="308" s="1"/>
  <c r="V318" i="308" s="1"/>
  <c r="V319" i="308" s="1"/>
  <c r="V320" i="308" s="1"/>
  <c r="V322" i="308" s="1"/>
  <c r="V324" i="308" s="1"/>
  <c r="V325" i="308" s="1"/>
  <c r="V326" i="308" s="1"/>
  <c r="V327" i="308" s="1"/>
  <c r="U123" i="308"/>
  <c r="U124" i="308" s="1"/>
  <c r="U125" i="308" s="1"/>
  <c r="U127" i="308" s="1"/>
  <c r="U128" i="308" s="1"/>
  <c r="U129" i="308" s="1"/>
  <c r="U130" i="308" s="1"/>
  <c r="U131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3" i="308" s="1"/>
  <c r="U154" i="308" s="1"/>
  <c r="U155" i="308" s="1"/>
  <c r="U156" i="308" s="1"/>
  <c r="U157" i="308" s="1"/>
  <c r="U158" i="308" s="1"/>
  <c r="U159" i="308" s="1"/>
  <c r="U160" i="308" s="1"/>
  <c r="U162" i="308" s="1"/>
  <c r="U163" i="308" s="1"/>
  <c r="U164" i="308" s="1"/>
  <c r="U165" i="308" s="1"/>
  <c r="U166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8" i="308" s="1"/>
  <c r="U199" i="308" s="1"/>
  <c r="U200" i="308" s="1"/>
  <c r="U201" i="308" s="1"/>
  <c r="U202" i="308" s="1"/>
  <c r="U203" i="308" s="1"/>
  <c r="U204" i="308" s="1"/>
  <c r="U205" i="308" s="1"/>
  <c r="U207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A22" i="308"/>
  <c r="C431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L175" i="311" l="1"/>
  <c r="L78" i="310"/>
  <c r="A77" i="310"/>
  <c r="K110" i="311"/>
  <c r="A109" i="311"/>
  <c r="K29" i="311"/>
  <c r="A28" i="311"/>
  <c r="V395" i="308"/>
  <c r="A394" i="308"/>
  <c r="V333" i="308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50" i="308" s="1"/>
  <c r="V351" i="308" s="1"/>
  <c r="V352" i="308" s="1"/>
  <c r="V353" i="308" s="1"/>
  <c r="V354" i="308" s="1"/>
  <c r="V355" i="308" s="1"/>
  <c r="V357" i="308" s="1"/>
  <c r="V358" i="308" s="1"/>
  <c r="V359" i="308" s="1"/>
  <c r="V360" i="308" s="1"/>
  <c r="V361" i="308" s="1"/>
  <c r="V362" i="308" s="1"/>
  <c r="V363" i="308" s="1"/>
  <c r="V364" i="308" s="1"/>
  <c r="V366" i="308" s="1"/>
  <c r="V368" i="308" s="1"/>
  <c r="V369" i="308" s="1"/>
  <c r="V370" i="308" s="1"/>
  <c r="V371" i="308" s="1"/>
  <c r="V372" i="308" s="1"/>
  <c r="V373" i="308" s="1"/>
  <c r="V374" i="308" s="1"/>
  <c r="V375" i="308" s="1"/>
  <c r="V401" i="308" s="1"/>
  <c r="V402" i="308" s="1"/>
  <c r="V403" i="308" s="1"/>
  <c r="V404" i="308" s="1"/>
  <c r="V405" i="308" s="1"/>
  <c r="V406" i="308" s="1"/>
  <c r="V407" i="308" s="1"/>
  <c r="V408" i="308" s="1"/>
  <c r="V328" i="308"/>
  <c r="V329" i="308" s="1"/>
  <c r="V330" i="308" s="1"/>
  <c r="V331" i="308" s="1"/>
  <c r="U218" i="308"/>
  <c r="U219" i="308" s="1"/>
  <c r="U221" i="308" s="1"/>
  <c r="U222" i="308" s="1"/>
  <c r="U223" i="308" s="1"/>
  <c r="U224" i="308" s="1"/>
  <c r="U226" i="308" s="1"/>
  <c r="U227" i="308" s="1"/>
  <c r="U228" i="308" s="1"/>
  <c r="U229" i="308" s="1"/>
  <c r="U230" i="308" s="1"/>
  <c r="U231" i="308" s="1"/>
  <c r="U232" i="308" s="1"/>
  <c r="U233" i="308" s="1"/>
  <c r="U235" i="308" s="1"/>
  <c r="U236" i="308" s="1"/>
  <c r="U237" i="308" s="1"/>
  <c r="U239" i="308" s="1"/>
  <c r="U240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9" i="308" s="1"/>
  <c r="U270" i="308" s="1"/>
  <c r="U271" i="308" s="1"/>
  <c r="U272" i="308" s="1"/>
  <c r="U273" i="308" s="1"/>
  <c r="U274" i="308" s="1"/>
  <c r="U275" i="308" s="1"/>
  <c r="U276" i="308" s="1"/>
  <c r="A217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L176" i="311" l="1"/>
  <c r="K81" i="310"/>
  <c r="L79" i="310"/>
  <c r="A78" i="310"/>
  <c r="A29" i="311"/>
  <c r="K30" i="311"/>
  <c r="A110" i="311"/>
  <c r="K111" i="311"/>
  <c r="V409" i="308"/>
  <c r="V410" i="308" s="1"/>
  <c r="V411" i="308" s="1"/>
  <c r="V412" i="308" s="1"/>
  <c r="V413" i="308" s="1"/>
  <c r="V414" i="308" s="1"/>
  <c r="V415" i="308" s="1"/>
  <c r="V416" i="308" s="1"/>
  <c r="V417" i="308" s="1"/>
  <c r="V418" i="308" s="1"/>
  <c r="V419" i="308" s="1"/>
  <c r="V420" i="308" s="1"/>
  <c r="V421" i="308" s="1"/>
  <c r="V422" i="308" s="1"/>
  <c r="V423" i="308" s="1"/>
  <c r="V425" i="308" s="1"/>
  <c r="V426" i="308" s="1"/>
  <c r="V427" i="308" s="1"/>
  <c r="V428" i="308" s="1"/>
  <c r="V429" i="308" s="1"/>
  <c r="V430" i="308" s="1"/>
  <c r="V431" i="308" s="1"/>
  <c r="V432" i="308" s="1"/>
  <c r="V434" i="308" s="1"/>
  <c r="V435" i="308" s="1"/>
  <c r="V436" i="308" s="1"/>
  <c r="V437" i="308" s="1"/>
  <c r="V438" i="308" s="1"/>
  <c r="V439" i="308" s="1"/>
  <c r="V440" i="308" s="1"/>
  <c r="V441" i="308" s="1"/>
  <c r="V442" i="308" s="1"/>
  <c r="V443" i="308" s="1"/>
  <c r="V469" i="308" s="1"/>
  <c r="V470" i="308" s="1"/>
  <c r="V471" i="308" s="1"/>
  <c r="V472" i="308" s="1"/>
  <c r="V473" i="308" s="1"/>
  <c r="V474" i="308" s="1"/>
  <c r="V475" i="308" s="1"/>
  <c r="V396" i="308"/>
  <c r="A395" i="308"/>
  <c r="U280" i="308"/>
  <c r="U281" i="308" s="1"/>
  <c r="U282" i="308" s="1"/>
  <c r="U283" i="308" s="1"/>
  <c r="U284" i="308" s="1"/>
  <c r="U285" i="308" s="1"/>
  <c r="U286" i="308" s="1"/>
  <c r="U287" i="308" s="1"/>
  <c r="U277" i="308"/>
  <c r="A24" i="308"/>
  <c r="Z96" i="254"/>
  <c r="BQ96" i="254" s="1"/>
  <c r="C96" i="254"/>
  <c r="L177" i="311" l="1"/>
  <c r="K82" i="310"/>
  <c r="K112" i="311"/>
  <c r="A111" i="311"/>
  <c r="K31" i="311"/>
  <c r="A30" i="311"/>
  <c r="V476" i="308"/>
  <c r="V477" i="308" s="1"/>
  <c r="V478" i="308" s="1"/>
  <c r="V479" i="308" s="1"/>
  <c r="V480" i="308" s="1"/>
  <c r="V481" i="308" s="1"/>
  <c r="V482" i="308" s="1"/>
  <c r="V483" i="308" s="1"/>
  <c r="V484" i="308" s="1"/>
  <c r="V485" i="308" s="1"/>
  <c r="V486" i="308" s="1"/>
  <c r="V487" i="308" s="1"/>
  <c r="V488" i="308" s="1"/>
  <c r="V489" i="308" s="1"/>
  <c r="V490" i="308" s="1"/>
  <c r="V491" i="308" s="1"/>
  <c r="V493" i="308" s="1"/>
  <c r="V494" i="308" s="1"/>
  <c r="V495" i="308" s="1"/>
  <c r="V496" i="308" s="1"/>
  <c r="V497" i="308" s="1"/>
  <c r="V498" i="308" s="1"/>
  <c r="V499" i="308" s="1"/>
  <c r="V500" i="308" s="1"/>
  <c r="V502" i="308" s="1"/>
  <c r="V503" i="308" s="1"/>
  <c r="V504" i="308" s="1"/>
  <c r="V505" i="308" s="1"/>
  <c r="V506" i="308" s="1"/>
  <c r="V507" i="308" s="1"/>
  <c r="V508" i="308" s="1"/>
  <c r="V509" i="308" s="1"/>
  <c r="V510" i="308" s="1"/>
  <c r="V511" i="308" s="1"/>
  <c r="V512" i="308" s="1"/>
  <c r="V513" i="308" s="1"/>
  <c r="V514" i="308" s="1"/>
  <c r="V515" i="308" s="1"/>
  <c r="V516" i="308" s="1"/>
  <c r="V517" i="308" s="1"/>
  <c r="V519" i="308" s="1"/>
  <c r="V520" i="308" s="1"/>
  <c r="V397" i="308"/>
  <c r="A396" i="308"/>
  <c r="U290" i="308"/>
  <c r="U291" i="308" s="1"/>
  <c r="U292" i="308" s="1"/>
  <c r="U293" i="308" s="1"/>
  <c r="U294" i="308" s="1"/>
  <c r="U295" i="308" s="1"/>
  <c r="U296" i="308" s="1"/>
  <c r="U297" i="308" s="1"/>
  <c r="U298" i="308" s="1"/>
  <c r="U299" i="308" s="1"/>
  <c r="U300" i="308" s="1"/>
  <c r="U301" i="308" s="1"/>
  <c r="U302" i="308" s="1"/>
  <c r="U303" i="308" s="1"/>
  <c r="U304" i="308" s="1"/>
  <c r="U305" i="308" s="1"/>
  <c r="U306" i="308" s="1"/>
  <c r="U307" i="308" s="1"/>
  <c r="U308" i="308" s="1"/>
  <c r="U309" i="308" s="1"/>
  <c r="U310" i="308" s="1"/>
  <c r="U311" i="308" s="1"/>
  <c r="U313" i="308" s="1"/>
  <c r="U314" i="308" s="1"/>
  <c r="U315" i="308" s="1"/>
  <c r="U316" i="308" s="1"/>
  <c r="U317" i="308" s="1"/>
  <c r="U318" i="308" s="1"/>
  <c r="U319" i="308" s="1"/>
  <c r="U320" i="308" s="1"/>
  <c r="U322" i="308" s="1"/>
  <c r="U324" i="308" s="1"/>
  <c r="U325" i="308" s="1"/>
  <c r="U326" i="308" s="1"/>
  <c r="U327" i="308" s="1"/>
  <c r="U278" i="308"/>
  <c r="A277" i="308"/>
  <c r="A25" i="308"/>
  <c r="BV83" i="254"/>
  <c r="BU80" i="254"/>
  <c r="M78" i="117"/>
  <c r="J78" i="117"/>
  <c r="J7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4" i="308"/>
  <c r="E534" i="308"/>
  <c r="Q531" i="308"/>
  <c r="E531" i="308"/>
  <c r="Q528" i="308"/>
  <c r="E528" i="308"/>
  <c r="Q525" i="308"/>
  <c r="E525" i="308"/>
  <c r="Q522" i="308"/>
  <c r="E522" i="308"/>
  <c r="L7" i="308"/>
  <c r="L5" i="308"/>
  <c r="L3" i="308"/>
  <c r="L1" i="308"/>
  <c r="A3" i="308"/>
  <c r="BS80" i="254"/>
  <c r="L178" i="311" l="1"/>
  <c r="L81" i="310"/>
  <c r="A80" i="310"/>
  <c r="A31" i="311"/>
  <c r="K32" i="311"/>
  <c r="A112" i="311"/>
  <c r="K113" i="311"/>
  <c r="V398" i="308"/>
  <c r="A397" i="308"/>
  <c r="U333" i="308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28" i="308"/>
  <c r="U329" i="308" s="1"/>
  <c r="U330" i="308" s="1"/>
  <c r="U331" i="308" s="1"/>
  <c r="A26" i="308"/>
  <c r="Z80" i="254"/>
  <c r="B81" i="254"/>
  <c r="B80" i="254"/>
  <c r="L179" i="311" l="1"/>
  <c r="L82" i="310"/>
  <c r="A81" i="310"/>
  <c r="K84" i="310"/>
  <c r="K114" i="311"/>
  <c r="A113" i="311"/>
  <c r="K33" i="311"/>
  <c r="A32" i="311"/>
  <c r="A398" i="308"/>
  <c r="V399" i="308"/>
  <c r="A399" i="308" s="1"/>
  <c r="A352" i="308"/>
  <c r="U354" i="308"/>
  <c r="A353" i="308"/>
  <c r="B82" i="254"/>
  <c r="B83" i="254" s="1"/>
  <c r="C81" i="254"/>
  <c r="AS4" i="254"/>
  <c r="A21" i="235"/>
  <c r="I31" i="235"/>
  <c r="A15" i="235"/>
  <c r="D13" i="235"/>
  <c r="C430" i="254"/>
  <c r="B431" i="254"/>
  <c r="Z42" i="254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42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5" i="269"/>
  <c r="CI33" i="268"/>
  <c r="AF33" i="268"/>
  <c r="CI31" i="268"/>
  <c r="AF31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7" i="291"/>
  <c r="A79" i="292"/>
  <c r="I78" i="280"/>
  <c r="H95" i="303"/>
  <c r="I78" i="284"/>
  <c r="W67" i="279"/>
  <c r="I78" i="272"/>
  <c r="AE66" i="277"/>
  <c r="H95" i="304"/>
  <c r="A54" i="293"/>
  <c r="H95" i="302"/>
  <c r="S66" i="295"/>
  <c r="AX23" i="283"/>
  <c r="W66" i="294"/>
  <c r="I78" i="276"/>
  <c r="W66" i="298"/>
  <c r="L180" i="311" l="1"/>
  <c r="A33" i="311"/>
  <c r="A114" i="311"/>
  <c r="K115" i="311"/>
  <c r="U355" i="308"/>
  <c r="A354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37" i="254" l="1"/>
  <c r="L181" i="311"/>
  <c r="L84" i="310"/>
  <c r="A83" i="310"/>
  <c r="K116" i="311"/>
  <c r="A115" i="311"/>
  <c r="K35" i="311"/>
  <c r="A34" i="311"/>
  <c r="U357" i="308"/>
  <c r="A355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76" i="117"/>
  <c r="P3" i="117"/>
  <c r="P4" i="117"/>
  <c r="P20" i="117"/>
  <c r="P21" i="117"/>
  <c r="P22" i="117"/>
  <c r="P23" i="117"/>
  <c r="P24" i="117"/>
  <c r="P60" i="117"/>
  <c r="P61" i="117"/>
  <c r="P62" i="117"/>
  <c r="P63" i="117"/>
  <c r="P64" i="117"/>
  <c r="P65" i="117"/>
  <c r="P71" i="117"/>
  <c r="P72" i="117"/>
  <c r="P73" i="117"/>
  <c r="P74" i="117"/>
  <c r="P2" i="117"/>
  <c r="J7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L182" i="311" l="1"/>
  <c r="A84" i="310"/>
  <c r="K36" i="311"/>
  <c r="A35" i="311"/>
  <c r="K117" i="311"/>
  <c r="A116" i="311"/>
  <c r="A44" i="254"/>
  <c r="A357" i="308"/>
  <c r="U358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60" i="117"/>
  <c r="M60" i="117"/>
  <c r="K118" i="311" l="1"/>
  <c r="A117" i="311"/>
  <c r="A36" i="311"/>
  <c r="K37" i="311"/>
  <c r="U359" i="308"/>
  <c r="A358" i="308"/>
  <c r="A30" i="308"/>
  <c r="J21" i="117"/>
  <c r="F9" i="111"/>
  <c r="L184" i="311" l="1"/>
  <c r="A37" i="311"/>
  <c r="K38" i="311"/>
  <c r="A118" i="311"/>
  <c r="K119" i="311"/>
  <c r="U360" i="308"/>
  <c r="A359" i="308"/>
  <c r="A31" i="308"/>
  <c r="L185" i="311" l="1"/>
  <c r="A38" i="311"/>
  <c r="K39" i="311"/>
  <c r="K120" i="311"/>
  <c r="A119" i="311"/>
  <c r="U361" i="308"/>
  <c r="A360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439" i="254"/>
  <c r="D439" i="254"/>
  <c r="L186" i="311" l="1"/>
  <c r="A39" i="311"/>
  <c r="K40" i="311"/>
  <c r="A120" i="311"/>
  <c r="K121" i="311"/>
  <c r="A361" i="308"/>
  <c r="U362" i="308"/>
  <c r="U366" i="308"/>
  <c r="A365" i="308"/>
  <c r="I70" i="117"/>
  <c r="F70" i="117"/>
  <c r="I69" i="117"/>
  <c r="F69" i="117"/>
  <c r="I68" i="117"/>
  <c r="I67" i="117"/>
  <c r="F67" i="117"/>
  <c r="I66" i="117"/>
  <c r="AE67" i="295"/>
  <c r="L187" i="311" l="1"/>
  <c r="K122" i="311"/>
  <c r="A121" i="311"/>
  <c r="A40" i="311"/>
  <c r="K41" i="311"/>
  <c r="A362" i="308"/>
  <c r="U363" i="308"/>
  <c r="A366" i="308"/>
  <c r="A33" i="308"/>
  <c r="P69" i="117"/>
  <c r="P67" i="117"/>
  <c r="P66" i="117"/>
  <c r="P68" i="117"/>
  <c r="P70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7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L188" i="311" l="1"/>
  <c r="A41" i="311"/>
  <c r="K42" i="311"/>
  <c r="K123" i="311"/>
  <c r="A122" i="311"/>
  <c r="A363" i="308"/>
  <c r="U364" i="308"/>
  <c r="U368" i="308"/>
  <c r="A367" i="308"/>
  <c r="A34" i="308"/>
  <c r="M73" i="117"/>
  <c r="M110" i="117"/>
  <c r="J110" i="117"/>
  <c r="M102" i="117"/>
  <c r="J102" i="117"/>
  <c r="I102" i="117"/>
  <c r="F102" i="117"/>
  <c r="AY20" i="139"/>
  <c r="X17" i="200"/>
  <c r="L189" i="311" l="1"/>
  <c r="L190" i="311" s="1"/>
  <c r="L191" i="311" s="1"/>
  <c r="L192" i="311" s="1"/>
  <c r="L193" i="311" s="1"/>
  <c r="K124" i="311"/>
  <c r="A123" i="311"/>
  <c r="A42" i="311"/>
  <c r="U369" i="308"/>
  <c r="A368" i="308"/>
  <c r="A35" i="308"/>
  <c r="M77" i="117"/>
  <c r="X17" i="135"/>
  <c r="A124" i="311" l="1"/>
  <c r="K125" i="311"/>
  <c r="A43" i="311"/>
  <c r="K44" i="311"/>
  <c r="U370" i="308"/>
  <c r="A369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23" i="117"/>
  <c r="J23" i="117"/>
  <c r="M22" i="117"/>
  <c r="J22" i="117"/>
  <c r="M21" i="117"/>
  <c r="M20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L194" i="311" l="1"/>
  <c r="A125" i="311"/>
  <c r="K126" i="311"/>
  <c r="K45" i="311"/>
  <c r="A44" i="311"/>
  <c r="U371" i="308"/>
  <c r="A370" i="308"/>
  <c r="A37" i="308"/>
  <c r="A18" i="205"/>
  <c r="A16" i="205"/>
  <c r="A13" i="205"/>
  <c r="A11" i="205"/>
  <c r="A8" i="205"/>
  <c r="A6" i="205"/>
  <c r="L195" i="311" l="1"/>
  <c r="K46" i="311"/>
  <c r="A45" i="311"/>
  <c r="U372" i="308"/>
  <c r="A371" i="308"/>
  <c r="A38" i="308"/>
  <c r="A3" i="205"/>
  <c r="BE3" i="205"/>
  <c r="S79" i="303"/>
  <c r="C23" i="297"/>
  <c r="V69" i="296"/>
  <c r="A71" i="302"/>
  <c r="W67" i="286"/>
  <c r="A74" i="277"/>
  <c r="AE67" i="284"/>
  <c r="A61" i="277"/>
  <c r="AX23" i="276"/>
  <c r="AX23" i="277"/>
  <c r="S66" i="296"/>
  <c r="AE79" i="118"/>
  <c r="A64" i="281"/>
  <c r="A79" i="271"/>
  <c r="AE79" i="303"/>
  <c r="A27" i="290"/>
  <c r="A61" i="285"/>
  <c r="A61" i="271"/>
  <c r="A61" i="280"/>
  <c r="C23" i="281"/>
  <c r="AX23" i="295"/>
  <c r="AE67" i="292"/>
  <c r="BB23" i="281"/>
  <c r="I78" i="281"/>
  <c r="I78" i="285"/>
  <c r="AE78" i="118"/>
  <c r="AX23" i="274"/>
  <c r="BB23" i="291"/>
  <c r="AE66" i="286"/>
  <c r="AI24" i="302"/>
  <c r="AT23" i="276"/>
  <c r="A26" i="291"/>
  <c r="W66" i="287"/>
  <c r="A27" i="275"/>
  <c r="A64" i="274"/>
  <c r="C23" i="296"/>
  <c r="W78" i="303"/>
  <c r="A26" i="296"/>
  <c r="S67" i="273"/>
  <c r="AE66" i="285"/>
  <c r="I78" i="278"/>
  <c r="BB23" i="282"/>
  <c r="W67" i="290"/>
  <c r="A64" i="295"/>
  <c r="S66" i="285"/>
  <c r="AE67" i="271"/>
  <c r="BB23" i="292"/>
  <c r="W66" i="280"/>
  <c r="C23" i="271"/>
  <c r="A27" i="289"/>
  <c r="W78" i="118"/>
  <c r="BB23" i="298"/>
  <c r="S66" i="273"/>
  <c r="C23" i="280"/>
  <c r="A27" i="294"/>
  <c r="AT23" i="292"/>
  <c r="AE67" i="280"/>
  <c r="W67" i="287"/>
  <c r="W67" i="283"/>
  <c r="V69" i="290"/>
  <c r="A27" i="296"/>
  <c r="A26" i="297"/>
  <c r="A54" i="275"/>
  <c r="S67" i="291"/>
  <c r="C24" i="302"/>
  <c r="S67" i="271"/>
  <c r="AX23" i="294"/>
  <c r="A74" i="273"/>
  <c r="AE67" i="298"/>
  <c r="AX23" i="296"/>
  <c r="I78" i="288"/>
  <c r="A27" i="288"/>
  <c r="A74" i="274"/>
  <c r="A54" i="286"/>
  <c r="S79" i="304"/>
  <c r="S66" i="293"/>
  <c r="W66" i="277"/>
  <c r="A74" i="276"/>
  <c r="S66" i="275"/>
  <c r="W67" i="276"/>
  <c r="C23" i="279"/>
  <c r="AX23" i="293"/>
  <c r="AE66" i="295"/>
  <c r="C23" i="277"/>
  <c r="I78" i="274"/>
  <c r="AE67" i="279"/>
  <c r="A26" i="273"/>
  <c r="S66" i="288"/>
  <c r="AE66" i="275"/>
  <c r="V69" i="285"/>
  <c r="AT23" i="271"/>
  <c r="C23" i="278"/>
  <c r="AE67" i="283"/>
  <c r="S79" i="302"/>
  <c r="BB23" i="295"/>
  <c r="A82" i="271"/>
  <c r="A64" i="292"/>
  <c r="C23" i="282"/>
  <c r="C24" i="304"/>
  <c r="V69" i="273"/>
  <c r="S67" i="285"/>
  <c r="S66" i="297"/>
  <c r="I78" i="291"/>
  <c r="W67" i="282"/>
  <c r="A27" i="298"/>
  <c r="A54" i="272"/>
  <c r="BB23" i="276"/>
  <c r="A61" i="281"/>
  <c r="S67" i="277"/>
  <c r="A54" i="298"/>
  <c r="AE66" i="281"/>
  <c r="A74" i="275"/>
  <c r="A54" i="278"/>
  <c r="A74" i="283"/>
  <c r="AT23" i="280"/>
  <c r="AE66" i="273"/>
  <c r="V69" i="298"/>
  <c r="W66" i="285"/>
  <c r="W66" i="283"/>
  <c r="BB23" i="286"/>
  <c r="A26" i="294"/>
  <c r="W67" i="297"/>
  <c r="AT23" i="297"/>
  <c r="AX23" i="278"/>
  <c r="BB23" i="280"/>
  <c r="W79" i="304"/>
  <c r="W67" i="288"/>
  <c r="S66" i="298"/>
  <c r="BB23" i="278"/>
  <c r="A26" i="272"/>
  <c r="A64" i="273"/>
  <c r="AE79" i="304"/>
  <c r="I78" i="298"/>
  <c r="A26" i="288"/>
  <c r="S67" i="280"/>
  <c r="AE66" i="282"/>
  <c r="AT23" i="290"/>
  <c r="A27" i="291"/>
  <c r="A26" i="278"/>
  <c r="AX23" i="291"/>
  <c r="W66" i="272"/>
  <c r="C23" i="298"/>
  <c r="A64" i="283"/>
  <c r="BB23" i="289"/>
  <c r="I78" i="295"/>
  <c r="AE66" i="274"/>
  <c r="A74" i="279"/>
  <c r="A71" i="118"/>
  <c r="A79" i="273"/>
  <c r="C24" i="118"/>
  <c r="AE67" i="287"/>
  <c r="A54" i="273"/>
  <c r="A61" i="276"/>
  <c r="A79" i="290"/>
  <c r="A54" i="282"/>
  <c r="A82" i="293"/>
  <c r="W66" i="278"/>
  <c r="A57" i="303"/>
  <c r="AT23" i="285"/>
  <c r="AX23" i="285"/>
  <c r="A27" i="292"/>
  <c r="AE66" i="272"/>
  <c r="S67" i="287"/>
  <c r="A54" i="281"/>
  <c r="V69" i="295"/>
  <c r="A79" i="295"/>
  <c r="A54" i="283"/>
  <c r="A54" i="271"/>
  <c r="A91" i="304"/>
  <c r="A79" i="296"/>
  <c r="C23" i="275"/>
  <c r="S67" i="293"/>
  <c r="A27" i="285"/>
  <c r="A54" i="284"/>
  <c r="A79" i="281"/>
  <c r="A79" i="297"/>
  <c r="A64" i="289"/>
  <c r="AX23" i="272"/>
  <c r="W66" i="284"/>
  <c r="C23" i="274"/>
  <c r="A27" i="276"/>
  <c r="A79" i="294"/>
  <c r="AE79" i="302"/>
  <c r="A4" i="306"/>
  <c r="A27" i="283"/>
  <c r="W66" i="271"/>
  <c r="AN24" i="302"/>
  <c r="AT23" i="287"/>
  <c r="A34" i="306"/>
  <c r="A57" i="302"/>
  <c r="W67" i="278"/>
  <c r="S78" i="302"/>
  <c r="AE66" i="279"/>
  <c r="A79" i="279"/>
  <c r="A64" i="287"/>
  <c r="AE67" i="281"/>
  <c r="A26" i="284"/>
  <c r="A61" i="274"/>
  <c r="A82" i="282"/>
  <c r="S66" i="278"/>
  <c r="V69" i="287"/>
  <c r="A82" i="287"/>
  <c r="I78" i="286"/>
  <c r="AT23" i="284"/>
  <c r="I78" i="293"/>
  <c r="S67" i="298"/>
  <c r="I78" i="273"/>
  <c r="S66" i="283"/>
  <c r="W66" i="276"/>
  <c r="AT23" i="272"/>
  <c r="AX23" i="286"/>
  <c r="A64" i="293"/>
  <c r="AE67" i="289"/>
  <c r="A26" i="282"/>
  <c r="A35" i="306"/>
  <c r="A54" i="292"/>
  <c r="S67" i="286"/>
  <c r="AT23" i="273"/>
  <c r="S78" i="303"/>
  <c r="A54" i="294"/>
  <c r="AN24" i="304"/>
  <c r="A26" i="276"/>
  <c r="AE66" i="287"/>
  <c r="V69" i="293"/>
  <c r="C23" i="290"/>
  <c r="A74" i="298"/>
  <c r="AX23" i="290"/>
  <c r="A79" i="288"/>
  <c r="A82" i="288"/>
  <c r="S66" i="274"/>
  <c r="A27" i="272"/>
  <c r="A64" i="275"/>
  <c r="A61" i="273"/>
  <c r="I78" i="271"/>
  <c r="AE67" i="290"/>
  <c r="AX23" i="282"/>
  <c r="AT23" i="296"/>
  <c r="AT23" i="298"/>
  <c r="BB23" i="277"/>
  <c r="I78" i="289"/>
  <c r="S66" i="277"/>
  <c r="A54" i="277"/>
  <c r="A64" i="282"/>
  <c r="A82" i="273"/>
  <c r="A27" i="281"/>
  <c r="S66" i="280"/>
  <c r="S67" i="284"/>
  <c r="V69" i="294"/>
  <c r="AT23" i="281"/>
  <c r="BB23" i="271"/>
  <c r="AT23" i="291"/>
  <c r="AT23" i="289"/>
  <c r="A26" i="283"/>
  <c r="A82" i="274"/>
  <c r="BB23" i="297"/>
  <c r="W67" i="285"/>
  <c r="A67" i="118"/>
  <c r="C23" i="283"/>
  <c r="C24" i="303"/>
  <c r="AX23" i="297"/>
  <c r="W67" i="295"/>
  <c r="I78" i="275"/>
  <c r="W66" i="292"/>
  <c r="W66" i="288"/>
  <c r="BB23" i="274"/>
  <c r="AT23" i="295"/>
  <c r="W66" i="286"/>
  <c r="C23" i="295"/>
  <c r="A27" i="287"/>
  <c r="A54" i="296"/>
  <c r="A57" i="118"/>
  <c r="V69" i="284"/>
  <c r="BB23" i="283"/>
  <c r="A27" i="284"/>
  <c r="E35" i="306"/>
  <c r="V69" i="282"/>
  <c r="V69" i="275"/>
  <c r="A3" i="307"/>
  <c r="A82" i="283"/>
  <c r="W66" i="282"/>
  <c r="BB23" i="296"/>
  <c r="A82" i="272"/>
  <c r="A64" i="290"/>
  <c r="A82" i="280"/>
  <c r="AT23" i="294"/>
  <c r="AT23" i="278"/>
  <c r="AE78" i="302"/>
  <c r="I78" i="277"/>
  <c r="AE67" i="276"/>
  <c r="S67" i="296"/>
  <c r="S66" i="289"/>
  <c r="W67" i="289"/>
  <c r="AX23" i="287"/>
  <c r="AT23" i="283"/>
  <c r="S79" i="118"/>
  <c r="C23" i="276"/>
  <c r="A26" i="280"/>
  <c r="S67" i="275"/>
  <c r="A26" i="292"/>
  <c r="A79" i="282"/>
  <c r="V69" i="278"/>
  <c r="C23" i="273"/>
  <c r="I78" i="296"/>
  <c r="W67" i="296"/>
  <c r="W67" i="274"/>
  <c r="A64" i="297"/>
  <c r="A79" i="283"/>
  <c r="A54" i="291"/>
  <c r="A54" i="290"/>
  <c r="C23" i="293"/>
  <c r="A79" i="276"/>
  <c r="A27" i="278"/>
  <c r="AX23" i="281"/>
  <c r="I78" i="283"/>
  <c r="W66" i="273"/>
  <c r="A82" i="292"/>
  <c r="S67" i="281"/>
  <c r="AE67" i="278"/>
  <c r="A27" i="273"/>
  <c r="A54" i="279"/>
  <c r="S66" i="292"/>
  <c r="A79" i="287"/>
  <c r="A71" i="303"/>
  <c r="A61" i="278"/>
  <c r="A54" i="287"/>
  <c r="W66" i="296"/>
  <c r="S67" i="294"/>
  <c r="A82" i="285"/>
  <c r="C23" i="288"/>
  <c r="A79" i="289"/>
  <c r="S67" i="289"/>
  <c r="A26" i="287"/>
  <c r="A61" i="284"/>
  <c r="S67" i="295"/>
  <c r="A54" i="276"/>
  <c r="AN24" i="118"/>
  <c r="A79" i="293"/>
  <c r="A64" i="298"/>
  <c r="W79" i="118"/>
  <c r="AE67" i="275"/>
  <c r="A57" i="304"/>
  <c r="V69" i="272"/>
  <c r="A79" i="274"/>
  <c r="AE67" i="286"/>
  <c r="W66" i="289"/>
  <c r="A79" i="278"/>
  <c r="AE66" i="298"/>
  <c r="AE78" i="304"/>
  <c r="A79" i="272"/>
  <c r="A74" i="280"/>
  <c r="A79" i="277"/>
  <c r="AE78" i="303"/>
  <c r="W67" i="271"/>
  <c r="I78" i="282"/>
  <c r="S66" i="282"/>
  <c r="A61" i="272"/>
  <c r="W67" i="284"/>
  <c r="A82" i="291"/>
  <c r="A26" i="271"/>
  <c r="AT23" i="282"/>
  <c r="AE66" i="283"/>
  <c r="A82" i="298"/>
  <c r="A26" i="274"/>
  <c r="S66" i="287"/>
  <c r="A82" i="296"/>
  <c r="W79" i="303"/>
  <c r="A64" i="280"/>
  <c r="AE67" i="296"/>
  <c r="AE67" i="293"/>
  <c r="A54" i="288"/>
  <c r="A64" i="288"/>
  <c r="AE67" i="277"/>
  <c r="V69" i="288"/>
  <c r="W67" i="298"/>
  <c r="S67" i="283"/>
  <c r="V69" i="291"/>
  <c r="I78" i="292"/>
  <c r="AV24" i="304"/>
  <c r="A74" i="284"/>
  <c r="A82" i="289"/>
  <c r="AE66" i="284"/>
  <c r="A26" i="289"/>
  <c r="AE66" i="280"/>
  <c r="A64" i="284"/>
  <c r="W66" i="274"/>
  <c r="W67" i="275"/>
  <c r="A26" i="285"/>
  <c r="A64" i="278"/>
  <c r="A54" i="285"/>
  <c r="E34" i="306"/>
  <c r="AT23" i="277"/>
  <c r="BB23" i="294"/>
  <c r="AI24" i="118"/>
  <c r="A61" i="283"/>
  <c r="S67" i="278"/>
  <c r="A26" i="295"/>
  <c r="BB23" i="275"/>
  <c r="A79" i="284"/>
  <c r="W66" i="297"/>
  <c r="AE66" i="278"/>
  <c r="A64" i="276"/>
  <c r="I78" i="290"/>
  <c r="AT23" i="286"/>
  <c r="A82" i="277"/>
  <c r="I78" i="287"/>
  <c r="A27" i="282"/>
  <c r="W67" i="280"/>
  <c r="A64" i="285"/>
  <c r="A79" i="286"/>
  <c r="D14" i="307"/>
  <c r="A82" i="275"/>
  <c r="C23" i="289"/>
  <c r="V69" i="281"/>
  <c r="AX23" i="279"/>
  <c r="A64" i="272"/>
  <c r="W67" i="281"/>
  <c r="A82" i="279"/>
  <c r="A26" i="279"/>
  <c r="C23" i="285"/>
  <c r="V69" i="279"/>
  <c r="AE66" i="276"/>
  <c r="S66" i="294"/>
  <c r="S66" i="281"/>
  <c r="A27" i="297"/>
  <c r="A74" i="282"/>
  <c r="BB23" i="285"/>
  <c r="AT23" i="293"/>
  <c r="C23" i="287"/>
  <c r="BB23" i="284"/>
  <c r="BB23" i="272"/>
  <c r="W78" i="304"/>
  <c r="AX23" i="292"/>
  <c r="A64" i="277"/>
  <c r="A82" i="297"/>
  <c r="A74" i="278"/>
  <c r="A82" i="205"/>
  <c r="W66" i="275"/>
  <c r="S66" i="271"/>
  <c r="S67" i="282"/>
  <c r="AE67" i="272"/>
  <c r="A64" i="291"/>
  <c r="A27" i="280"/>
  <c r="A82" i="284"/>
  <c r="BB23" i="288"/>
  <c r="AE67" i="274"/>
  <c r="BB23" i="273"/>
  <c r="A27" i="274"/>
  <c r="V69" i="292"/>
  <c r="V69" i="277"/>
  <c r="A79" i="291"/>
  <c r="AX23" i="288"/>
  <c r="AX23" i="298"/>
  <c r="A82" i="290"/>
  <c r="C23" i="294"/>
  <c r="A79" i="285"/>
  <c r="A61" i="279"/>
  <c r="V69" i="271"/>
  <c r="A64" i="286"/>
  <c r="C23" i="286"/>
  <c r="A27" i="293"/>
  <c r="A82" i="278"/>
  <c r="AX23" i="273"/>
  <c r="A82" i="276"/>
  <c r="AX23" i="284"/>
  <c r="A27" i="295"/>
  <c r="A54" i="295"/>
  <c r="A79" i="275"/>
  <c r="AX23" i="289"/>
  <c r="AE66" i="288"/>
  <c r="V69" i="274"/>
  <c r="A67" i="304"/>
  <c r="AE67" i="288"/>
  <c r="V69" i="286"/>
  <c r="W78" i="302"/>
  <c r="A26" i="298"/>
  <c r="A54" i="297"/>
  <c r="I78" i="297"/>
  <c r="S67" i="288"/>
  <c r="AT23" i="275"/>
  <c r="W66" i="295"/>
  <c r="AE66" i="289"/>
  <c r="A71" i="304"/>
  <c r="BB23" i="290"/>
  <c r="S66" i="290"/>
  <c r="A79" i="298"/>
  <c r="S67" i="292"/>
  <c r="S66" i="286"/>
  <c r="W67" i="272"/>
  <c r="W66" i="279"/>
  <c r="S78" i="118"/>
  <c r="A61" i="275"/>
  <c r="S66" i="272"/>
  <c r="W66" i="293"/>
  <c r="AN24" i="303"/>
  <c r="I78" i="294"/>
  <c r="A27" i="286"/>
  <c r="S66" i="279"/>
  <c r="V69" i="280"/>
  <c r="A82" i="281"/>
  <c r="AX23" i="280"/>
  <c r="S67" i="274"/>
  <c r="V69" i="276"/>
  <c r="W67" i="277"/>
  <c r="S66" i="284"/>
  <c r="A27" i="279"/>
  <c r="AV24" i="303"/>
  <c r="V69" i="289"/>
  <c r="AX23" i="275"/>
  <c r="AV24" i="118"/>
  <c r="AV24" i="302"/>
  <c r="W79" i="302"/>
  <c r="AT23" i="288"/>
  <c r="W66" i="291"/>
  <c r="C23" i="284"/>
  <c r="A64" i="294"/>
  <c r="C23" i="292"/>
  <c r="AE66" i="271"/>
  <c r="AE67" i="285"/>
  <c r="AI24" i="304"/>
  <c r="AI24" i="303"/>
  <c r="S67" i="272"/>
  <c r="V69" i="283"/>
  <c r="S78" i="304"/>
  <c r="A26" i="293"/>
  <c r="I78" i="279"/>
  <c r="AE67" i="282"/>
  <c r="AE67" i="294"/>
  <c r="S67" i="290"/>
  <c r="A27" i="277"/>
  <c r="A74" i="272"/>
  <c r="S66" i="276"/>
  <c r="A82" i="294"/>
  <c r="A26" i="286"/>
  <c r="AT23" i="279"/>
  <c r="A54" i="280"/>
  <c r="A27" i="271"/>
  <c r="AE67" i="273"/>
  <c r="A26" i="290"/>
  <c r="S67" i="279"/>
  <c r="A74" i="281"/>
  <c r="BB23" i="287"/>
  <c r="W67" i="292"/>
  <c r="AE67" i="291"/>
  <c r="S67" i="297"/>
  <c r="W67" i="294"/>
  <c r="BB23" i="293"/>
  <c r="W66" i="290"/>
  <c r="A64" i="279"/>
  <c r="A79" i="280"/>
  <c r="C23" i="291"/>
  <c r="S67" i="276"/>
  <c r="A54" i="289"/>
  <c r="W67" i="293"/>
  <c r="A26" i="277"/>
  <c r="AT23" i="274"/>
  <c r="BB23" i="279"/>
  <c r="C23" i="272"/>
  <c r="AE67" i="297"/>
  <c r="W67" i="273"/>
  <c r="AE66" i="297"/>
  <c r="V69" i="297"/>
  <c r="A54" i="274"/>
  <c r="A82" i="286"/>
  <c r="A64" i="271"/>
  <c r="W66" i="281"/>
  <c r="S66" i="291"/>
  <c r="D9" i="306"/>
  <c r="A26" i="281"/>
  <c r="A61" i="282"/>
  <c r="AX23" i="271"/>
  <c r="A26" i="275"/>
  <c r="A64" i="296"/>
  <c r="K127" i="311" l="1"/>
  <c r="A126" i="311"/>
  <c r="A46" i="311"/>
  <c r="K47" i="311"/>
  <c r="U373" i="308"/>
  <c r="A372" i="308"/>
  <c r="A39" i="308"/>
  <c r="I27" i="228"/>
  <c r="CJ33" i="227"/>
  <c r="W67" i="205"/>
  <c r="A61" i="205"/>
  <c r="AE67" i="205"/>
  <c r="A79" i="205"/>
  <c r="W66" i="205"/>
  <c r="V69" i="205"/>
  <c r="AT23" i="205"/>
  <c r="AX23" i="205"/>
  <c r="A54" i="205"/>
  <c r="AE66" i="205"/>
  <c r="I78" i="205"/>
  <c r="S67" i="205"/>
  <c r="A64" i="205"/>
  <c r="A26" i="205"/>
  <c r="BB23" i="205"/>
  <c r="A27" i="205"/>
  <c r="S66" i="205"/>
  <c r="C23" i="205"/>
  <c r="L197" i="311" l="1"/>
  <c r="K128" i="311"/>
  <c r="A127" i="311"/>
  <c r="K48" i="311"/>
  <c r="A47" i="311"/>
  <c r="U374" i="308"/>
  <c r="A373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L198" i="311" l="1"/>
  <c r="K129" i="311"/>
  <c r="A128" i="311"/>
  <c r="A48" i="311"/>
  <c r="K49" i="311"/>
  <c r="U375" i="308"/>
  <c r="A374" i="308"/>
  <c r="A41" i="308"/>
  <c r="BX58" i="200"/>
  <c r="BC8" i="200"/>
  <c r="BC6" i="200"/>
  <c r="DH6" i="200" s="1"/>
  <c r="BC4" i="200"/>
  <c r="DH4" i="200" s="1"/>
  <c r="A4" i="200"/>
  <c r="BC2" i="200"/>
  <c r="L199" i="311" l="1"/>
  <c r="K130" i="311"/>
  <c r="A129" i="311"/>
  <c r="K50" i="311"/>
  <c r="A49" i="311"/>
  <c r="A375" i="308"/>
  <c r="A42" i="308"/>
  <c r="A27" i="118"/>
  <c r="L200" i="311" l="1"/>
  <c r="K131" i="311"/>
  <c r="A130" i="311"/>
  <c r="A50" i="311"/>
  <c r="K51" i="311"/>
  <c r="U401" i="308"/>
  <c r="A400" i="308"/>
  <c r="M67" i="117"/>
  <c r="J72" i="117"/>
  <c r="J62" i="117"/>
  <c r="J69" i="117"/>
  <c r="J63" i="117"/>
  <c r="CJ30" i="175"/>
  <c r="Q25" i="171"/>
  <c r="BN25" i="171"/>
  <c r="A61" i="290"/>
  <c r="A67" i="302"/>
  <c r="A61" i="294"/>
  <c r="A61" i="287"/>
  <c r="A61" i="286"/>
  <c r="L201" i="311" l="1"/>
  <c r="A131" i="311"/>
  <c r="K132" i="311"/>
  <c r="A51" i="311"/>
  <c r="U402" i="308"/>
  <c r="A401" i="308"/>
  <c r="A43" i="308"/>
  <c r="A24" i="154"/>
  <c r="BC22" i="154"/>
  <c r="A20" i="154"/>
  <c r="AW18" i="154"/>
  <c r="L202" i="311" l="1"/>
  <c r="K133" i="311"/>
  <c r="A132" i="311"/>
  <c r="A52" i="311"/>
  <c r="K53" i="311"/>
  <c r="U403" i="308"/>
  <c r="A402" i="308"/>
  <c r="A44" i="308"/>
  <c r="A18" i="1"/>
  <c r="AT16" i="1"/>
  <c r="L203" i="311" l="1"/>
  <c r="K134" i="311"/>
  <c r="A133" i="311"/>
  <c r="A53" i="311"/>
  <c r="K54" i="311"/>
  <c r="U404" i="308"/>
  <c r="A403" i="308"/>
  <c r="A45" i="308"/>
  <c r="J67" i="117"/>
  <c r="M66" i="117"/>
  <c r="A61" i="291"/>
  <c r="A61" i="295"/>
  <c r="L204" i="311" l="1"/>
  <c r="K135" i="311"/>
  <c r="A134" i="311"/>
  <c r="A54" i="311"/>
  <c r="K55" i="311"/>
  <c r="U405" i="308"/>
  <c r="A404" i="308"/>
  <c r="A46" i="308"/>
  <c r="J73" i="117"/>
  <c r="A18" i="171"/>
  <c r="BC16" i="171"/>
  <c r="AG13" i="171"/>
  <c r="BC23" i="145"/>
  <c r="A21" i="145"/>
  <c r="AW19" i="145"/>
  <c r="AD15" i="145"/>
  <c r="AE14" i="154"/>
  <c r="A67" i="303"/>
  <c r="A61" i="297"/>
  <c r="A61" i="298"/>
  <c r="L205" i="311" l="1"/>
  <c r="K137" i="311"/>
  <c r="A136" i="311"/>
  <c r="K56" i="311"/>
  <c r="A55" i="311"/>
  <c r="A165" i="311"/>
  <c r="U406" i="308"/>
  <c r="A405" i="308"/>
  <c r="A47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206" i="311" l="1"/>
  <c r="A137" i="311"/>
  <c r="K138" i="311"/>
  <c r="K57" i="311"/>
  <c r="A56" i="311"/>
  <c r="U407" i="308"/>
  <c r="U408" i="308" s="1"/>
  <c r="A406" i="308"/>
  <c r="A48" i="308"/>
  <c r="L207" i="311" l="1"/>
  <c r="A138" i="311"/>
  <c r="K139" i="311"/>
  <c r="K140" i="311" s="1"/>
  <c r="K141" i="311" s="1"/>
  <c r="A57" i="311"/>
  <c r="K58" i="311"/>
  <c r="A407" i="308"/>
  <c r="A49" i="308"/>
  <c r="J87" i="117"/>
  <c r="J86" i="117"/>
  <c r="K142" i="311" l="1"/>
  <c r="A141" i="311"/>
  <c r="A139" i="311"/>
  <c r="A140" i="311"/>
  <c r="K59" i="311"/>
  <c r="A58" i="311"/>
  <c r="A50" i="308"/>
  <c r="A14" i="100"/>
  <c r="K143" i="311" l="1"/>
  <c r="A142" i="311"/>
  <c r="A59" i="311"/>
  <c r="K60" i="311"/>
  <c r="A51" i="308"/>
  <c r="A19" i="112"/>
  <c r="A20" i="112"/>
  <c r="A21" i="110"/>
  <c r="A20" i="110"/>
  <c r="D23" i="143"/>
  <c r="K144" i="311" l="1"/>
  <c r="A143" i="311"/>
  <c r="A60" i="311"/>
  <c r="U409" i="308"/>
  <c r="A408" i="308"/>
  <c r="M85" i="117"/>
  <c r="M84" i="117"/>
  <c r="K145" i="311" l="1"/>
  <c r="A144" i="311"/>
  <c r="A61" i="311"/>
  <c r="K62" i="311"/>
  <c r="U410" i="308"/>
  <c r="A409" i="308"/>
  <c r="A52" i="308"/>
  <c r="G9" i="109"/>
  <c r="K146" i="311" l="1"/>
  <c r="A145" i="311"/>
  <c r="A62" i="311"/>
  <c r="K63" i="311"/>
  <c r="U411" i="308"/>
  <c r="A410" i="308"/>
  <c r="A53" i="308"/>
  <c r="J64" i="117"/>
  <c r="J85" i="117"/>
  <c r="A61" i="289"/>
  <c r="A61" i="288"/>
  <c r="K147" i="311" l="1"/>
  <c r="A146" i="311"/>
  <c r="A174" i="311"/>
  <c r="A63" i="311"/>
  <c r="K64" i="311"/>
  <c r="U412" i="308"/>
  <c r="A411" i="308"/>
  <c r="A54" i="308"/>
  <c r="J90" i="117"/>
  <c r="K148" i="311" l="1"/>
  <c r="A147" i="311"/>
  <c r="A64" i="311"/>
  <c r="K65" i="311"/>
  <c r="U413" i="308"/>
  <c r="A412" i="308"/>
  <c r="A55" i="308"/>
  <c r="M86" i="117"/>
  <c r="K149" i="311" l="1"/>
  <c r="A148" i="311"/>
  <c r="A65" i="311"/>
  <c r="K66" i="311"/>
  <c r="U414" i="308"/>
  <c r="A413" i="308"/>
  <c r="J89" i="117"/>
  <c r="J88" i="117"/>
  <c r="J84" i="117"/>
  <c r="M90" i="117"/>
  <c r="M89" i="117"/>
  <c r="M87" i="117"/>
  <c r="M83" i="117"/>
  <c r="K150" i="311" l="1"/>
  <c r="A149" i="311"/>
  <c r="A66" i="311"/>
  <c r="K67" i="311"/>
  <c r="U415" i="308"/>
  <c r="A414" i="308"/>
  <c r="A57" i="308"/>
  <c r="CJ68" i="1"/>
  <c r="Z76" i="1" s="1"/>
  <c r="K151" i="311" l="1"/>
  <c r="A150" i="311"/>
  <c r="A67" i="311"/>
  <c r="K68" i="311"/>
  <c r="U416" i="308"/>
  <c r="A415" i="308"/>
  <c r="F6" i="114"/>
  <c r="BE6" i="145"/>
  <c r="F68" i="117"/>
  <c r="F66" i="117"/>
  <c r="AE66" i="296"/>
  <c r="AE66" i="292"/>
  <c r="AE66" i="290"/>
  <c r="AE66" i="294"/>
  <c r="AE66" i="293"/>
  <c r="AE66" i="291"/>
  <c r="K152" i="311" l="1"/>
  <c r="A151" i="311"/>
  <c r="A68" i="311"/>
  <c r="K69" i="311"/>
  <c r="U417" i="308"/>
  <c r="A416" i="308"/>
  <c r="A58" i="308"/>
  <c r="BC7" i="175"/>
  <c r="BC5" i="175"/>
  <c r="DH5" i="175" s="1"/>
  <c r="BC3" i="175"/>
  <c r="DH3" i="175" s="1"/>
  <c r="A3" i="175"/>
  <c r="BH1" i="175"/>
  <c r="K153" i="311" l="1"/>
  <c r="A152" i="311"/>
  <c r="A69" i="311"/>
  <c r="U418" i="308"/>
  <c r="A417" i="308"/>
  <c r="A15" i="112"/>
  <c r="C19" i="114"/>
  <c r="A16" i="110"/>
  <c r="BE8" i="145"/>
  <c r="K154" i="311" l="1"/>
  <c r="A153" i="311"/>
  <c r="K71" i="311"/>
  <c r="A70" i="311"/>
  <c r="U419" i="308"/>
  <c r="A418" i="308"/>
  <c r="A59" i="308"/>
  <c r="A20" i="114"/>
  <c r="A17" i="110"/>
  <c r="A16" i="112"/>
  <c r="C13" i="133"/>
  <c r="K155" i="311" l="1"/>
  <c r="A154" i="311"/>
  <c r="K72" i="311"/>
  <c r="A71" i="311"/>
  <c r="U420" i="308"/>
  <c r="A419" i="308"/>
  <c r="A60" i="308"/>
  <c r="H58" i="110"/>
  <c r="F22" i="109"/>
  <c r="H52" i="112"/>
  <c r="H42" i="114"/>
  <c r="K156" i="311" l="1"/>
  <c r="A155" i="311"/>
  <c r="A72" i="311"/>
  <c r="K73" i="311"/>
  <c r="U421" i="308"/>
  <c r="A420" i="308"/>
  <c r="A61" i="308"/>
  <c r="A13" i="118"/>
  <c r="A11" i="118"/>
  <c r="A23" i="171"/>
  <c r="BD8" i="171"/>
  <c r="BD6" i="171"/>
  <c r="DH6" i="171" s="1"/>
  <c r="BD4" i="171"/>
  <c r="DH4" i="171" s="1"/>
  <c r="A4" i="171"/>
  <c r="BD2" i="171"/>
  <c r="K157" i="311" l="1"/>
  <c r="A156" i="311"/>
  <c r="K74" i="311"/>
  <c r="A73" i="311"/>
  <c r="U422" i="308"/>
  <c r="A421" i="308"/>
  <c r="J81" i="117"/>
  <c r="J68" i="117"/>
  <c r="A61" i="292"/>
  <c r="A61" i="293"/>
  <c r="A61" i="296"/>
  <c r="K158" i="311" l="1"/>
  <c r="A157" i="311"/>
  <c r="A74" i="311"/>
  <c r="K75" i="311"/>
  <c r="U423" i="308"/>
  <c r="A422" i="308"/>
  <c r="A62" i="308"/>
  <c r="M80" i="117"/>
  <c r="M72" i="117"/>
  <c r="M71" i="117"/>
  <c r="M64" i="117"/>
  <c r="M63" i="117"/>
  <c r="M62" i="117"/>
  <c r="M61" i="117"/>
  <c r="A74" i="289"/>
  <c r="A74" i="295"/>
  <c r="A74" i="288"/>
  <c r="A74" i="285"/>
  <c r="A74" i="290"/>
  <c r="A74" i="287"/>
  <c r="A74" i="291"/>
  <c r="A74" i="286"/>
  <c r="K159" i="311" l="1"/>
  <c r="A158" i="311"/>
  <c r="K76" i="311"/>
  <c r="A75" i="311"/>
  <c r="A423" i="308"/>
  <c r="A63" i="308"/>
  <c r="M75" i="117"/>
  <c r="M76" i="117"/>
  <c r="M69" i="117"/>
  <c r="M68" i="117"/>
  <c r="A74" i="297"/>
  <c r="A91" i="303"/>
  <c r="A74" i="293"/>
  <c r="A74" i="296"/>
  <c r="A74" i="292"/>
  <c r="A91" i="302"/>
  <c r="A74" i="294"/>
  <c r="A91" i="118"/>
  <c r="K160" i="311" l="1"/>
  <c r="A159" i="311"/>
  <c r="A76" i="311"/>
  <c r="K77" i="311"/>
  <c r="U425" i="308"/>
  <c r="A424" i="308"/>
  <c r="BH6" i="148"/>
  <c r="K161" i="311" l="1"/>
  <c r="A160" i="311"/>
  <c r="A77" i="311"/>
  <c r="K78" i="311"/>
  <c r="U426" i="308"/>
  <c r="A425" i="308"/>
  <c r="A64" i="308"/>
  <c r="BE6" i="139"/>
  <c r="DH6" i="145"/>
  <c r="BC6" i="154"/>
  <c r="K162" i="311" l="1"/>
  <c r="A161" i="311"/>
  <c r="A78" i="311"/>
  <c r="U427" i="308"/>
  <c r="A426" i="308"/>
  <c r="A65" i="308"/>
  <c r="DH6" i="154"/>
  <c r="K163" i="311" l="1"/>
  <c r="A162" i="311"/>
  <c r="K80" i="311"/>
  <c r="A79" i="311"/>
  <c r="U428" i="308"/>
  <c r="A427" i="308"/>
  <c r="A66" i="308"/>
  <c r="A28" i="118"/>
  <c r="A15" i="136"/>
  <c r="A16" i="148"/>
  <c r="A14" i="149"/>
  <c r="A14" i="1"/>
  <c r="K164" i="311" l="1"/>
  <c r="K166" i="311" s="1"/>
  <c r="A163" i="311"/>
  <c r="K81" i="311"/>
  <c r="A80" i="311"/>
  <c r="U429" i="308"/>
  <c r="A428" i="308"/>
  <c r="A67" i="308"/>
  <c r="CJ28" i="175"/>
  <c r="A15" i="171"/>
  <c r="CJ28" i="150"/>
  <c r="CJ28" i="148"/>
  <c r="CJ45" i="136"/>
  <c r="I25" i="149"/>
  <c r="K167" i="311" l="1"/>
  <c r="A166" i="311"/>
  <c r="A81" i="311"/>
  <c r="K82" i="311"/>
  <c r="U430" i="308"/>
  <c r="A429" i="308"/>
  <c r="A68" i="308"/>
  <c r="H25" i="133"/>
  <c r="K168" i="311" l="1"/>
  <c r="A167" i="311"/>
  <c r="K83" i="311"/>
  <c r="A82" i="311"/>
  <c r="U431" i="308"/>
  <c r="A430" i="308"/>
  <c r="A69" i="308"/>
  <c r="B24" i="149"/>
  <c r="K169" i="311" l="1"/>
  <c r="A168" i="311"/>
  <c r="A83" i="311"/>
  <c r="K84" i="311"/>
  <c r="U432" i="308"/>
  <c r="A431" i="308"/>
  <c r="A70" i="308"/>
  <c r="A41" i="118"/>
  <c r="A61" i="118"/>
  <c r="AD59" i="118"/>
  <c r="A82" i="118"/>
  <c r="K170" i="311" l="1"/>
  <c r="A169" i="311"/>
  <c r="K85" i="311"/>
  <c r="A84" i="311"/>
  <c r="A71" i="308"/>
  <c r="CJ70" i="1"/>
  <c r="BN26" i="136"/>
  <c r="Q26" i="136"/>
  <c r="A38" i="1"/>
  <c r="A16" i="118"/>
  <c r="A18" i="118"/>
  <c r="K171" i="311" l="1"/>
  <c r="A170" i="311"/>
  <c r="A85" i="311"/>
  <c r="K86" i="311"/>
  <c r="U434" i="308"/>
  <c r="A433" i="308"/>
  <c r="A72" i="308"/>
  <c r="A53" i="118"/>
  <c r="A6" i="118"/>
  <c r="A3" i="118"/>
  <c r="K172" i="311" l="1"/>
  <c r="A171" i="311"/>
  <c r="K87" i="311"/>
  <c r="A87" i="311" s="1"/>
  <c r="A86" i="311"/>
  <c r="U435" i="308"/>
  <c r="A434" i="308"/>
  <c r="A73" i="308"/>
  <c r="F6" i="133"/>
  <c r="N6" i="133" s="1"/>
  <c r="F7" i="111"/>
  <c r="N7" i="111" s="1"/>
  <c r="G6" i="113"/>
  <c r="O6" i="113" s="1"/>
  <c r="E30" i="111"/>
  <c r="A23" i="112"/>
  <c r="A24" i="110"/>
  <c r="K173" i="311" l="1"/>
  <c r="K175" i="311" s="1"/>
  <c r="A172" i="311"/>
  <c r="U436" i="308"/>
  <c r="A435" i="308"/>
  <c r="A74" i="308"/>
  <c r="BB6" i="136"/>
  <c r="DH6" i="136" s="1"/>
  <c r="BC6" i="135"/>
  <c r="DH6" i="135" s="1"/>
  <c r="K176" i="311" l="1"/>
  <c r="A175" i="311"/>
  <c r="U437" i="308"/>
  <c r="A436" i="308"/>
  <c r="A75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77" i="311" l="1"/>
  <c r="A176" i="311"/>
  <c r="U438" i="308"/>
  <c r="A437" i="308"/>
  <c r="A76" i="308"/>
  <c r="CJ66" i="1"/>
  <c r="CH76" i="1" s="1"/>
  <c r="K178" i="311" l="1"/>
  <c r="A177" i="311"/>
  <c r="U439" i="308"/>
  <c r="A438" i="308"/>
  <c r="A77" i="308"/>
  <c r="CF41" i="145"/>
  <c r="H54" i="112"/>
  <c r="H61" i="110"/>
  <c r="J23" i="143"/>
  <c r="J17" i="143"/>
  <c r="K179" i="311" l="1"/>
  <c r="A178" i="311"/>
  <c r="U440" i="308"/>
  <c r="A439" i="308"/>
  <c r="A78" i="308"/>
  <c r="M3" i="117"/>
  <c r="M2" i="117"/>
  <c r="A74" i="271"/>
  <c r="A74" i="205"/>
  <c r="K180" i="311" l="1"/>
  <c r="A179" i="311"/>
  <c r="U441" i="308"/>
  <c r="A440" i="308"/>
  <c r="A79" i="308"/>
  <c r="D30" i="112"/>
  <c r="DH6" i="148"/>
  <c r="K181" i="311" l="1"/>
  <c r="A180" i="311"/>
  <c r="U442" i="308"/>
  <c r="A441" i="308"/>
  <c r="A80" i="308"/>
  <c r="A16" i="154"/>
  <c r="BC8" i="154"/>
  <c r="A4" i="154"/>
  <c r="BC2" i="154"/>
  <c r="BC4" i="154"/>
  <c r="DH4" i="154" s="1"/>
  <c r="AW23" i="154"/>
  <c r="AR19" i="154"/>
  <c r="K182" i="311" l="1"/>
  <c r="A181" i="311"/>
  <c r="U443" i="308"/>
  <c r="A442" i="308"/>
  <c r="A81" i="308"/>
  <c r="K184" i="311" l="1"/>
  <c r="A183" i="311"/>
  <c r="A443" i="308"/>
  <c r="A82" i="308"/>
  <c r="CO6" i="139"/>
  <c r="K185" i="311" l="1"/>
  <c r="A184" i="311"/>
  <c r="U469" i="308"/>
  <c r="A468" i="308"/>
  <c r="A83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86" i="311" l="1"/>
  <c r="A185" i="311"/>
  <c r="U470" i="308"/>
  <c r="A469" i="308"/>
  <c r="A84" i="308"/>
  <c r="A24" i="136"/>
  <c r="K187" i="311" l="1"/>
  <c r="A186" i="311"/>
  <c r="U471" i="308"/>
  <c r="A470" i="308"/>
  <c r="A85" i="308"/>
  <c r="CF39" i="145"/>
  <c r="A17" i="145"/>
  <c r="D17" i="143"/>
  <c r="K188" i="311" l="1"/>
  <c r="A187" i="311"/>
  <c r="U472" i="308"/>
  <c r="A471" i="308"/>
  <c r="A86" i="308"/>
  <c r="CF43" i="145"/>
  <c r="P29" i="145"/>
  <c r="A25" i="145"/>
  <c r="BE4" i="145"/>
  <c r="DH4" i="145" s="1"/>
  <c r="BE2" i="145"/>
  <c r="A4" i="145"/>
  <c r="I15" i="144"/>
  <c r="D15" i="144"/>
  <c r="K189" i="311" l="1"/>
  <c r="K190" i="311" s="1"/>
  <c r="A188" i="311"/>
  <c r="U473" i="308"/>
  <c r="A472" i="308"/>
  <c r="A87" i="308"/>
  <c r="E8" i="143"/>
  <c r="A4" i="143"/>
  <c r="E4" i="143"/>
  <c r="Q4" i="143" s="1"/>
  <c r="K191" i="311" l="1"/>
  <c r="A190" i="311"/>
  <c r="A189" i="311"/>
  <c r="U474" i="308"/>
  <c r="A473" i="308"/>
  <c r="A88" i="308"/>
  <c r="A32" i="1"/>
  <c r="K192" i="311" l="1"/>
  <c r="A191" i="311"/>
  <c r="U475" i="308"/>
  <c r="U476" i="308" s="1"/>
  <c r="A474" i="308"/>
  <c r="A89" i="308"/>
  <c r="A33" i="118"/>
  <c r="A192" i="311" l="1"/>
  <c r="K193" i="311"/>
  <c r="A475" i="308"/>
  <c r="A90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93" i="311" l="1"/>
  <c r="K194" i="311"/>
  <c r="A91" i="308"/>
  <c r="A18" i="100"/>
  <c r="A194" i="311" l="1"/>
  <c r="A92" i="308"/>
  <c r="F8" i="112"/>
  <c r="K196" i="311" l="1"/>
  <c r="U477" i="308"/>
  <c r="A476" i="308"/>
  <c r="A93" i="308"/>
  <c r="A22" i="1"/>
  <c r="AZ20" i="1"/>
  <c r="A196" i="311" l="1"/>
  <c r="K197" i="311"/>
  <c r="U478" i="308"/>
  <c r="A477" i="308"/>
  <c r="A94" i="308"/>
  <c r="F3" i="111"/>
  <c r="A5" i="111"/>
  <c r="K198" i="311" l="1"/>
  <c r="A197" i="311"/>
  <c r="U479" i="308"/>
  <c r="A478" i="308"/>
  <c r="A95" i="308"/>
  <c r="A4" i="113"/>
  <c r="C31" i="113"/>
  <c r="G8" i="113"/>
  <c r="G4" i="113"/>
  <c r="O4" i="113" s="1"/>
  <c r="G2" i="113"/>
  <c r="H56" i="112"/>
  <c r="A24" i="112"/>
  <c r="F4" i="112"/>
  <c r="F2" i="112"/>
  <c r="A4" i="112"/>
  <c r="F20" i="109"/>
  <c r="G5" i="109"/>
  <c r="P5" i="109" s="1"/>
  <c r="G3" i="109"/>
  <c r="A5" i="109"/>
  <c r="I20" i="113" l="1"/>
  <c r="I29" i="113"/>
  <c r="I28" i="113"/>
  <c r="I27" i="113"/>
  <c r="I26" i="113"/>
  <c r="I25" i="113"/>
  <c r="I24" i="113"/>
  <c r="I23" i="113"/>
  <c r="I22" i="113"/>
  <c r="I21" i="113"/>
  <c r="I19" i="113"/>
  <c r="I18" i="113"/>
  <c r="I17" i="113"/>
  <c r="I16" i="113"/>
  <c r="I15" i="113"/>
  <c r="I14" i="113"/>
  <c r="A198" i="311"/>
  <c r="K199" i="311"/>
  <c r="U480" i="308"/>
  <c r="A479" i="308"/>
  <c r="A96" i="308"/>
  <c r="H64" i="110"/>
  <c r="B45" i="110"/>
  <c r="D27" i="110"/>
  <c r="A25" i="110"/>
  <c r="F5" i="110"/>
  <c r="N5" i="110" s="1"/>
  <c r="F3" i="110"/>
  <c r="A5" i="110"/>
  <c r="F9" i="110"/>
  <c r="E26" i="114"/>
  <c r="B22" i="114"/>
  <c r="K200" i="311" l="1"/>
  <c r="A199" i="311"/>
  <c r="U481" i="308"/>
  <c r="A480" i="308"/>
  <c r="A97" i="308"/>
  <c r="BX58" i="135"/>
  <c r="A200" i="311" l="1"/>
  <c r="K201" i="311"/>
  <c r="U482" i="308"/>
  <c r="A481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A427" i="254" l="1"/>
  <c r="A426" i="254"/>
  <c r="A425" i="254"/>
  <c r="A424" i="254"/>
  <c r="A423" i="254"/>
  <c r="A422" i="254"/>
  <c r="A421" i="254"/>
  <c r="A420" i="254"/>
  <c r="A419" i="254"/>
  <c r="A418" i="254"/>
  <c r="A417" i="254"/>
  <c r="A416" i="254"/>
  <c r="A415" i="254"/>
  <c r="A414" i="254"/>
  <c r="A413" i="254"/>
  <c r="A412" i="254"/>
  <c r="A411" i="254"/>
  <c r="A410" i="254"/>
  <c r="A409" i="254"/>
  <c r="A408" i="254"/>
  <c r="A407" i="254"/>
  <c r="A406" i="254"/>
  <c r="A405" i="254"/>
  <c r="A404" i="254"/>
  <c r="A403" i="254"/>
  <c r="A402" i="254"/>
  <c r="A401" i="254"/>
  <c r="A400" i="254"/>
  <c r="A399" i="254"/>
  <c r="A398" i="254"/>
  <c r="A397" i="254"/>
  <c r="A396" i="254"/>
  <c r="A395" i="254"/>
  <c r="A394" i="254"/>
  <c r="A393" i="254"/>
  <c r="A392" i="254"/>
  <c r="A391" i="254"/>
  <c r="A390" i="254"/>
  <c r="A389" i="254"/>
  <c r="A388" i="254"/>
  <c r="A387" i="254"/>
  <c r="A386" i="254"/>
  <c r="A385" i="254"/>
  <c r="A384" i="254"/>
  <c r="A383" i="254"/>
  <c r="A382" i="254"/>
  <c r="A381" i="254"/>
  <c r="A380" i="254"/>
  <c r="A379" i="254"/>
  <c r="A378" i="254"/>
  <c r="A377" i="254"/>
  <c r="A376" i="254"/>
  <c r="A375" i="254"/>
  <c r="A374" i="254"/>
  <c r="A373" i="254"/>
  <c r="A372" i="254"/>
  <c r="A371" i="254"/>
  <c r="A370" i="254"/>
  <c r="A369" i="254"/>
  <c r="A368" i="254"/>
  <c r="A367" i="254"/>
  <c r="A366" i="254"/>
  <c r="A365" i="254"/>
  <c r="A364" i="254"/>
  <c r="A363" i="254"/>
  <c r="A362" i="254"/>
  <c r="A361" i="254"/>
  <c r="A360" i="254"/>
  <c r="A359" i="254"/>
  <c r="A358" i="254"/>
  <c r="A357" i="254"/>
  <c r="A356" i="254"/>
  <c r="A355" i="254"/>
  <c r="A354" i="254"/>
  <c r="A353" i="254"/>
  <c r="A352" i="254"/>
  <c r="A351" i="254"/>
  <c r="A350" i="254"/>
  <c r="A349" i="254"/>
  <c r="A348" i="254"/>
  <c r="A347" i="254"/>
  <c r="A346" i="254"/>
  <c r="A345" i="254"/>
  <c r="A344" i="254"/>
  <c r="A343" i="254"/>
  <c r="A342" i="254"/>
  <c r="A341" i="254"/>
  <c r="A340" i="254"/>
  <c r="A339" i="254"/>
  <c r="A338" i="254"/>
  <c r="A337" i="254"/>
  <c r="A336" i="254"/>
  <c r="A335" i="254"/>
  <c r="A334" i="254"/>
  <c r="A333" i="254"/>
  <c r="A332" i="254"/>
  <c r="A331" i="254"/>
  <c r="A330" i="254"/>
  <c r="A329" i="254"/>
  <c r="A328" i="254"/>
  <c r="A327" i="254"/>
  <c r="A326" i="254"/>
  <c r="A325" i="254"/>
  <c r="A324" i="254"/>
  <c r="A323" i="254"/>
  <c r="A322" i="254"/>
  <c r="A321" i="254"/>
  <c r="A320" i="254"/>
  <c r="A319" i="254"/>
  <c r="A318" i="254"/>
  <c r="A317" i="254"/>
  <c r="A316" i="254"/>
  <c r="A315" i="254"/>
  <c r="A314" i="254"/>
  <c r="A313" i="254"/>
  <c r="A312" i="254"/>
  <c r="A311" i="254"/>
  <c r="A310" i="254"/>
  <c r="A309" i="254"/>
  <c r="A308" i="254"/>
  <c r="A307" i="254"/>
  <c r="A306" i="254"/>
  <c r="A305" i="254"/>
  <c r="A304" i="254"/>
  <c r="A303" i="254"/>
  <c r="A302" i="254"/>
  <c r="A301" i="254"/>
  <c r="A300" i="254"/>
  <c r="A299" i="254"/>
  <c r="A298" i="254"/>
  <c r="A297" i="254"/>
  <c r="A296" i="254"/>
  <c r="A295" i="254"/>
  <c r="A294" i="254"/>
  <c r="A293" i="254"/>
  <c r="A292" i="254"/>
  <c r="A291" i="254"/>
  <c r="A290" i="254"/>
  <c r="A289" i="254"/>
  <c r="A288" i="254"/>
  <c r="A287" i="254"/>
  <c r="A286" i="254"/>
  <c r="A285" i="254"/>
  <c r="A284" i="254"/>
  <c r="A283" i="254"/>
  <c r="A282" i="254"/>
  <c r="A281" i="254"/>
  <c r="A280" i="254"/>
  <c r="A279" i="254"/>
  <c r="A278" i="254"/>
  <c r="A277" i="254"/>
  <c r="A276" i="254"/>
  <c r="A275" i="254"/>
  <c r="A274" i="254"/>
  <c r="A273" i="254"/>
  <c r="A272" i="254"/>
  <c r="A271" i="254"/>
  <c r="A270" i="254"/>
  <c r="A269" i="254"/>
  <c r="A268" i="254"/>
  <c r="A267" i="254"/>
  <c r="A266" i="254"/>
  <c r="A265" i="254"/>
  <c r="A264" i="254"/>
  <c r="A263" i="254"/>
  <c r="A262" i="254"/>
  <c r="A261" i="254"/>
  <c r="A260" i="254"/>
  <c r="A259" i="254"/>
  <c r="A258" i="254"/>
  <c r="A257" i="254"/>
  <c r="A256" i="254"/>
  <c r="A255" i="254"/>
  <c r="A254" i="254"/>
  <c r="A253" i="254"/>
  <c r="A252" i="254"/>
  <c r="A251" i="254"/>
  <c r="A250" i="254"/>
  <c r="A249" i="254"/>
  <c r="A248" i="254"/>
  <c r="A247" i="254"/>
  <c r="A246" i="254"/>
  <c r="A245" i="254"/>
  <c r="A244" i="254"/>
  <c r="A243" i="254"/>
  <c r="A242" i="254"/>
  <c r="A241" i="254"/>
  <c r="A240" i="254"/>
  <c r="A239" i="254"/>
  <c r="A238" i="254"/>
  <c r="A237" i="254"/>
  <c r="A236" i="254"/>
  <c r="A235" i="254"/>
  <c r="A234" i="254"/>
  <c r="A233" i="254"/>
  <c r="A232" i="254"/>
  <c r="A231" i="254"/>
  <c r="A230" i="254"/>
  <c r="A229" i="254"/>
  <c r="A228" i="254"/>
  <c r="A227" i="254"/>
  <c r="A226" i="254"/>
  <c r="A225" i="254"/>
  <c r="A224" i="254"/>
  <c r="A223" i="254"/>
  <c r="A222" i="254"/>
  <c r="A221" i="254"/>
  <c r="A220" i="254"/>
  <c r="A219" i="254"/>
  <c r="A218" i="254"/>
  <c r="A217" i="254"/>
  <c r="A216" i="254"/>
  <c r="A215" i="254"/>
  <c r="A214" i="254"/>
  <c r="A213" i="254"/>
  <c r="A212" i="254"/>
  <c r="A211" i="254"/>
  <c r="A210" i="254"/>
  <c r="A209" i="254"/>
  <c r="A208" i="254"/>
  <c r="A207" i="254"/>
  <c r="A206" i="254"/>
  <c r="A205" i="254"/>
  <c r="A204" i="254"/>
  <c r="A203" i="254"/>
  <c r="A202" i="254"/>
  <c r="A201" i="254"/>
  <c r="A200" i="254"/>
  <c r="A199" i="254"/>
  <c r="A198" i="254"/>
  <c r="A197" i="254"/>
  <c r="A196" i="254"/>
  <c r="A195" i="254"/>
  <c r="A194" i="254"/>
  <c r="A193" i="254"/>
  <c r="A192" i="254"/>
  <c r="A191" i="254"/>
  <c r="A190" i="254"/>
  <c r="A189" i="254"/>
  <c r="A188" i="254"/>
  <c r="A187" i="254"/>
  <c r="A186" i="254"/>
  <c r="A185" i="254"/>
  <c r="A184" i="254"/>
  <c r="A183" i="254"/>
  <c r="A182" i="254"/>
  <c r="A181" i="254"/>
  <c r="A180" i="254"/>
  <c r="A179" i="254"/>
  <c r="A178" i="254"/>
  <c r="A177" i="254"/>
  <c r="A176" i="254"/>
  <c r="A175" i="254"/>
  <c r="A174" i="254"/>
  <c r="A173" i="254"/>
  <c r="A172" i="254"/>
  <c r="A171" i="254"/>
  <c r="A170" i="254"/>
  <c r="A169" i="254"/>
  <c r="A168" i="254"/>
  <c r="A167" i="254"/>
  <c r="A166" i="254"/>
  <c r="A165" i="254"/>
  <c r="A164" i="254"/>
  <c r="A163" i="254"/>
  <c r="A162" i="254"/>
  <c r="A161" i="254"/>
  <c r="A160" i="254"/>
  <c r="A159" i="254"/>
  <c r="A158" i="254"/>
  <c r="K202" i="311"/>
  <c r="A201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435" i="254"/>
  <c r="U483" i="308"/>
  <c r="A482" i="308"/>
  <c r="A98" i="308"/>
  <c r="A437" i="254"/>
  <c r="A43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430" i="254"/>
  <c r="A433" i="254"/>
  <c r="A428" i="254"/>
  <c r="A436" i="254"/>
  <c r="A431" i="254"/>
  <c r="A85" i="254"/>
  <c r="A434" i="254"/>
  <c r="A84" i="254"/>
  <c r="A429" i="254"/>
  <c r="A432" i="254"/>
  <c r="A202" i="311" l="1"/>
  <c r="K203" i="311"/>
  <c r="U484" i="308"/>
  <c r="A483" i="308"/>
  <c r="A99" i="308"/>
  <c r="K204" i="311" l="1"/>
  <c r="A203" i="311"/>
  <c r="U485" i="308"/>
  <c r="A484" i="308"/>
  <c r="A101" i="308"/>
  <c r="K205" i="311" l="1"/>
  <c r="A204" i="311"/>
  <c r="U486" i="308"/>
  <c r="A485" i="308"/>
  <c r="A102" i="308"/>
  <c r="K206" i="311" l="1"/>
  <c r="A205" i="311"/>
  <c r="U487" i="308"/>
  <c r="A486" i="308"/>
  <c r="A103" i="308"/>
  <c r="K207" i="311" l="1"/>
  <c r="A206" i="311"/>
  <c r="U488" i="308"/>
  <c r="A487" i="308"/>
  <c r="A104" i="308"/>
  <c r="A207" i="311" l="1"/>
  <c r="U489" i="308"/>
  <c r="A488" i="308"/>
  <c r="A105" i="308"/>
  <c r="U490" i="308" l="1"/>
  <c r="A489" i="308"/>
  <c r="A106" i="308"/>
  <c r="U491" i="308" l="1"/>
  <c r="A490" i="308"/>
  <c r="A107" i="308"/>
  <c r="A491" i="308" l="1"/>
  <c r="A108" i="308"/>
  <c r="U493" i="308" l="1"/>
  <c r="A492" i="308"/>
  <c r="A109" i="308"/>
  <c r="U494" i="308" l="1"/>
  <c r="A493" i="308"/>
  <c r="A110" i="308"/>
  <c r="U495" i="308" l="1"/>
  <c r="A494" i="308"/>
  <c r="A111" i="308"/>
  <c r="U496" i="308" l="1"/>
  <c r="A495" i="308"/>
  <c r="A112" i="308"/>
  <c r="U497" i="308" l="1"/>
  <c r="A496" i="308"/>
  <c r="A113" i="308"/>
  <c r="U498" i="308" l="1"/>
  <c r="A497" i="308"/>
  <c r="A114" i="308"/>
  <c r="U499" i="308" l="1"/>
  <c r="A498" i="308"/>
  <c r="A115" i="308"/>
  <c r="U500" i="308" l="1"/>
  <c r="A499" i="308"/>
  <c r="A116" i="308"/>
  <c r="A117" i="308" l="1"/>
  <c r="U502" i="308" l="1"/>
  <c r="A501" i="308"/>
  <c r="A118" i="308"/>
  <c r="U503" i="308" l="1"/>
  <c r="A502" i="308"/>
  <c r="A119" i="308"/>
  <c r="U504" i="308" l="1"/>
  <c r="A503" i="308"/>
  <c r="A120" i="308"/>
  <c r="U505" i="308" l="1"/>
  <c r="A504" i="308"/>
  <c r="A121" i="308"/>
  <c r="U506" i="308" l="1"/>
  <c r="A505" i="308"/>
  <c r="A122" i="308"/>
  <c r="U507" i="308" l="1"/>
  <c r="A506" i="308"/>
  <c r="A123" i="308"/>
  <c r="U508" i="308" l="1"/>
  <c r="A507" i="308"/>
  <c r="A124" i="308"/>
  <c r="U509" i="308" l="1"/>
  <c r="A508" i="308"/>
  <c r="A125" i="308"/>
  <c r="U510" i="308" l="1"/>
  <c r="A509" i="308"/>
  <c r="A126" i="308"/>
  <c r="U511" i="308" l="1"/>
  <c r="A510" i="308"/>
  <c r="A127" i="308"/>
  <c r="U512" i="308" l="1"/>
  <c r="A511" i="308"/>
  <c r="A128" i="308"/>
  <c r="U513" i="308" l="1"/>
  <c r="A512" i="308"/>
  <c r="A129" i="308"/>
  <c r="U514" i="308" l="1"/>
  <c r="A513" i="308"/>
  <c r="A130" i="308"/>
  <c r="U515" i="308" l="1"/>
  <c r="A514" i="308"/>
  <c r="A131" i="308"/>
  <c r="U516" i="308" l="1"/>
  <c r="A515" i="308"/>
  <c r="A132" i="308"/>
  <c r="U517" i="308" l="1"/>
  <c r="A516" i="308"/>
  <c r="A133" i="308"/>
  <c r="A517" i="308" l="1"/>
  <c r="A134" i="308"/>
  <c r="U519" i="308" l="1"/>
  <c r="A518" i="308"/>
  <c r="A135" i="308"/>
  <c r="U520" i="308" l="1"/>
  <c r="A520" i="308" s="1"/>
  <c r="A519" i="308"/>
  <c r="A136" i="308"/>
  <c r="A137" i="308" l="1"/>
  <c r="A138" i="308" l="1"/>
  <c r="A139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2" i="308" l="1"/>
  <c r="A203" i="308" l="1"/>
  <c r="A204" i="308" l="1"/>
  <c r="A206" i="308" l="1"/>
  <c r="A207" i="308" l="1"/>
  <c r="A208" i="308" l="1"/>
  <c r="A209" i="308" l="1"/>
  <c r="A210" i="308" l="1"/>
  <c r="A211" i="308" l="1"/>
  <c r="A212" i="308" l="1"/>
  <c r="A213" i="308" l="1"/>
  <c r="A214" i="308" l="1"/>
  <c r="A215" i="308" l="1"/>
  <c r="A216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2" i="308" l="1"/>
  <c r="A273" i="308" l="1"/>
  <c r="A274" i="308" l="1"/>
  <c r="A275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6" i="308" l="1"/>
  <c r="A317" i="308" l="1"/>
  <c r="A318" i="308" l="1"/>
  <c r="A319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A348" i="308" l="1"/>
  <c r="A349" i="308" l="1"/>
  <c r="A350" i="308" l="1"/>
  <c r="A351" i="30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<sst xmlns="http://schemas.openxmlformats.org/spreadsheetml/2006/main" count="12152" uniqueCount="1741">
  <si>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</si>
  <si>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</si>
  <si>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</si>
  <si>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</si>
  <si>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</si>
  <si>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</si>
  <si>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</si>
  <si>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</si>
  <si>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</si>
  <si>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</si>
  <si>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</si>
  <si>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</si>
  <si>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</si>
  <si>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</si>
  <si>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</si>
  <si>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</si>
  <si>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</si>
  <si>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</si>
  <si>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</si>
  <si>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</si>
  <si>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</si>
  <si>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</si>
  <si>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</si>
  <si>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</si>
  <si>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</si>
  <si>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</si>
  <si>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</si>
  <si>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</si>
  <si>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</si>
  <si>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</si>
  <si>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</si>
  <si>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</si>
  <si>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</si>
  <si>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</si>
  <si>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</si>
  <si>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</si>
  <si>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</si>
  <si>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</si>
  <si>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</si>
  <si>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</si>
  <si>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</si>
  <si>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</si>
  <si>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</si>
  <si>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</si>
  <si>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</si>
  <si>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</si>
  <si>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</si>
  <si>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</si>
  <si>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</si>
  <si>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</si>
  <si>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</si>
  <si>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</si>
  <si>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</si>
  <si>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</si>
  <si>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</si>
  <si>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</si>
  <si>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</si>
  <si>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</si>
  <si>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</si>
  <si>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</si>
  <si>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</si>
  <si>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</si>
  <si>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</si>
  <si>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</si>
  <si>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</si>
  <si>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</si>
  <si>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</si>
  <si>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</si>
  <si>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</si>
  <si>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</si>
  <si>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</si>
  <si>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</si>
  <si>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</si>
  <si>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</si>
  <si>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</si>
  <si>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</si>
  <si>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</si>
  <si>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</si>
  <si>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</si>
  <si>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</si>
  <si>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</si>
  <si>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</si>
  <si>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</si>
  <si>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</si>
  <si>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</si>
  <si>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</si>
  <si>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</si>
  <si>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</si>
  <si>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</si>
  <si>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</si>
  <si>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</si>
  <si>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</si>
  <si>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</si>
  <si>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</si>
  <si>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</si>
  <si>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</si>
  <si>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</si>
  <si>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</si>
  <si>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</si>
  <si>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</si>
  <si>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</si>
  <si>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</si>
  <si>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</si>
  <si>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</si>
  <si>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</si>
  <si>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</si>
  <si>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</si>
  <si>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</si>
  <si>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</si>
  <si>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</si>
  <si>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</si>
  <si>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</si>
  <si>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</si>
  <si>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</si>
  <si>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</si>
  <si>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</si>
  <si>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</si>
  <si>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</si>
  <si>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</si>
  <si>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</si>
  <si>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</si>
  <si>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</si>
  <si>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</si>
  <si>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</si>
  <si>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</si>
  <si>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</si>
  <si>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</si>
  <si>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</si>
  <si>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</si>
  <si>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</si>
  <si>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</si>
  <si>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</si>
  <si>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</si>
  <si>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</si>
  <si>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</si>
  <si>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</si>
  <si>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</si>
  <si>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</si>
  <si>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</si>
  <si>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</si>
  <si>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</si>
  <si>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</si>
  <si>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</si>
  <si>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</si>
  <si>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</si>
  <si>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</si>
  <si>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</si>
  <si>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</si>
  <si>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</si>
  <si>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</si>
  <si>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</si>
  <si>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</si>
  <si>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</si>
  <si>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</si>
  <si>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</si>
  <si>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</si>
  <si>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</si>
  <si>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</si>
  <si>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</si>
  <si>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</si>
  <si>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</si>
  <si>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</si>
  <si>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</si>
  <si>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</si>
  <si>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</si>
  <si>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</si>
  <si>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</si>
  <si>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</si>
  <si>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</si>
  <si>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</si>
  <si>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</si>
  <si>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</si>
  <si>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</si>
  <si>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</si>
  <si>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</si>
  <si>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</si>
  <si>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</si>
  <si>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</si>
  <si>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</si>
  <si>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</si>
  <si>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</si>
  <si>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</si>
  <si>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</si>
  <si>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</si>
  <si>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</si>
  <si>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</si>
  <si>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</si>
  <si>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</si>
  <si>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</si>
  <si>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</si>
  <si>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</si>
  <si>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</si>
  <si>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</si>
  <si>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</si>
  <si>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</si>
  <si>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</si>
  <si>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</si>
  <si>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</si>
  <si>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</si>
  <si>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</si>
  <si>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</si>
  <si>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</si>
  <si>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</si>
  <si>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</si>
  <si>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</si>
  <si>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</si>
  <si>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</si>
  <si>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</si>
  <si>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</si>
  <si>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</si>
  <si>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</si>
  <si>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</si>
  <si>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</si>
  <si>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</si>
  <si>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</si>
  <si>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</si>
  <si>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</si>
  <si>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</si>
  <si>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</si>
  <si>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</si>
  <si>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</si>
  <si>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</si>
  <si>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</si>
  <si>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</si>
  <si>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</si>
  <si>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</si>
  <si>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</si>
  <si>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</si>
  <si>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</si>
  <si>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</si>
  <si>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</si>
  <si>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</si>
  <si>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</si>
  <si>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</si>
  <si>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</si>
  <si>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</si>
  <si>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</si>
  <si>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</si>
  <si>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</si>
  <si>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</si>
  <si>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</si>
  <si>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</si>
  <si>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</si>
  <si>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</si>
  <si>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</si>
  <si>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</si>
  <si>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</si>
  <si>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</si>
  <si>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</si>
  <si>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</si>
  <si>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</si>
  <si>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</si>
  <si>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</si>
  <si>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</si>
  <si>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</si>
  <si>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</si>
  <si>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</si>
  <si>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</si>
  <si>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</si>
  <si>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</si>
  <si>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</si>
  <si>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</si>
  <si>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</si>
  <si>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</si>
  <si>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</si>
  <si>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</si>
  <si>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</si>
  <si>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</si>
  <si>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</si>
  <si>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</si>
  <si>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</si>
  <si>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</si>
  <si>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</si>
  <si>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</si>
  <si>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</si>
  <si>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</si>
  <si>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</si>
  <si>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</si>
  <si>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</si>
  <si>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</si>
  <si>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</si>
  <si>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</si>
  <si>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</si>
  <si>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</si>
  <si>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</si>
  <si>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</si>
  <si>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</si>
  <si>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</si>
  <si>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</si>
  <si>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</si>
  <si>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</si>
  <si>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</si>
  <si>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</si>
  <si>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</si>
  <si>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</si>
  <si>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</si>
  <si>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</si>
  <si>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</si>
  <si>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</si>
  <si>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</si>
  <si>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</si>
  <si>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</si>
  <si>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</si>
  <si>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</si>
  <si>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</si>
  <si>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</si>
  <si>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</si>
  <si>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</si>
  <si>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</si>
  <si>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</si>
  <si>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</si>
  <si>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</si>
  <si>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</si>
  <si>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</si>
  <si>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</si>
  <si>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</si>
  <si>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</si>
  <si>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</si>
  <si>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</si>
  <si>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</si>
  <si>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</si>
  <si>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</si>
  <si>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</si>
  <si>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</si>
  <si>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</si>
  <si>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</si>
  <si>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</si>
  <si>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</si>
  <si>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</si>
  <si>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</si>
  <si>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</si>
  <si>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</si>
  <si>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</si>
  <si>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</si>
  <si>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</si>
  <si>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</si>
  <si>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</si>
  <si>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</si>
  <si>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</si>
  <si>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</si>
  <si>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</si>
  <si>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</si>
  <si>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</si>
  <si>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</si>
  <si>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</si>
  <si>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</si>
  <si>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</si>
  <si>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</si>
  <si>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</si>
  <si>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</si>
  <si>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</si>
  <si>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</si>
  <si>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</si>
  <si>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</si>
  <si>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</si>
  <si>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</si>
  <si>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</si>
  <si>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</si>
  <si>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</si>
  <si>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</si>
  <si>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</si>
  <si>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</si>
  <si>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</si>
  <si>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</si>
  <si>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</si>
  <si>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</si>
  <si>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</si>
  <si>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</si>
  <si>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</si>
  <si>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</si>
  <si>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</si>
  <si>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</si>
  <si>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</si>
  <si>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</si>
  <si>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</si>
  <si>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</si>
  <si>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</si>
  <si>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</si>
  <si>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</si>
  <si>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</si>
  <si>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</si>
  <si>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</si>
  <si>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</si>
  <si>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</si>
  <si>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</si>
  <si>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</si>
  <si>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</si>
  <si>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</si>
  <si>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</si>
  <si>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</si>
  <si>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</si>
  <si>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</si>
  <si>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</si>
  <si>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</si>
  <si>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</si>
  <si>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</si>
  <si>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</si>
  <si>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</si>
  <si>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</si>
  <si>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</si>
  <si>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</si>
  <si>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</si>
  <si>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</si>
  <si>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</si>
  <si>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</si>
  <si>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</si>
  <si>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</si>
  <si>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</si>
  <si>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</si>
  <si>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</si>
  <si>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</si>
  <si>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</si>
  <si>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</si>
  <si>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</si>
  <si>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</si>
  <si>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</si>
  <si>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</si>
  <si>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</si>
  <si>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</si>
  <si>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</si>
  <si>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</si>
  <si>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</si>
  <si>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</si>
  <si>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</si>
  <si>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</si>
  <si>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</si>
  <si>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</si>
  <si>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</si>
  <si>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</si>
  <si>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</si>
  <si>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</si>
  <si>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</si>
  <si>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</si>
  <si>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</si>
  <si>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</si>
  <si>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</si>
  <si>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</si>
  <si>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</si>
  <si>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</si>
  <si>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</si>
  <si>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</si>
  <si>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</si>
  <si>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</si>
  <si>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</si>
  <si>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</si>
  <si>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</si>
  <si>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</si>
  <si>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</si>
  <si>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</si>
  <si>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</si>
  <si>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</si>
  <si>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</si>
  <si>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</si>
  <si>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</si>
  <si>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</si>
  <si>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</si>
  <si>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</si>
  <si>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</si>
  <si>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</si>
  <si>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</si>
  <si>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</si>
  <si>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</si>
  <si>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</si>
  <si>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</si>
  <si>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</si>
  <si>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</si>
  <si>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</si>
  <si>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</si>
  <si>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</si>
  <si>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</si>
  <si>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</si>
  <si>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</si>
  <si>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</si>
  <si>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</si>
  <si>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</si>
  <si>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</si>
  <si>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</si>
  <si>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</si>
  <si>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</si>
  <si>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</si>
  <si>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</si>
  <si>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</si>
  <si>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</si>
  <si>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</si>
  <si>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</si>
  <si>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</si>
  <si>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</si>
  <si>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</si>
  <si>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</si>
  <si>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</si>
  <si>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</si>
  <si>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</si>
  <si>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</si>
  <si>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</si>
  <si>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</si>
  <si>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</si>
  <si>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</si>
  <si>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</si>
  <si>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</si>
  <si>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</si>
  <si>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</si>
  <si>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</si>
  <si>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</si>
  <si>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</si>
  <si>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</si>
  <si>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</si>
  <si>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</si>
  <si>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</si>
  <si>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</si>
  <si>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</si>
  <si>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</si>
  <si>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</si>
  <si>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</si>
  <si>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</si>
  <si>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</si>
  <si>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</si>
  <si>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</si>
  <si>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</si>
  <si>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</si>
  <si>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</si>
  <si>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</si>
  <si>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</si>
  <si>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</si>
  <si>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</si>
  <si>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</si>
  <si>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</si>
  <si>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</si>
  <si>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</si>
  <si>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</si>
  <si>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</si>
  <si>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</si>
  <si>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</si>
  <si>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</si>
  <si>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</si>
  <si>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</si>
  <si>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</si>
  <si>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</si>
  <si>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</si>
  <si>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</si>
  <si>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</si>
  <si>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</si>
  <si>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</si>
  <si>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</si>
  <si>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</si>
  <si>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</si>
  <si>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</si>
  <si>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</si>
  <si>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</si>
  <si>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</si>
  <si>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</si>
  <si>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</si>
  <si>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</si>
  <si>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</si>
  <si>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</si>
  <si>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</si>
  <si>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</si>
  <si>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</si>
  <si>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</si>
  <si>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</si>
  <si>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</si>
  <si>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</si>
  <si>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</si>
  <si>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</si>
  <si>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</si>
  <si>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</si>
  <si>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</si>
  <si>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</si>
  <si>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</si>
  <si>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</si>
  <si>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</si>
  <si>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</si>
  <si>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</si>
  <si>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</si>
  <si>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</si>
  <si>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</si>
  <si>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</si>
  <si>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</si>
  <si>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</si>
  <si>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</si>
  <si>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</si>
  <si>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</si>
  <si>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</si>
  <si>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</si>
  <si>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</si>
  <si>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</si>
  <si>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</si>
  <si>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</si>
  <si>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</si>
  <si>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</si>
  <si>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</si>
  <si>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</si>
  <si>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</si>
  <si>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</si>
  <si>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</si>
  <si>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</si>
  <si>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</si>
  <si>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</si>
  <si>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</si>
  <si>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</si>
  <si>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</si>
  <si>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</si>
  <si>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</si>
  <si>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</si>
  <si>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</si>
  <si>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</si>
  <si>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</si>
  <si>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</si>
  <si>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</si>
  <si>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</si>
  <si>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</si>
  <si>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</si>
  <si>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</si>
  <si>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</si>
  <si>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</si>
  <si>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</si>
  <si>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</si>
  <si>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</si>
  <si>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</si>
  <si>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</si>
  <si>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</si>
  <si>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</si>
  <si>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</si>
  <si>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</si>
  <si>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</si>
  <si>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</si>
  <si>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</si>
  <si>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</si>
  <si>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</si>
  <si>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</si>
  <si>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</si>
  <si>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</si>
  <si>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</si>
  <si>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</si>
  <si>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</si>
  <si>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</si>
  <si>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</si>
  <si>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</si>
  <si>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</si>
  <si>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</si>
  <si>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</si>
  <si>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</si>
  <si>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</si>
  <si>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</si>
  <si>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</si>
  <si>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</si>
  <si>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</si>
  <si>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</si>
  <si>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</si>
  <si>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</si>
  <si>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</si>
  <si>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</si>
  <si>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</si>
  <si>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</si>
  <si>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</si>
  <si>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</si>
  <si>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</si>
  <si>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</si>
  <si>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</si>
  <si>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</si>
  <si>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</si>
  <si>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</si>
  <si>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</si>
  <si>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</si>
  <si>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</si>
  <si>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</si>
  <si>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</si>
  <si>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</si>
  <si>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</si>
  <si>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</si>
  <si>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</si>
  <si>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</si>
  <si>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</si>
  <si>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</si>
  <si>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</si>
  <si>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</si>
  <si>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</si>
  <si>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</si>
  <si>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</si>
  <si>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</si>
  <si>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</si>
  <si>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</si>
  <si>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</si>
  <si>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</si>
  <si>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</si>
  <si>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</si>
  <si>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</si>
  <si>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</si>
  <si>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</si>
  <si>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</si>
  <si>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</si>
  <si>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</si>
  <si>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</si>
  <si>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</si>
  <si>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</si>
  <si>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</si>
  <si>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</si>
  <si>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</si>
  <si>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</si>
  <si>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</si>
  <si>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</si>
  <si>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</si>
  <si>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</si>
  <si>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</si>
  <si>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</si>
  <si>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</si>
  <si>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</si>
  <si>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</si>
  <si>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</si>
  <si>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</si>
  <si>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</si>
  <si>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</si>
  <si>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</si>
  <si>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</si>
  <si>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</si>
  <si>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</si>
  <si>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</si>
  <si>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</si>
  <si>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</si>
  <si>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</si>
  <si>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</si>
  <si>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</si>
  <si>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</si>
  <si>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</si>
  <si>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</si>
  <si>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</si>
  <si>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</si>
  <si>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</si>
  <si>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</si>
  <si>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</si>
  <si>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</si>
  <si>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</si>
  <si>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</si>
  <si>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</si>
  <si>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</si>
  <si>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</si>
  <si>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</si>
  <si>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</si>
  <si>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</si>
  <si>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</si>
  <si>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</si>
  <si>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</si>
  <si>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</si>
  <si>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</si>
  <si>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</si>
  <si>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</si>
  <si>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</si>
  <si>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</si>
  <si>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</si>
  <si>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</si>
  <si>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</si>
  <si>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</si>
  <si>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</si>
  <si>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</si>
  <si>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</si>
  <si>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</si>
  <si>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</si>
  <si>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</si>
  <si>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</si>
  <si>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</si>
  <si>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</si>
  <si>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</si>
  <si>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</si>
  <si>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</si>
  <si>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</si>
  <si>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</si>
  <si>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</si>
  <si>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</si>
  <si>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</si>
  <si>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</si>
  <si>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</si>
  <si>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</si>
  <si>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</si>
  <si>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</si>
  <si>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</si>
  <si>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</si>
  <si>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</si>
  <si>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</si>
  <si>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</si>
  <si>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</si>
  <si>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</si>
  <si>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</si>
  <si>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</si>
  <si>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</si>
  <si>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</si>
  <si>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</si>
  <si>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</si>
  <si>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</si>
  <si>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</si>
  <si>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</si>
  <si>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</si>
  <si>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</si>
  <si>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</si>
  <si>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</si>
  <si>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</si>
  <si>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</si>
  <si>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</si>
  <si>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</si>
  <si>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</si>
  <si>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</si>
  <si>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</si>
  <si>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</si>
  <si>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</si>
  <si>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</si>
  <si>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</si>
  <si>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</si>
  <si>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</si>
  <si>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</si>
  <si>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</si>
  <si>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</si>
  <si>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</si>
  <si>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</si>
  <si>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</si>
  <si>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</si>
  <si>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</si>
  <si>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</si>
  <si>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</si>
  <si>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</si>
  <si>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</si>
  <si>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</si>
  <si>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</si>
  <si>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</si>
  <si>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</si>
  <si>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</si>
  <si>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</si>
  <si>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</si>
  <si>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</si>
  <si>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</si>
  <si>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</si>
  <si>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</si>
  <si>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</si>
  <si>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</si>
  <si>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</si>
  <si>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</si>
  <si>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</si>
  <si>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</si>
  <si>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</si>
  <si>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</si>
  <si>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</si>
  <si>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</si>
  <si>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</si>
  <si>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</si>
  <si>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</si>
  <si>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</si>
  <si>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</si>
  <si>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</si>
  <si>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</si>
  <si>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</si>
  <si>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</si>
  <si>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</si>
  <si>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</si>
  <si>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</si>
  <si>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</si>
  <si>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</si>
  <si>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</si>
  <si>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</si>
  <si>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</si>
  <si>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</si>
  <si>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</si>
  <si>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</si>
  <si>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</si>
  <si>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</si>
  <si>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</si>
  <si>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</si>
  <si>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</si>
  <si>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</si>
  <si>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</si>
  <si>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</si>
  <si>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</si>
  <si>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</si>
  <si>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</si>
  <si>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</si>
  <si>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</si>
  <si>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</si>
  <si>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</si>
  <si>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</si>
  <si>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</si>
  <si>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</si>
  <si>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</si>
  <si>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</si>
  <si>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</si>
  <si>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</si>
  <si>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</si>
  <si>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</si>
  <si>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</si>
  <si>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</si>
  <si>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</si>
  <si>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</si>
  <si>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</si>
  <si>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</si>
  <si>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</si>
  <si>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</si>
  <si>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</si>
  <si>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</si>
  <si>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</si>
  <si>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</si>
  <si>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</si>
  <si>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</si>
  <si>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</si>
  <si>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</si>
  <si>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</si>
  <si>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</si>
  <si>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</si>
  <si>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</si>
  <si>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</si>
  <si>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</si>
  <si>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</si>
  <si>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</si>
  <si>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</si>
  <si>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</si>
  <si>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</si>
  <si>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</si>
  <si>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</si>
  <si>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</si>
  <si>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</si>
  <si>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</si>
  <si>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</si>
  <si>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</si>
  <si>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</si>
  <si>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</si>
  <si>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</si>
  <si>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</si>
  <si>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</si>
  <si>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</si>
  <si>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</si>
  <si>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</si>
  <si>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</si>
  <si>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</si>
  <si>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</si>
  <si>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</si>
  <si>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</si>
  <si>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</si>
  <si>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</si>
  <si>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</si>
  <si>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</si>
  <si>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</si>
  <si>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</si>
  <si>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</si>
  <si>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</si>
  <si>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</si>
  <si>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</si>
  <si>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</si>
  <si>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</si>
  <si>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</si>
  <si>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</si>
  <si>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</si>
  <si>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</si>
  <si>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</si>
  <si>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</si>
  <si>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</si>
  <si>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</si>
  <si>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</si>
  <si>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</si>
  <si>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№2313-23-1, в трубе -18,9м; ГНБ - 106,4м; в ТП и к/к - 6,6м</t>
  </si>
  <si>
    <t>4ПКВНТпН-Б-1-150-240 (ЭРГ)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</si>
  <si>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</si>
  <si>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</si>
  <si>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</si>
  <si>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</si>
  <si>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</si>
  <si>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</si>
  <si>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</si>
  <si>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</si>
  <si>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</si>
  <si>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</si>
  <si>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</si>
  <si>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</si>
  <si>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</si>
  <si>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</si>
  <si>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</si>
  <si>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</si>
  <si>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</si>
  <si>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</si>
  <si>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</si>
  <si>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</si>
  <si>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</si>
  <si>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</si>
  <si>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</si>
  <si>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</si>
  <si>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</si>
  <si>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</si>
  <si>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</si>
  <si>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</si>
  <si>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</si>
  <si>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</si>
  <si>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</si>
  <si>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</si>
  <si>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</si>
  <si>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</si>
  <si>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</si>
  <si>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</si>
  <si>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</si>
  <si>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</si>
  <si>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</si>
  <si>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</si>
  <si>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</si>
  <si>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</si>
  <si>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</si>
  <si>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</si>
  <si>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</si>
  <si>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</si>
  <si>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</si>
  <si>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</si>
  <si>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</si>
  <si>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</si>
  <si>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</si>
  <si>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</si>
  <si>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</si>
  <si>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</si>
  <si>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</si>
  <si>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</si>
  <si>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</si>
  <si>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</si>
  <si>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</si>
  <si>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</si>
  <si>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</si>
  <si>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</si>
  <si>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</si>
  <si>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</si>
  <si>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</si>
  <si>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</si>
  <si>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</si>
  <si>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</si>
  <si>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</si>
  <si>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</si>
  <si>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</si>
  <si>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</si>
  <si>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</si>
  <si>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</si>
  <si>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</si>
  <si>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</si>
  <si>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</si>
  <si>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</si>
  <si>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</si>
  <si>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</si>
  <si>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</si>
  <si>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</si>
  <si>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</si>
  <si>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</si>
  <si>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</si>
  <si>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</si>
  <si>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</si>
  <si>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</si>
  <si>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</si>
  <si>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</si>
  <si>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</si>
  <si>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</si>
  <si>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</si>
  <si>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</si>
  <si>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</si>
  <si>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</si>
  <si>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</si>
  <si>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</si>
  <si>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</si>
  <si>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</si>
  <si>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</si>
  <si>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</si>
  <si>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</si>
  <si>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</si>
  <si>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</si>
  <si>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</si>
  <si>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</si>
  <si>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</si>
  <si>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</si>
  <si>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</si>
  <si>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</si>
  <si>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</si>
  <si>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</si>
  <si>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</si>
  <si>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</si>
  <si>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</si>
  <si>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</si>
  <si>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</si>
  <si>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</si>
  <si>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</si>
  <si>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</si>
  <si>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</si>
  <si>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</si>
  <si>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</si>
  <si>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</si>
  <si>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</si>
  <si>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</si>
  <si>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</si>
  <si>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</si>
  <si>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</si>
  <si>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</si>
  <si>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</si>
  <si>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</si>
  <si>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</si>
  <si>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</si>
  <si>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</si>
  <si>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</si>
  <si>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</si>
  <si>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</si>
  <si>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</si>
  <si>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</si>
  <si>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</si>
  <si>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</si>
  <si>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</si>
  <si>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</si>
  <si>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</si>
  <si>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</si>
  <si>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</si>
  <si>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</si>
  <si>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</si>
  <si>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</si>
  <si>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</si>
  <si>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</si>
  <si>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</si>
  <si>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</si>
  <si>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</si>
  <si>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</si>
  <si>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</si>
  <si>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</si>
  <si>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</si>
  <si>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</si>
  <si>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</si>
  <si>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</si>
  <si>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</si>
  <si>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</si>
  <si>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</si>
  <si>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</si>
  <si>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</si>
  <si>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</si>
  <si>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</si>
  <si>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</si>
  <si>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</si>
  <si>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</si>
  <si>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</si>
  <si>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</si>
  <si>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</si>
  <si>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</si>
  <si>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</si>
  <si>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</si>
  <si>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</si>
  <si>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</si>
  <si>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</si>
  <si>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</si>
  <si>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</si>
  <si>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</si>
  <si>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</si>
  <si>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</si>
  <si>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</si>
  <si>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</si>
  <si>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</si>
  <si>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</si>
  <si>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</si>
  <si>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</si>
  <si>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</si>
  <si>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</si>
  <si>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</si>
  <si>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</si>
  <si>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</si>
  <si>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</si>
  <si>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</si>
  <si>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</si>
  <si>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</si>
  <si>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</si>
  <si>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</si>
  <si>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</si>
  <si>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</si>
  <si>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</si>
  <si>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</si>
  <si>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</si>
  <si>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</si>
  <si>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</si>
  <si>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</si>
  <si>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</si>
  <si>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</si>
  <si>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</si>
  <si>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</si>
  <si>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</si>
  <si>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</si>
  <si>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</si>
  <si>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</si>
  <si>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</si>
  <si>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</si>
  <si>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</si>
  <si>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</si>
  <si>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</si>
  <si>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</si>
  <si>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</si>
  <si>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</si>
  <si>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</si>
  <si>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</si>
  <si>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</si>
  <si>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</si>
  <si>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</si>
  <si>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</si>
  <si>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</si>
  <si>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</si>
  <si>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</si>
  <si>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</si>
  <si>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</si>
  <si>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</si>
  <si>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</si>
  <si>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</si>
  <si>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</si>
  <si>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</si>
  <si>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</si>
  <si>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</si>
  <si>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</si>
  <si>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</si>
  <si>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</si>
  <si>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</si>
  <si>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</si>
  <si>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</si>
  <si>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</si>
  <si>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</si>
  <si>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</si>
  <si>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</si>
  <si>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</si>
  <si>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</si>
  <si>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</si>
  <si>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</si>
  <si>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</si>
  <si>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</si>
  <si>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</si>
  <si>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</si>
  <si>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</si>
  <si>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</si>
  <si>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</si>
  <si>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</si>
  <si>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</si>
  <si>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</si>
  <si>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</si>
  <si>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</si>
  <si>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</si>
  <si>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6 шт</t>
  </si>
  <si>
    <t>2 шт</t>
  </si>
  <si>
    <t>Стойка железобетонная вибрированная, ТУ 5863-007-96502166-2016</t>
  </si>
  <si>
    <t>Заземляющий проводник</t>
  </si>
  <si>
    <t>Металлическая лента 20x0,7x1000 мм</t>
  </si>
  <si>
    <t>F 207</t>
  </si>
  <si>
    <t>Бугель для фиксации ленты</t>
  </si>
  <si>
    <t>NB 20</t>
  </si>
  <si>
    <t>Вывод заземлителя стальной</t>
  </si>
  <si>
    <t>40х4 L-1300 мм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</si>
  <si>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</si>
  <si>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</si>
  <si>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</si>
  <si>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</si>
  <si>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</si>
  <si>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</si>
  <si>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</si>
  <si>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</si>
  <si>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</si>
  <si>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</si>
  <si>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</si>
  <si>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</si>
  <si>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</si>
  <si>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</si>
  <si>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</si>
  <si>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</si>
  <si>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</si>
  <si>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</si>
  <si>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</si>
  <si>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</si>
  <si>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</si>
  <si>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</si>
  <si>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</si>
  <si>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</si>
  <si>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</si>
  <si>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</si>
  <si>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</si>
  <si>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</si>
  <si>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</si>
  <si>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</si>
  <si>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</si>
  <si>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</si>
  <si>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</si>
  <si>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</si>
  <si>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</si>
  <si>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</si>
  <si>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</si>
  <si>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</si>
  <si>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</si>
  <si>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</si>
  <si>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</si>
  <si>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</si>
  <si>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</si>
  <si>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</si>
  <si>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</si>
  <si>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</si>
  <si>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</si>
  <si>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</si>
  <si>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</si>
  <si>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</si>
  <si>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</si>
  <si>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</si>
  <si>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</si>
  <si>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</si>
  <si>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</si>
  <si>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</si>
  <si>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</si>
  <si>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</si>
  <si>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</si>
  <si>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</si>
  <si>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</si>
  <si>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</si>
  <si>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</si>
  <si>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</si>
  <si>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</si>
  <si>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</si>
  <si>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</si>
  <si>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</si>
  <si>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</si>
  <si>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</si>
  <si>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</si>
  <si>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</si>
  <si>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</si>
  <si>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</si>
  <si>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</si>
  <si>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</si>
  <si>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</si>
  <si>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</si>
  <si>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</si>
  <si>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</si>
  <si>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</si>
  <si>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</si>
  <si>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</si>
  <si>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</si>
  <si>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</si>
  <si>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</si>
  <si>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</si>
  <si>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</si>
  <si>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</si>
  <si>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</si>
  <si>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</si>
  <si>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</si>
  <si>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скоб для наложения переносного заземления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</si>
  <si>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</si>
  <si>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</si>
  <si>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</si>
  <si>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</si>
  <si>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</si>
  <si>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</si>
  <si>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</si>
  <si>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растеканию тока контура заземления опоры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</si>
  <si>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</si>
  <si>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</si>
  <si>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</si>
  <si>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</si>
  <si>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</si>
  <si>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</si>
  <si>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</si>
  <si>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</si>
  <si>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</si>
  <si>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</si>
  <si>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</si>
  <si>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</si>
  <si>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</si>
  <si>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</si>
  <si>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</si>
  <si>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</si>
  <si>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</si>
  <si>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</si>
  <si>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</si>
  <si>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</si>
  <si>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</si>
  <si>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</si>
  <si>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</si>
  <si>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</si>
  <si>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</si>
  <si>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</si>
  <si>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</si>
  <si>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</si>
  <si>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</si>
  <si>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</si>
  <si>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</si>
  <si>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</si>
  <si>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</si>
  <si>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</si>
  <si>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</si>
  <si>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</si>
  <si>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</si>
  <si>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</si>
  <si>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</si>
  <si>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</si>
  <si>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</si>
  <si>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</si>
  <si>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</si>
  <si>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</si>
  <si>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</si>
  <si>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</si>
  <si>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</si>
  <si>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</si>
  <si>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</si>
  <si>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</si>
  <si>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</si>
  <si>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</si>
  <si>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</si>
  <si>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</si>
  <si>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</si>
  <si>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</si>
  <si>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</si>
  <si>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</si>
  <si>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</si>
  <si>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</si>
  <si>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</si>
  <si>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</si>
  <si>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</si>
  <si>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</si>
  <si>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</si>
  <si>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</si>
  <si>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</si>
  <si>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</si>
  <si>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</si>
  <si>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м3 на 1 опору итого 2 ЗУ), в том числе: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</si>
  <si>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</si>
  <si>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</si>
  <si>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</si>
  <si>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</si>
  <si>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Укладка кабеля АПвБбШп-1 (4х240) в траншее открыто (с учетом на змейку 2,0%) при числе кабелей в траншее 2</t>
  </si>
  <si>
    <t>Монтаж кабеля по конструкциям КК (2х1,5 м), в том числе: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</si>
  <si>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</si>
  <si>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</si>
  <si>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</si>
  <si>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 xml:space="preserve"> - затягивание кабеля АПвБбШп-1 (4х240) в трубу (заход на опору – 2х5)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</si>
  <si>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</si>
  <si>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</si>
  <si>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</si>
  <si>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</si>
  <si>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</si>
  <si>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</si>
  <si>
    <t>4/10</t>
  </si>
  <si>
    <t>2/6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</si>
  <si>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</si>
  <si>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</si>
  <si>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</si>
  <si>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</si>
  <si>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</si>
  <si>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</si>
  <si>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</si>
  <si>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</si>
  <si>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</si>
  <si>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</si>
  <si>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</si>
  <si>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</si>
  <si>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</si>
  <si>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</si>
  <si>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- механизировано мокрый грунт (70%)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</si>
  <si>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</si>
  <si>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</si>
  <si>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</si>
  <si>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</si>
  <si>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</si>
  <si>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</si>
  <si>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</si>
  <si>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</si>
  <si>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</si>
  <si>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</si>
  <si>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</si>
  <si>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>Пересечение ГНБ Lстр.-1х23 м, Lпрокола – 1х23,1 м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</si>
  <si>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</si>
  <si>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</si>
  <si>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</si>
  <si>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</si>
  <si>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</si>
  <si>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</si>
  <si>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</si>
  <si>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</si>
  <si>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</si>
  <si>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</si>
  <si>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 xml:space="preserve">Исполнительная схема №1.1 Разработка грунта котлованов под монтаж КЛ-0,4кВ; Исполнительная схема №1.2 Разработка грунта котлованов под монтаж КЛ-0,4кВ; </t>
  </si>
  <si>
    <t xml:space="preserve">Исполнительная схема закрытого перехода методом ГНБ №1 </t>
  </si>
  <si>
    <t>Исполнительная схема №1.3 Разработка грунта траншеи под монтаж КЛ-0,4кВ</t>
  </si>
  <si>
    <t>Исполнительная схема №1.4 Устройство песчаного основания траншеи</t>
  </si>
  <si>
    <t>Исполнительная схема №1.5 Прокладка труб в траншее</t>
  </si>
  <si>
    <t>Исполнительная схема №1.6 Прокладка КЛ-0,4кВ</t>
  </si>
  <si>
    <t>Исполнительная схема №1.7 Обратная засыпка кабеля песком</t>
  </si>
  <si>
    <t>Исполнительная схема №1.8  Укладка плитки ПЗК</t>
  </si>
  <si>
    <t>Исполнительная схема №1.9 Обратная засыпка траншеи песком; Исполнительная схема №1.10 Обратная засыпка котлованов песком; Исполнительная схема №1.11 Обратная засыпка котлованов песком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</si>
  <si>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</si>
  <si>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</si>
  <si>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</si>
  <si>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</si>
  <si>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</si>
  <si>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</si>
  <si>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</si>
  <si>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</si>
  <si>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</si>
  <si>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</si>
  <si>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</si>
  <si>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</si>
  <si>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</si>
  <si>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</si>
  <si>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</si>
  <si>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</si>
  <si>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</si>
  <si>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</si>
  <si>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</si>
  <si>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</si>
  <si>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</si>
  <si>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</si>
  <si>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</si>
  <si>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</si>
  <si>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АПвБбШп-1 4х240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</si>
  <si>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</si>
  <si>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</si>
  <si>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</si>
  <si>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</si>
  <si>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</si>
  <si>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</si>
  <si>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</si>
  <si>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</si>
  <si>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</si>
  <si>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</si>
  <si>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</si>
  <si>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</si>
  <si>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</si>
  <si>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</si>
  <si>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</si>
  <si>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</si>
  <si>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</si>
  <si>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</si>
  <si>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</si>
  <si>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</si>
  <si>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</si>
  <si>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</si>
  <si>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</si>
  <si>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</si>
  <si>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</si>
  <si>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</si>
  <si>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</si>
  <si>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</si>
  <si>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</si>
  <si>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</si>
  <si>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</si>
  <si>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</si>
  <si>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</si>
  <si>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</si>
  <si>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</si>
  <si>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</si>
  <si>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</si>
  <si>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</si>
  <si>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</si>
  <si>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</si>
  <si>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</si>
  <si>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</si>
  <si>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</si>
  <si>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</si>
  <si>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</si>
  <si>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</si>
  <si>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</si>
  <si>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</si>
  <si>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</si>
  <si>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</si>
  <si>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</si>
  <si>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84,8 м</t>
  </si>
  <si>
    <t>147 шт</t>
  </si>
  <si>
    <t>5,91 м3</t>
  </si>
  <si>
    <t>88 шт</t>
  </si>
  <si>
    <t>3,56 м3</t>
  </si>
  <si>
    <t>56,25 м</t>
  </si>
  <si>
    <t>368,7 м</t>
  </si>
  <si>
    <t>34,7 м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</si>
  <si>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</si>
  <si>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</si>
  <si>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</si>
  <si>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</si>
  <si>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</si>
  <si>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</si>
  <si>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</si>
  <si>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Кронштейн</t>
  </si>
  <si>
    <t>У4</t>
  </si>
  <si>
    <t>ЗП6</t>
  </si>
  <si>
    <t>1,4 м</t>
  </si>
  <si>
    <t>Зажим плашечный CD 35</t>
  </si>
  <si>
    <t>Кронштейн анкерный</t>
  </si>
  <si>
    <t>Стяжной хомут для жгута СИП диаметром 25-62 мм</t>
  </si>
  <si>
    <t>Зажим для подкл. абонента к изолир. магистральному проводу, а также для повторного заземления</t>
  </si>
  <si>
    <t>Зажим анкерный PA 1500 (35-70 мм2, 15 кН)</t>
  </si>
  <si>
    <t>Зажим ответвительный для наложения защитного заземления</t>
  </si>
  <si>
    <t>Комплект промежуточной подвески</t>
  </si>
  <si>
    <t>ЗБ "Охранная зона ЛЭП 10 кВ - 10 метров"; СТО 34.0</t>
  </si>
  <si>
    <t>ЗБ "Не влезай, убьет!"; СТО 34.01-24-001-2015</t>
  </si>
  <si>
    <t>40х4 L-3000 мм</t>
  </si>
  <si>
    <t>d10 мм (цинк) L-6600 мм</t>
  </si>
  <si>
    <t>Щебень гранитный М1000 фр. 20-40</t>
  </si>
  <si>
    <t>1,24 м3</t>
  </si>
  <si>
    <t>1,8 м3</t>
  </si>
  <si>
    <t>CD 35</t>
  </si>
  <si>
    <t>CS 10.3</t>
  </si>
  <si>
    <t>E 260</t>
  </si>
  <si>
    <t>P 72</t>
  </si>
  <si>
    <t>PA 1500</t>
  </si>
  <si>
    <t>PC 481</t>
  </si>
  <si>
    <t>ES 1500E</t>
  </si>
  <si>
    <t>30 шт</t>
  </si>
  <si>
    <t>30 м</t>
  </si>
  <si>
    <t>16 шт</t>
  </si>
  <si>
    <t>Строительство КЛ-0,4 кВ к КК №4 от КТП-2 (на оба ввода)</t>
  </si>
  <si>
    <t>Строительство КЛ-0,4 кВ к КК №5 от КТП-1 (на оба ввода)</t>
  </si>
  <si>
    <t>26,1 м</t>
  </si>
  <si>
    <t>Строительство КЛ-0,4 кВ к КК №6 от КТП-1 (на оба ввода)</t>
  </si>
  <si>
    <t>27 шт</t>
  </si>
  <si>
    <t>1,12 м3</t>
  </si>
  <si>
    <t>Строительство КЛ-0,4 кВ к КК №7 от КТП-1 (на оба ввода)</t>
  </si>
  <si>
    <t>Строительство КЛ-0,4 кВ к КК №8 от КТП-1 (на оба ввода)</t>
  </si>
  <si>
    <t>66,4 м</t>
  </si>
  <si>
    <t>31 шт</t>
  </si>
  <si>
    <t>Труба полимерная ТУ 22.21.21-002-16073610-2019</t>
  </si>
  <si>
    <t>ТЗК ЭНЕРГОПЛАСТ ТС-С DN160-
N-1250 F3</t>
  </si>
  <si>
    <t>Вода для приготовления бурового раствора</t>
  </si>
  <si>
    <t>Бентонит</t>
  </si>
  <si>
    <t>Полимер</t>
  </si>
  <si>
    <t>BentoPro Ultra</t>
  </si>
  <si>
    <t>EZ-MUD</t>
  </si>
  <si>
    <t>51,95 м3</t>
  </si>
  <si>
    <t>1039 кг</t>
  </si>
  <si>
    <t>0,104 т</t>
  </si>
  <si>
    <t>96,2 м</t>
  </si>
  <si>
    <t>1,27 м3</t>
  </si>
  <si>
    <t>124,2 м</t>
  </si>
  <si>
    <t>55 шт</t>
  </si>
  <si>
    <t>2,24 м3</t>
  </si>
  <si>
    <t>46,2 м</t>
  </si>
  <si>
    <t>50 м3</t>
  </si>
  <si>
    <t>1000 кг</t>
  </si>
  <si>
    <t>0,1 т</t>
  </si>
  <si>
    <t>ноября</t>
  </si>
  <si>
    <t>1-КЗ_КК_1</t>
  </si>
  <si>
    <t>2-КЗ_КК_1</t>
  </si>
  <si>
    <t>3-КЗ_КК_1</t>
  </si>
  <si>
    <t>4-КЗ_КК_1</t>
  </si>
  <si>
    <t>5-КЗ_КК_1</t>
  </si>
  <si>
    <t>1-КЗ_КК_2</t>
  </si>
  <si>
    <t>2-КЗ_КК_2</t>
  </si>
  <si>
    <t>3-КЗ_КК_2</t>
  </si>
  <si>
    <t>4-КЗ_КК_2</t>
  </si>
  <si>
    <t>5-КЗ_КК_2</t>
  </si>
  <si>
    <t>1-КЗ_КК_3</t>
  </si>
  <si>
    <t>2-КЗ_КК_3</t>
  </si>
  <si>
    <t>3-КЗ_КК_3</t>
  </si>
  <si>
    <t>4-КЗ_КК_3</t>
  </si>
  <si>
    <t>5-КЗ_КК_3</t>
  </si>
  <si>
    <t>1-КЗ_КК_4</t>
  </si>
  <si>
    <t>2-КЗ_КК_4</t>
  </si>
  <si>
    <t>3-КЗ_КК_4</t>
  </si>
  <si>
    <t>4-КЗ_КК_4</t>
  </si>
  <si>
    <t>5-КЗ_КК_4</t>
  </si>
  <si>
    <t>1-КЗ_КК_5</t>
  </si>
  <si>
    <t>2-КЗ_КК_5</t>
  </si>
  <si>
    <t>3-КЗ_КК_5</t>
  </si>
  <si>
    <t>4-КЗ_КК_5</t>
  </si>
  <si>
    <t>5-КЗ_КК_5</t>
  </si>
  <si>
    <t>1-КЗ_КК_6</t>
  </si>
  <si>
    <t>2-КЗ_КК_6</t>
  </si>
  <si>
    <t>3-КЗ_КК_6</t>
  </si>
  <si>
    <t>4-КЗ_КК_6</t>
  </si>
  <si>
    <t>5-КЗ_КК_6</t>
  </si>
  <si>
    <t>1-КЗ_КК_7</t>
  </si>
  <si>
    <t>2-КЗ_КК_7</t>
  </si>
  <si>
    <t>3-КЗ_КК_7</t>
  </si>
  <si>
    <t>4-КЗ_КК_7</t>
  </si>
  <si>
    <t>5-КЗ_КК_7</t>
  </si>
  <si>
    <t>1-КЗ_КК_8</t>
  </si>
  <si>
    <t>2-КЗ_КК_8</t>
  </si>
  <si>
    <t>3-КЗ_КК_8</t>
  </si>
  <si>
    <t>4-КЗ_КК_8</t>
  </si>
  <si>
    <t>5-КЗ_КК_8</t>
  </si>
  <si>
    <t>06</t>
  </si>
  <si>
    <t>07</t>
  </si>
  <si>
    <t>08</t>
  </si>
  <si>
    <t>АОСР_39</t>
  </si>
  <si>
    <t>АОСР_40</t>
  </si>
  <si>
    <t>АОСР_41</t>
  </si>
  <si>
    <t>АОСР_42</t>
  </si>
  <si>
    <t>АОСР_43</t>
  </si>
  <si>
    <t>АОСР_44</t>
  </si>
  <si>
    <t>АОСР_45</t>
  </si>
  <si>
    <t>АОСР_46</t>
  </si>
  <si>
    <t>АОСР_47</t>
  </si>
  <si>
    <t>АОСР_48</t>
  </si>
  <si>
    <t>АОСР_49</t>
  </si>
  <si>
    <t>АОСР_50</t>
  </si>
  <si>
    <t>АОСР_51</t>
  </si>
  <si>
    <t>АОСР_52</t>
  </si>
  <si>
    <t>АОСР_53</t>
  </si>
  <si>
    <t>АОСР_54</t>
  </si>
  <si>
    <t>АОСР_55</t>
  </si>
  <si>
    <t>АОСР_56</t>
  </si>
  <si>
    <t>АОСР_57</t>
  </si>
  <si>
    <t>АОСР_58</t>
  </si>
  <si>
    <t>АОСР_59</t>
  </si>
  <si>
    <t>АОСР_60</t>
  </si>
  <si>
    <t>АОСР_61</t>
  </si>
  <si>
    <t>АОСР_62</t>
  </si>
  <si>
    <t>АОСР_63</t>
  </si>
  <si>
    <t>АОСР_64</t>
  </si>
  <si>
    <t>АОСР_65</t>
  </si>
  <si>
    <t>АОСР_66</t>
  </si>
  <si>
    <t>АОСР_67</t>
  </si>
  <si>
    <t>АОСР_68</t>
  </si>
  <si>
    <t>14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</si>
  <si>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</si>
  <si>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</si>
  <si>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</si>
  <si>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 xml:space="preserve">Заместитель генерального директора ООО «БЭСК» </t>
  </si>
  <si>
    <t>Матвеев А.С.</t>
  </si>
  <si>
    <t>А.С. Матвеев</t>
  </si>
  <si>
    <t xml:space="preserve">Производитель работ ООО«БЭСК» </t>
  </si>
  <si>
    <t>Махмадов А.Р.</t>
  </si>
  <si>
    <t>А.Р. Махмадов</t>
  </si>
  <si>
    <t>Инженер-геодезист ООО «БЭСК»</t>
  </si>
  <si>
    <t>Алексеенков Д.С.</t>
  </si>
  <si>
    <t>Д.С. Алексеенков</t>
  </si>
  <si>
    <t>з</t>
  </si>
  <si>
    <t>Схема разбивки и закрепления точек осей трассы</t>
  </si>
  <si>
    <t>ТЗК</t>
  </si>
  <si>
    <t>кабельная канализация из труб ТЗК</t>
  </si>
  <si>
    <t>КЛ-0,4 кВ к КК №1 от КТП-2</t>
  </si>
  <si>
    <t>КЛ-0,4 кВ к КК №2 от КТП-2</t>
  </si>
  <si>
    <t>КЛ-0,4 кВ к КК №3 от КТП-2</t>
  </si>
  <si>
    <t>КЛ-0,4 кВ к КК №4 от КТП-2</t>
  </si>
  <si>
    <t>КЛ-0,4 кВ к КК №5 от КТП-1</t>
  </si>
  <si>
    <t>КЛ-0,4 кВ к КК №6 от КТП-1</t>
  </si>
  <si>
    <t>КЛ-0,4 кВ к КК №7 от КТП-1</t>
  </si>
  <si>
    <t>КЛ-0,4 кВ к КК №8 от КТП-1</t>
  </si>
  <si>
    <t>-1 °С</t>
  </si>
  <si>
    <t>--2 °С</t>
  </si>
  <si>
    <t>--4 °С</t>
  </si>
  <si>
    <t>-3 °С</t>
  </si>
  <si>
    <t>--1 °С</t>
  </si>
  <si>
    <t>--3 °С</t>
  </si>
  <si>
    <t>А22</t>
  </si>
  <si>
    <t xml:space="preserve"> - из них 5 опор, смонтированные по РД шифр СЭС-23-32939-ЭС-ТКР1</t>
  </si>
  <si>
    <t>Паспорт заземляющего устройства КК</t>
  </si>
  <si>
    <t>Исполнительная схема заземляющего устройства КК</t>
  </si>
  <si>
    <t>63х63х6 L=3 м</t>
  </si>
  <si>
    <t>КК №1</t>
  </si>
  <si>
    <t>КК №2</t>
  </si>
  <si>
    <t>КК №3</t>
  </si>
  <si>
    <t>КК №4</t>
  </si>
  <si>
    <t>КК №5</t>
  </si>
  <si>
    <t>КК №6</t>
  </si>
  <si>
    <t>КК №7</t>
  </si>
  <si>
    <t>КК №8</t>
  </si>
  <si>
    <t>40х4 мм</t>
  </si>
  <si>
    <t>2. Черная эмаль - 2 слоя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</si>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</sst>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b/>
      <i/>
      <sz val="7"/>
      <name val="Times New Roman"/>
      <family val="1"/>
      <charset val="204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CC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6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9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7" fillId="0" borderId="0" xfId="7" applyNumberFormat="1" applyFont="1"/>
    <xf numFmtId="2" fontId="135" fillId="0" borderId="0" xfId="7" applyNumberFormat="1" applyFont="1" applyAlignment="1">
      <alignment vertical="top"/>
    </xf>
    <xf numFmtId="2" fontId="137" fillId="0" borderId="0" xfId="7" applyNumberFormat="1" applyFont="1" applyAlignment="1">
      <alignment wrapText="1"/>
    </xf>
    <xf numFmtId="2" fontId="136" fillId="0" borderId="0" xfId="7" applyNumberFormat="1" applyFont="1" applyAlignment="1">
      <alignment vertical="top"/>
    </xf>
    <xf numFmtId="0" fontId="135" fillId="0" borderId="80" xfId="7" applyFont="1" applyBorder="1"/>
    <xf numFmtId="0" fontId="135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5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6" fillId="0" borderId="71" xfId="0" applyFont="1" applyBorder="1" applyAlignment="1">
      <alignment horizontal="center" vertical="center" wrapText="1"/>
    </xf>
    <xf numFmtId="0" fontId="156" fillId="0" borderId="82" xfId="0" applyFont="1" applyBorder="1" applyAlignment="1">
      <alignment horizontal="center" vertical="center" wrapText="1"/>
    </xf>
    <xf numFmtId="0" fontId="156" fillId="0" borderId="73" xfId="0" applyFont="1" applyBorder="1" applyAlignment="1">
      <alignment vertical="center" wrapText="1"/>
    </xf>
    <xf numFmtId="0" fontId="156" fillId="0" borderId="74" xfId="0" applyFont="1" applyBorder="1" applyAlignment="1">
      <alignment horizontal="center" vertical="center" wrapText="1"/>
    </xf>
    <xf numFmtId="0" fontId="156" fillId="0" borderId="83" xfId="0" applyFont="1" applyBorder="1" applyAlignment="1">
      <alignment horizontal="center" vertical="center" wrapText="1"/>
    </xf>
    <xf numFmtId="0" fontId="156" fillId="0" borderId="84" xfId="0" applyFont="1" applyBorder="1" applyAlignment="1">
      <alignment horizontal="center" vertical="center" wrapText="1"/>
    </xf>
    <xf numFmtId="0" fontId="156" fillId="0" borderId="77" xfId="0" applyFont="1" applyBorder="1" applyAlignment="1">
      <alignment horizontal="left" vertical="center" wrapText="1" indent="1"/>
    </xf>
    <xf numFmtId="0" fontId="156" fillId="0" borderId="77" xfId="0" applyFont="1" applyBorder="1" applyAlignment="1">
      <alignment horizontal="center" vertical="center" wrapText="1"/>
    </xf>
    <xf numFmtId="0" fontId="151" fillId="0" borderId="85" xfId="0" applyFont="1" applyBorder="1" applyAlignment="1">
      <alignment vertical="center" wrapText="1"/>
    </xf>
    <xf numFmtId="0" fontId="151" fillId="0" borderId="0" xfId="0" applyFont="1" applyAlignment="1">
      <alignment horizontal="center" vertical="center" wrapText="1"/>
    </xf>
    <xf numFmtId="0" fontId="151" fillId="0" borderId="0" xfId="0" applyFont="1" applyAlignment="1">
      <alignment horizontal="left" vertical="center" wrapText="1" indent="2"/>
    </xf>
    <xf numFmtId="0" fontId="151" fillId="0" borderId="0" xfId="0" applyFont="1" applyAlignment="1">
      <alignment vertical="center" wrapText="1"/>
    </xf>
    <xf numFmtId="0" fontId="151" fillId="0" borderId="0" xfId="0" applyFont="1" applyAlignment="1">
      <alignment horizontal="left" vertical="center" wrapText="1" indent="1"/>
    </xf>
    <xf numFmtId="0" fontId="156" fillId="0" borderId="82" xfId="0" applyFont="1" applyBorder="1" applyAlignment="1">
      <alignment horizontal="left" vertical="center" wrapText="1" indent="2"/>
    </xf>
    <xf numFmtId="0" fontId="156" fillId="0" borderId="71" xfId="0" applyFont="1" applyBorder="1" applyAlignment="1">
      <alignment horizontal="left" vertical="center" wrapText="1" indent="1"/>
    </xf>
    <xf numFmtId="0" fontId="156" fillId="0" borderId="86" xfId="0" applyFont="1" applyBorder="1" applyAlignment="1">
      <alignment vertical="center" wrapText="1"/>
    </xf>
    <xf numFmtId="0" fontId="156" fillId="0" borderId="87" xfId="0" applyFont="1" applyBorder="1" applyAlignment="1">
      <alignment horizontal="center" vertical="center" wrapText="1"/>
    </xf>
    <xf numFmtId="0" fontId="156" fillId="0" borderId="88" xfId="0" applyFont="1" applyBorder="1" applyAlignment="1">
      <alignment horizontal="center" vertical="center" wrapText="1"/>
    </xf>
    <xf numFmtId="0" fontId="156" fillId="0" borderId="77" xfId="0" applyFont="1" applyBorder="1" applyAlignment="1">
      <alignment vertical="center" wrapText="1"/>
    </xf>
    <xf numFmtId="0" fontId="156" fillId="0" borderId="78" xfId="0" applyFont="1" applyBorder="1" applyAlignment="1">
      <alignment vertical="center" wrapText="1"/>
    </xf>
    <xf numFmtId="0" fontId="156" fillId="0" borderId="79" xfId="0" applyFont="1" applyBorder="1" applyAlignment="1">
      <alignment horizontal="center" vertical="center" wrapText="1"/>
    </xf>
    <xf numFmtId="0" fontId="156" fillId="0" borderId="69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6" fillId="0" borderId="69" xfId="0" applyFont="1" applyBorder="1" applyAlignment="1">
      <alignment horizontal="left" vertical="center" wrapText="1" indent="2"/>
    </xf>
    <xf numFmtId="0" fontId="155" fillId="0" borderId="70" xfId="0" applyFont="1" applyBorder="1" applyAlignment="1">
      <alignment vertical="center" wrapText="1"/>
    </xf>
    <xf numFmtId="0" fontId="156" fillId="0" borderId="85" xfId="0" applyFont="1" applyBorder="1" applyAlignment="1">
      <alignment horizontal="center" vertical="center" wrapText="1"/>
    </xf>
    <xf numFmtId="0" fontId="156" fillId="0" borderId="75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6" fillId="0" borderId="75" xfId="0" applyFont="1" applyBorder="1" applyAlignment="1">
      <alignment vertical="center" wrapText="1"/>
    </xf>
    <xf numFmtId="16" fontId="156" fillId="0" borderId="72" xfId="0" applyNumberFormat="1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1"/>
    </xf>
    <xf numFmtId="0" fontId="156" fillId="0" borderId="75" xfId="0" applyFont="1" applyBorder="1" applyAlignment="1">
      <alignment horizontal="left" vertical="center" wrapText="1" indent="2"/>
    </xf>
    <xf numFmtId="0" fontId="159" fillId="0" borderId="0" xfId="0" applyFont="1"/>
    <xf numFmtId="0" fontId="160" fillId="0" borderId="0" xfId="0" applyFont="1"/>
    <xf numFmtId="0" fontId="154" fillId="0" borderId="89" xfId="0" applyFont="1" applyBorder="1" applyAlignment="1">
      <alignment vertical="center" wrapText="1"/>
    </xf>
    <xf numFmtId="0" fontId="156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6" fillId="0" borderId="0" xfId="0" applyFont="1" applyAlignment="1">
      <alignment vertical="center" wrapText="1"/>
    </xf>
    <xf numFmtId="0" fontId="156" fillId="0" borderId="0" xfId="0" applyFont="1" applyAlignment="1">
      <alignment horizontal="center" vertical="center" wrapText="1"/>
    </xf>
    <xf numFmtId="0" fontId="154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35" fillId="42" borderId="3" xfId="7" applyFill="1" applyBorder="1" applyAlignment="1">
      <alignment horizontal="center" vertical="center" wrapText="1"/>
    </xf>
    <xf numFmtId="49" fontId="35" fillId="42" borderId="3" xfId="7" applyNumberForma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1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0" xfId="0" applyFont="1" applyAlignment="1">
      <alignment horizont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justify" wrapText="1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" fillId="0" borderId="1" xfId="0" applyFont="1" applyBorder="1" applyAlignment="1">
      <alignment horizontal="justify" vertical="top" wrapText="1"/>
    </xf>
    <xf numFmtId="0" fontId="135" fillId="0" borderId="8" xfId="7" applyFont="1" applyBorder="1" applyAlignment="1">
      <alignment horizontal="center" vertical="center" wrapText="1"/>
    </xf>
    <xf numFmtId="0" fontId="135" fillId="0" borderId="9" xfId="7" applyFont="1" applyBorder="1" applyAlignment="1">
      <alignment horizontal="center" vertical="center" wrapText="1"/>
    </xf>
    <xf numFmtId="0" fontId="135" fillId="0" borderId="10" xfId="7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0" fontId="136" fillId="0" borderId="8" xfId="7" applyFont="1" applyBorder="1" applyAlignment="1">
      <alignment horizontal="left" vertical="center" wrapText="1"/>
    </xf>
    <xf numFmtId="0" fontId="136" fillId="0" borderId="9" xfId="7" applyFont="1" applyBorder="1" applyAlignment="1">
      <alignment horizontal="left" vertical="center" wrapText="1"/>
    </xf>
    <xf numFmtId="0" fontId="136" fillId="0" borderId="10" xfId="7" applyFont="1" applyBorder="1" applyAlignment="1">
      <alignment horizontal="left" vertical="center" wrapText="1"/>
    </xf>
    <xf numFmtId="0" fontId="68" fillId="0" borderId="67" xfId="0" applyFont="1" applyBorder="1" applyAlignment="1">
      <alignment vertical="center" wrapText="1"/>
    </xf>
    <xf numFmtId="0" fontId="152" fillId="0" borderId="68" xfId="0" applyFont="1" applyBorder="1" applyAlignment="1">
      <alignment vertical="center" wrapText="1"/>
    </xf>
    <xf numFmtId="0" fontId="152" fillId="0" borderId="69" xfId="0" applyFont="1" applyBorder="1" applyAlignment="1">
      <alignment vertical="center" wrapText="1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center"/>
    </xf>
    <xf numFmtId="0" fontId="136" fillId="0" borderId="3" xfId="7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4" fillId="0" borderId="67" xfId="0" applyFont="1" applyBorder="1" applyAlignment="1">
      <alignment horizontal="center" vertical="center" wrapText="1"/>
    </xf>
    <xf numFmtId="0" fontId="154" fillId="0" borderId="68" xfId="0" applyFont="1" applyBorder="1" applyAlignment="1">
      <alignment horizontal="center" vertical="center" wrapText="1"/>
    </xf>
    <xf numFmtId="0" fontId="154" fillId="0" borderId="69" xfId="0" applyFont="1" applyBorder="1" applyAlignment="1">
      <alignment horizontal="center" vertical="center" wrapText="1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8" fontId="28" fillId="0" borderId="3" xfId="0" applyNumberFormat="1" applyFont="1" applyBorder="1" applyAlignment="1">
      <alignment horizontal="center" vertical="center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0" fontId="9" fillId="0" borderId="1" xfId="0" applyFont="1" applyBorder="1" applyAlignment="1">
      <alignment horizontal="right"/>
    </xf>
    <xf numFmtId="166" fontId="28" fillId="0" borderId="3" xfId="0" applyNumberFormat="1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8" fillId="0" borderId="1" xfId="0" applyFont="1" applyBorder="1" applyAlignment="1">
      <alignment horizontal="justify" wrapText="1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5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7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left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14" fontId="18" fillId="0" borderId="1" xfId="51" applyNumberFormat="1" applyFont="1" applyBorder="1" applyAlignment="1">
      <alignment horizontal="center"/>
    </xf>
    <xf numFmtId="0" fontId="42" fillId="0" borderId="0" xfId="51" applyFont="1" applyAlignment="1">
      <alignment horizontal="left"/>
    </xf>
    <xf numFmtId="0" fontId="126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vertical="top" wrapText="1"/>
    </xf>
    <xf numFmtId="0" fontId="126" fillId="0" borderId="1" xfId="51" applyFont="1" applyBorder="1" applyAlignment="1">
      <alignment horizontal="left"/>
    </xf>
    <xf numFmtId="0" fontId="127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7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126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7" fillId="0" borderId="0" xfId="51" quotePrefix="1" applyFont="1" applyAlignment="1">
      <alignment horizontal="center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6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0" xfId="51" applyFont="1" applyFill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4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31" fillId="2" borderId="0" xfId="51" applyFont="1" applyFill="1" applyAlignment="1">
      <alignment horizontal="center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center" vertical="center"/>
    </xf>
    <xf numFmtId="0" fontId="126" fillId="0" borderId="0" xfId="51" quotePrefix="1" applyFont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0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29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7" fillId="0" borderId="2" xfId="53" applyFont="1" applyBorder="1" applyAlignment="1">
      <alignment horizontal="center" vertical="top" wrapText="1"/>
    </xf>
    <xf numFmtId="0" fontId="131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9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6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7" fillId="0" borderId="2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126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1" xfId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6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173" fontId="135" fillId="0" borderId="8" xfId="7" applyNumberFormat="1" applyFont="1" applyFill="1" applyBorder="1" applyAlignment="1">
      <alignment horizontal="center" vertical="center" wrapText="1"/>
    </xf>
    <xf numFmtId="173" fontId="135" fillId="0" borderId="9" xfId="7" applyNumberFormat="1" applyFont="1" applyFill="1" applyBorder="1" applyAlignment="1">
      <alignment horizontal="center" vertical="center" wrapText="1"/>
    </xf>
    <xf numFmtId="173" fontId="135" fillId="0" borderId="10" xfId="7" applyNumberFormat="1" applyFont="1" applyFill="1" applyBorder="1" applyAlignment="1">
      <alignment horizontal="center" vertical="center" wrapText="1"/>
    </xf>
    <xf numFmtId="0" fontId="135" fillId="0" borderId="8" xfId="7" applyFont="1" applyFill="1" applyBorder="1" applyAlignment="1">
      <alignment horizontal="center" vertical="center" wrapText="1"/>
    </xf>
    <xf numFmtId="0" fontId="135" fillId="0" borderId="9" xfId="7" applyFont="1" applyFill="1" applyBorder="1" applyAlignment="1">
      <alignment horizontal="center" vertical="center" wrapText="1"/>
    </xf>
    <xf numFmtId="0" fontId="135" fillId="0" borderId="10" xfId="7" applyFont="1" applyFill="1" applyBorder="1" applyAlignment="1">
      <alignment horizontal="center" vertical="center" wrapText="1"/>
    </xf>
    <xf numFmtId="2" fontId="135" fillId="0" borderId="8" xfId="7" applyNumberFormat="1" applyFont="1" applyFill="1" applyBorder="1" applyAlignment="1">
      <alignment horizontal="center" vertical="center" wrapText="1"/>
    </xf>
    <xf numFmtId="2" fontId="135" fillId="0" borderId="9" xfId="7" applyNumberFormat="1" applyFont="1" applyFill="1" applyBorder="1" applyAlignment="1">
      <alignment horizontal="center" vertical="center" wrapText="1"/>
    </xf>
    <xf numFmtId="2" fontId="135" fillId="0" borderId="10" xfId="7" applyNumberFormat="1" applyFont="1" applyFill="1" applyBorder="1" applyAlignment="1">
      <alignment horizontal="center" vertical="center" wrapText="1"/>
    </xf>
    <xf numFmtId="1" fontId="135" fillId="0" borderId="8" xfId="7" applyNumberFormat="1" applyFont="1" applyFill="1" applyBorder="1" applyAlignment="1">
      <alignment horizontal="center" vertical="center" wrapText="1"/>
    </xf>
    <xf numFmtId="1" fontId="135" fillId="0" borderId="9" xfId="7" applyNumberFormat="1" applyFont="1" applyFill="1" applyBorder="1" applyAlignment="1">
      <alignment horizontal="center" vertical="center" wrapText="1"/>
    </xf>
    <xf numFmtId="1" fontId="135" fillId="0" borderId="10" xfId="7" applyNumberFormat="1" applyFont="1" applyFill="1" applyBorder="1" applyAlignment="1">
      <alignment horizontal="center" vertical="center" wrapText="1"/>
    </xf>
    <xf numFmtId="172" fontId="135" fillId="0" borderId="8" xfId="7" applyNumberFormat="1" applyFont="1" applyFill="1" applyBorder="1" applyAlignment="1">
      <alignment horizontal="center" vertical="center" wrapText="1"/>
    </xf>
    <xf numFmtId="172" fontId="135" fillId="0" borderId="9" xfId="7" applyNumberFormat="1" applyFont="1" applyFill="1" applyBorder="1" applyAlignment="1">
      <alignment horizontal="center" vertical="center" wrapText="1"/>
    </xf>
    <xf numFmtId="172" fontId="135" fillId="0" borderId="10" xfId="7" applyNumberFormat="1" applyFont="1" applyFill="1" applyBorder="1" applyAlignment="1">
      <alignment horizontal="center" vertical="center" wrapText="1"/>
    </xf>
    <xf numFmtId="49" fontId="135" fillId="0" borderId="8" xfId="7" applyNumberFormat="1" applyFont="1" applyFill="1" applyBorder="1" applyAlignment="1">
      <alignment horizontal="center" vertical="center" wrapText="1"/>
    </xf>
    <xf numFmtId="49" fontId="135" fillId="0" borderId="9" xfId="7" applyNumberFormat="1" applyFont="1" applyFill="1" applyBorder="1" applyAlignment="1">
      <alignment horizontal="center" vertical="center" wrapText="1"/>
    </xf>
    <xf numFmtId="49" fontId="135" fillId="0" borderId="10" xfId="7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78" fillId="0" borderId="1" xfId="51" applyFont="1" applyBorder="1" applyAlignment="1">
      <alignment horizontal="left" wrapText="1"/>
    </xf>
    <xf numFmtId="0" fontId="162" fillId="0" borderId="1" xfId="51" applyFont="1" applyBorder="1" applyAlignment="1">
      <alignment horizontal="left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6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microsoft.com/office/2022/11/relationships/FeaturePropertyBag" Target="featurePropertyBag/featurePropertyBag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externalLink" Target="externalLinks/externalLink1.xml"/><Relationship Id="rId90" Type="http://schemas.openxmlformats.org/officeDocument/2006/relationships/worksheet" Target="worksheets/sheet9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190501</xdr:colOff>
      <xdr:row>0</xdr:row>
      <xdr:rowOff>74083</xdr:rowOff>
    </xdr:from>
    <xdr:to>
      <xdr:col>7</xdr:col>
      <xdr:colOff>365126</xdr:colOff>
      <xdr:row>3</xdr:row>
      <xdr:rowOff>347777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9901BCBC-33A6-4F5E-9E8F-4EE50CD6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4834" y="74083"/>
          <a:ext cx="3857625" cy="1067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8BF27-A53F-4F07-989D-E2C65E9A1334}"/>
            </a:ext>
          </a:extLst>
        </xdr:cNvPr>
        <xdr:cNvSpPr/>
      </xdr:nvSpPr>
      <xdr:spPr>
        <a:xfrm>
          <a:off x="67796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293A0CC-7887-44F6-B943-16616F73DB69}"/>
            </a:ext>
          </a:extLst>
        </xdr:cNvPr>
        <xdr:cNvSpPr/>
      </xdr:nvSpPr>
      <xdr:spPr>
        <a:xfrm>
          <a:off x="78951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6871CD-3418-47E4-A842-9FD0A3D93CEB}"/>
            </a:ext>
          </a:extLst>
        </xdr:cNvPr>
        <xdr:cNvSpPr/>
      </xdr:nvSpPr>
      <xdr:spPr>
        <a:xfrm>
          <a:off x="90106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42E32-B76F-499C-A4A4-313325EA822F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862908-221F-429E-84CB-4125DD2A3A60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4EB94-7576-4236-9A0F-8EAC2BB1B4C9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0D67-07C0-459D-9AE2-C3F13805FCDE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395084-D403-453B-BB1A-21636C5C8DC3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B3F4C-5593-4FF9-AC27-BB204973607E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B12C1-D7A2-4F98-BA21-819D5F492EAA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38EED5-593B-4D45-94AD-DCBD6474E0CA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E2A8D8-8C70-491B-8125-3A3311BEAC12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FC4D-598D-4F7D-9A24-3D7319DDD629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08BFD-8DC3-4A0A-93E5-169CA4EE9C8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260CC0-3BA1-4023-84E9-216B083422DC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AF3D8-F086-42DB-BEFE-EB446B0673FC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7104C8-61F5-4F4E-9013-971AE8EDA604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E258F-9E72-42D8-9970-3FBD4AC0E918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45951-908E-46BD-87E3-388A25985884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01838-2C44-4B3F-94C3-00A9FD3BD04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7E458A-36D5-4F14-A514-06DC20C8BBC4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717FD-48CB-4FEB-929D-641C22CA4160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456C1-74A9-4E76-B8BC-44617B728A97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E2E80-E062-44CE-90B0-41743E285863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90C02-C5DA-416F-BCEC-F7A6C01518BC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8D9E0C-8EE4-4532-8880-E895FE3A192F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DF15B3-542C-4FE9-989C-128A57F0751D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68E97-736A-47F5-ADD7-6F146DE45F7E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537EF5-8DDB-4321-B8B3-6459A31316D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BEFFB-7CD4-4619-AF0D-F6B351AA71D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A7755-F8D1-4DD5-90EE-DF1B75F120B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50B3F8-3D8A-491F-A6BF-23DC22C3BB12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D22763-409D-4271-BC94-2BCC1A1195F3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67C6-A48B-4C39-8193-D72636603008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9BFBC7-8DCD-4F45-9AD6-CF9068A1E9F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4D089-C598-488C-8F60-734B6A3844F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B31E9-4F83-4578-A1CA-CD848B5DF544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72B24B-1858-4D34-99B5-A9BE632A2A51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92E840-2C1D-44BF-A6E1-438280133D16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E92B5-498A-4073-8AC0-9AB534DA09C9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22C824-F745-4E80-A982-2AED9B7F69C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FA4DC8-A974-4163-BEEC-3F0F268D4D4E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64A15F-4AD3-47A4-AD25-F49EC8409D2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C2CB11-7C57-4CC2-B985-2DCC1A01F9CD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8D6F11-7FA4-410E-9D7D-B822B7497F4B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45722-BCBD-41CF-BA32-26CB025E7738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860693-5ECC-4AD1-8CAD-05BE8579676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F7D5A3-84C8-4453-8124-2A92AA57C46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FC090-5A00-419E-900B-23893C744AE6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2471A-E211-4238-9723-5716B5FB852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04BB6C-149F-402B-8430-080C02820692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2070A-F820-4735-AD7D-25FCAB98F6D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97F17-92A2-4F57-8D79-3B5C01B8FF1A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8D7389-64E5-45B3-8B04-80165D94EFF9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47CDC-F304-4EAB-9460-E41D41A1D827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B626FA-2AE1-4B8A-9A98-E1110B123BC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0D57E1-3344-403C-9592-296A6E195C3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1CBA6-51E7-430A-85C2-D087DF5AEE80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16185-A2BF-4E35-901F-4C90F40F6C1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7F4296-4713-4698-9E2C-0A57534722F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44EFE-ACFD-4516-A97F-9CE767FFAA1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79CD74-7D36-4BBB-91AA-CA22344CF92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6F2AB2-D7F5-4446-9C5D-96C781476F70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5E5E1-1B62-41D6-B852-0A6FFA7F091E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2A4711-1832-4956-BA45-8255414D95E5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3A33C-97A2-4270-B452-640F21B7CD2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onovVU\Downloads\&#1048;&#1044;_&#1042;&#1051;-0,4&#1082;&#1042;_&#1069;&#1057;.xlsx" TargetMode="External"/><Relationship Id="rId1" Type="http://schemas.openxmlformats.org/officeDocument/2006/relationships/externalLinkPath" Target="/Users/LeonovVU/Downloads/&#1048;&#1044;_&#1042;&#1051;-0,4&#1082;&#1042;_&#1069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Для ГНБ"/>
      <sheetName val="ПБУР 1"/>
      <sheetName val="ИППТ 1"/>
      <sheetName val="ПОДПИСИ"/>
      <sheetName val="ФОРМА"/>
      <sheetName val="АКТЫ скрытых работ"/>
      <sheetName val="Тит."/>
      <sheetName val="Форма 1"/>
      <sheetName val="Форма 2"/>
      <sheetName val="ВОР"/>
      <sheetName val="Акт дем.оборуд"/>
      <sheetName val="Форма 3"/>
      <sheetName val="Форма 4"/>
      <sheetName val="Форма 5_Обор. (2)"/>
      <sheetName val="Форма 5_Мат. (2)"/>
      <sheetName val="Форма 6"/>
      <sheetName val="Форма 6а"/>
      <sheetName val="Форма 6б"/>
      <sheetName val="Форма 8"/>
      <sheetName val="Ведомость к Ф-8"/>
      <sheetName val="АКТ болт соед"/>
      <sheetName val="Форма 11"/>
      <sheetName val="Форма 14а"/>
      <sheetName val="Форма 15"/>
      <sheetName val="Форма 17"/>
      <sheetName val="Форма 18"/>
      <sheetName val="Форма 19"/>
      <sheetName val="Форма 22_ВЛЗ-10кВ"/>
      <sheetName val="Форма 22_ВЛИ-0,4кВ"/>
      <sheetName val="Форма 23_дор._10"/>
      <sheetName val="Форма 23_дор._0,4"/>
      <sheetName val="Форма 24_ВЛЗ-10кВ"/>
      <sheetName val="Форма 24_ВЛИ-0,4кВ"/>
      <sheetName val="Форма 24_ТП"/>
      <sheetName val="ОГРАС"/>
      <sheetName val="Акт внеш осмотра ЛР"/>
      <sheetName val="Акт внеш осмотра ОПН"/>
      <sheetName val="Акт проверка швов ВЛ-10кВ"/>
      <sheetName val="Акт проверка швов ВЛ-0,4кВ"/>
      <sheetName val="Акт проверка швов КТП"/>
      <sheetName val="Акт защитного покрытия ВЛ-10кВ"/>
      <sheetName val="Акт защитного покрытия ВЛ-0,4кВ"/>
      <sheetName val="Акт защитного покрытия КТП"/>
      <sheetName val="Акт про знаки 10кВ"/>
      <sheetName val="Акт про знаки 0,4"/>
      <sheetName val="Акт внеш осмотра провода_01"/>
      <sheetName val="Акт внеш осмотра провода_02"/>
      <sheetName val="Акт расчистки"/>
      <sheetName val="АКТ приемки участка ВЛ"/>
      <sheetName val="АГРО КЛ-10кВ"/>
      <sheetName val="АГРО ВЛЗ-10 кВ"/>
      <sheetName val="АГРО КЛ-0,4кВ"/>
      <sheetName val="АГРО ВЛИ-0,4 кВ"/>
      <sheetName val="АГРО ТП"/>
      <sheetName val="АРОК КЛ-10кВ"/>
      <sheetName val="АРОК ВЛЗ-10 кВ"/>
      <sheetName val="АРОК КЛ-0,4кВ"/>
      <sheetName val="АРОК ВЛИ-0,4 кВ"/>
      <sheetName val="АРОК ТП"/>
      <sheetName val="АОСР 1"/>
      <sheetName val="АОСР 2"/>
      <sheetName val="АОСР 3"/>
      <sheetName val="АОСР 4"/>
      <sheetName val="АОСР 5"/>
      <sheetName val="АОСР 6"/>
      <sheetName val="АОСР 7"/>
      <sheetName val="АОСР 8"/>
      <sheetName val="АОСР 9"/>
      <sheetName val="АОСР 10"/>
      <sheetName val="АОСР 11"/>
      <sheetName val="АОСР 12"/>
      <sheetName val="АОСР 13"/>
      <sheetName val="АОСР 14"/>
      <sheetName val="АОСР 15"/>
      <sheetName val="АОСР 16"/>
      <sheetName val="АОСР 17"/>
      <sheetName val="АОСР 18"/>
      <sheetName val="АОСР 19"/>
      <sheetName val="АОСР 20"/>
      <sheetName val="АОСР 21"/>
      <sheetName val="АОСР 22"/>
      <sheetName val="АОСР 23"/>
      <sheetName val="АОСР 24"/>
      <sheetName val="АОСР 25"/>
      <sheetName val="АОСР 26"/>
      <sheetName val="АОСР 27"/>
      <sheetName val="АОСР 28"/>
      <sheetName val="АОСР 29"/>
      <sheetName val="АООК 30"/>
      <sheetName val="АООК 31"/>
      <sheetName val="АООК 32"/>
      <sheetName val="АООК 33"/>
    </sheetNames>
    <sheetDataSet>
      <sheetData sheetId="0" refreshError="1"/>
      <sheetData sheetId="1" refreshError="1"/>
      <sheetData sheetId="2" refreshError="1"/>
      <sheetData sheetId="3">
        <row r="6">
          <cell r="B6" t="str">
            <v>Начальник мастерского участка №1 Курортного РЭС ПАО «Россети Ленэнерго» «СЭС»</v>
          </cell>
          <cell r="E6" t="str">
            <v>Д.М. Чечин</v>
          </cell>
        </row>
        <row r="7">
          <cell r="B7" t="str">
            <v>Начальник мастерского участка №1 Курортного РЭС ПАО «Россети Ленэнерго» «СЭС»</v>
          </cell>
          <cell r="E7" t="str">
            <v>Д.М. Чечин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4.5" outlineLevelRow="1"/>
  <cols>
    <col min="2" max="2" width="20.7265625" bestFit="1" customWidth="1"/>
    <col min="3" max="3" width="12.26953125" customWidth="1"/>
    <col min="6" max="7" width="11.7265625" bestFit="1" customWidth="1"/>
    <col min="14" max="14" width="19.54296875" customWidth="1"/>
    <col min="15" max="15" width="12.1796875" bestFit="1" customWidth="1"/>
    <col min="16" max="16" width="12.54296875" bestFit="1" customWidth="1"/>
  </cols>
  <sheetData>
    <row r="1" spans="1:16" outlineLevel="1">
      <c r="A1" s="664" t="s">
        <v>1058</v>
      </c>
      <c r="B1" s="664"/>
      <c r="C1" s="664"/>
      <c r="J1" s="665" t="s">
        <v>1059</v>
      </c>
      <c r="K1" s="666"/>
      <c r="L1" s="666"/>
      <c r="M1" s="667"/>
      <c r="N1" s="518" t="s">
        <v>140</v>
      </c>
      <c r="O1" s="518" t="s">
        <v>142</v>
      </c>
      <c r="P1" s="518" t="s">
        <v>1060</v>
      </c>
    </row>
    <row r="2" spans="1:16" outlineLevel="1">
      <c r="A2" s="668" t="s">
        <v>1061</v>
      </c>
      <c r="B2" s="668"/>
      <c r="C2" s="669" t="s">
        <v>1062</v>
      </c>
      <c r="D2" s="669"/>
      <c r="E2" s="669"/>
      <c r="F2" s="669"/>
      <c r="G2" s="669"/>
      <c r="H2" s="669"/>
      <c r="J2" s="670" t="s">
        <v>1063</v>
      </c>
      <c r="K2" s="670"/>
      <c r="L2" s="670"/>
      <c r="M2" s="670"/>
      <c r="N2" s="519" t="s">
        <v>1064</v>
      </c>
      <c r="O2" s="519" t="s">
        <v>1065</v>
      </c>
      <c r="P2" s="519" t="s">
        <v>1066</v>
      </c>
    </row>
    <row r="3" spans="1:16" ht="29.5" customHeight="1" outlineLevel="1">
      <c r="A3" s="659" t="s">
        <v>1067</v>
      </c>
      <c r="B3" s="659"/>
      <c r="C3" s="660" t="s">
        <v>1068</v>
      </c>
      <c r="D3" s="660"/>
      <c r="E3" s="660"/>
      <c r="F3" s="660"/>
      <c r="G3" s="660"/>
      <c r="H3" s="660"/>
      <c r="J3" s="661" t="s">
        <v>1069</v>
      </c>
      <c r="K3" s="662"/>
      <c r="L3" s="662"/>
      <c r="M3" s="663"/>
      <c r="N3" s="520" t="s">
        <v>1070</v>
      </c>
      <c r="O3" s="519" t="s">
        <v>1071</v>
      </c>
      <c r="P3" s="519" t="s">
        <v>1072</v>
      </c>
    </row>
    <row r="4" spans="1:16" outlineLevel="1">
      <c r="A4" s="668" t="s">
        <v>1073</v>
      </c>
      <c r="B4" s="668"/>
      <c r="C4" s="669" t="s">
        <v>1074</v>
      </c>
      <c r="D4" s="669"/>
      <c r="E4" s="669"/>
      <c r="F4" s="669"/>
      <c r="G4" s="669"/>
      <c r="H4" s="669"/>
      <c r="J4" s="521"/>
      <c r="K4" s="521"/>
      <c r="L4" s="521"/>
      <c r="M4" s="521"/>
      <c r="N4" s="521" t="s">
        <v>1075</v>
      </c>
      <c r="O4" s="521" t="s">
        <v>1076</v>
      </c>
      <c r="P4" s="521" t="s">
        <v>1077</v>
      </c>
    </row>
    <row r="5" spans="1:16" outlineLevel="1">
      <c r="A5" s="668" t="s">
        <v>1078</v>
      </c>
      <c r="B5" s="668"/>
      <c r="C5" s="669" t="s">
        <v>1079</v>
      </c>
      <c r="D5" s="669"/>
      <c r="E5" s="669"/>
      <c r="F5" s="669"/>
      <c r="G5" s="669"/>
      <c r="H5" s="669"/>
      <c r="J5" s="521"/>
      <c r="K5" s="521"/>
      <c r="L5" s="521"/>
      <c r="M5" s="521"/>
      <c r="N5" s="521"/>
      <c r="O5" s="521"/>
      <c r="P5" s="521"/>
    </row>
    <row r="6" spans="1:16" outlineLevel="1"/>
    <row r="7" spans="1:16" outlineLevel="1"/>
    <row r="8" spans="1:16" outlineLevel="1">
      <c r="B8" s="664" t="s">
        <v>1080</v>
      </c>
      <c r="C8" s="664"/>
      <c r="D8" s="664"/>
      <c r="E8" s="664"/>
      <c r="F8" s="664"/>
      <c r="G8" s="664"/>
    </row>
    <row r="9" spans="1:16" s="17" customFormat="1" ht="29">
      <c r="B9" s="17" t="s">
        <v>1081</v>
      </c>
      <c r="C9" s="522" t="s">
        <v>1082</v>
      </c>
      <c r="D9" s="17" t="s">
        <v>1083</v>
      </c>
      <c r="E9" s="17" t="s">
        <v>1084</v>
      </c>
      <c r="F9" s="522" t="s">
        <v>1085</v>
      </c>
      <c r="G9" s="522" t="s">
        <v>1086</v>
      </c>
    </row>
    <row r="10" spans="1:16">
      <c r="A10" s="523">
        <v>1</v>
      </c>
      <c r="B10" s="523" t="s">
        <v>1087</v>
      </c>
      <c r="C10" s="523">
        <v>4</v>
      </c>
      <c r="D10" s="523">
        <v>400</v>
      </c>
      <c r="E10" s="523">
        <v>64</v>
      </c>
      <c r="F10" s="524" t="s">
        <v>1088</v>
      </c>
      <c r="G10" s="524" t="s">
        <v>1089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81640625" defaultRowHeight="15.5"/>
  <cols>
    <col min="1" max="1" width="5.54296875" style="525" customWidth="1"/>
    <col min="2" max="2" width="21.7265625" style="525" customWidth="1"/>
    <col min="3" max="3" width="20.7265625" style="525" customWidth="1"/>
    <col min="4" max="4" width="20.54296875" style="525" customWidth="1"/>
    <col min="5" max="5" width="34.81640625" style="525" customWidth="1"/>
    <col min="6" max="16384" width="8.81640625" style="525"/>
  </cols>
  <sheetData>
    <row r="2" spans="1:8" ht="31">
      <c r="E2" s="526" t="s">
        <v>1090</v>
      </c>
      <c r="H2" s="527" t="str">
        <f ca="1">MID(CELL("имяфайла",A2),SEARCH("]",CELL("имяфайла",A2))+1,LEN(CELL("имяфайла",A2)))</f>
        <v>ПБУР 1</v>
      </c>
    </row>
    <row r="3" spans="1:8">
      <c r="A3" s="671" t="s">
        <v>1091</v>
      </c>
      <c r="B3" s="671"/>
      <c r="C3" s="671"/>
      <c r="D3" s="671"/>
      <c r="E3" s="671"/>
      <c r="H3" s="289">
        <f ca="1">RIGHT(H2,LEN(H2)-5)+9</f>
        <v>10</v>
      </c>
    </row>
    <row r="4" spans="1:8">
      <c r="A4" s="671" t="str">
        <f ca="1">CONCATENATE("МЕТОДОМ ГНБ",INDIRECT("'Для ГНБ'!R"&amp;H3&amp;"C1",0))</f>
        <v>МЕТОДОМ ГНБ1</v>
      </c>
      <c r="B4" s="671"/>
      <c r="C4" s="671"/>
      <c r="D4" s="671"/>
      <c r="E4" s="671"/>
    </row>
    <row r="5" spans="1:8" ht="4.9000000000000004" customHeight="1">
      <c r="A5" s="528"/>
      <c r="B5" s="528"/>
      <c r="C5" s="528"/>
      <c r="D5" s="528"/>
      <c r="E5" s="528"/>
    </row>
    <row r="6" spans="1:8" ht="78.650000000000006" customHeight="1">
      <c r="A6" s="672" t="s">
        <v>1092</v>
      </c>
      <c r="B6" s="672"/>
      <c r="C6" s="672"/>
      <c r="D6" s="673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73"/>
    </row>
    <row r="7" spans="1:8" ht="75" customHeight="1">
      <c r="A7" s="672" t="s">
        <v>1093</v>
      </c>
      <c r="B7" s="674"/>
      <c r="C7" s="6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3"/>
      <c r="E7" s="673"/>
    </row>
    <row r="8" spans="1:8" ht="55.15" customHeight="1">
      <c r="A8" s="675" t="s">
        <v>1094</v>
      </c>
      <c r="B8" s="675"/>
      <c r="C8" s="675"/>
      <c r="D8" s="673" t="str">
        <f>ФОРМА!C6</f>
        <v>ЛО, Всеволожский район, Всеволожское городское поселение, город Всеволожск, шоссе Южное (22-018070 и др.)</v>
      </c>
      <c r="E8" s="673"/>
    </row>
    <row r="9" spans="1:8" ht="40.9" customHeight="1">
      <c r="A9" s="675" t="s">
        <v>1095</v>
      </c>
      <c r="B9" s="675"/>
      <c r="C9" s="675"/>
      <c r="D9" s="676" t="str">
        <f ca="1">INDIRECT("'Для ГНБ'!R"&amp;H3&amp;"C2",0)</f>
        <v>Закрытый переход №1</v>
      </c>
      <c r="E9" s="676"/>
    </row>
    <row r="10" spans="1:8" ht="53.5" customHeight="1">
      <c r="A10" s="675" t="s">
        <v>1096</v>
      </c>
      <c r="B10" s="675"/>
      <c r="C10" s="675"/>
      <c r="D10" s="677" t="str">
        <f>'Для ГНБ'!C2</f>
        <v>Прокладка 2-х труб ПНД ПЭ100 D-110 мм. методом ГНБ</v>
      </c>
      <c r="E10" s="677"/>
    </row>
    <row r="11" spans="1:8">
      <c r="A11" s="678" t="s">
        <v>1067</v>
      </c>
      <c r="B11" s="678"/>
      <c r="C11" s="678"/>
      <c r="D11" s="673" t="str">
        <f>'Для ГНБ'!C3</f>
        <v>Vermeer Navigator D 36x50 SII</v>
      </c>
      <c r="E11" s="673"/>
    </row>
    <row r="12" spans="1:8">
      <c r="A12" s="678" t="s">
        <v>1097</v>
      </c>
      <c r="B12" s="678"/>
      <c r="C12" s="678"/>
      <c r="D12" s="673" t="str">
        <f>'Для ГНБ'!C4</f>
        <v>4,57 м</v>
      </c>
      <c r="E12" s="673"/>
    </row>
    <row r="13" spans="1:8">
      <c r="A13" s="679" t="s">
        <v>1078</v>
      </c>
      <c r="B13" s="679"/>
      <c r="C13" s="679"/>
      <c r="D13" s="673" t="str">
        <f>'Для ГНБ'!C5</f>
        <v>Digitrack Eclipse</v>
      </c>
      <c r="E13" s="673"/>
    </row>
    <row r="14" spans="1:8" ht="31.15" customHeight="1">
      <c r="A14" s="678" t="s">
        <v>1098</v>
      </c>
      <c r="B14" s="678"/>
      <c r="C14" s="678"/>
      <c r="D14" s="673" t="str">
        <f>CONCATENATE('Для ГНБ'!N2," ",'Для ГНБ'!O2)</f>
        <v>Буровой мастер  Киселев Д.В.</v>
      </c>
      <c r="E14" s="673"/>
    </row>
    <row r="15" spans="1:8">
      <c r="A15" s="679" t="s">
        <v>1099</v>
      </c>
      <c r="B15" s="679"/>
      <c r="C15" s="679"/>
      <c r="D15" s="673" t="str">
        <f>CONCATENATE('Для ГНБ'!N3," ",'Для ГНБ'!O3)</f>
        <v>Оператор буровой установки  Петров П.М.</v>
      </c>
      <c r="E15" s="673"/>
    </row>
    <row r="17" spans="1:5" ht="46.5">
      <c r="A17" s="529" t="s">
        <v>236</v>
      </c>
      <c r="B17" s="529" t="s">
        <v>1100</v>
      </c>
      <c r="C17" s="529" t="s">
        <v>1101</v>
      </c>
      <c r="D17" s="529" t="s">
        <v>1102</v>
      </c>
      <c r="E17" s="529" t="s">
        <v>1103</v>
      </c>
    </row>
    <row r="18" spans="1:5">
      <c r="A18" s="529">
        <v>1</v>
      </c>
      <c r="B18" s="530">
        <v>0</v>
      </c>
      <c r="C18" s="530" t="s">
        <v>1104</v>
      </c>
      <c r="D18" s="530">
        <v>44</v>
      </c>
      <c r="E18" s="530" t="s">
        <v>1105</v>
      </c>
    </row>
    <row r="19" spans="1:5">
      <c r="A19" s="529">
        <v>2</v>
      </c>
      <c r="B19" s="530">
        <v>4.57</v>
      </c>
      <c r="C19" s="530" t="s">
        <v>1106</v>
      </c>
      <c r="D19" s="530">
        <v>128</v>
      </c>
      <c r="E19" s="530"/>
    </row>
    <row r="20" spans="1:5">
      <c r="A20" s="529">
        <v>3</v>
      </c>
      <c r="B20" s="530">
        <v>9.14</v>
      </c>
      <c r="C20" s="530" t="s">
        <v>1107</v>
      </c>
      <c r="D20" s="530">
        <v>255</v>
      </c>
      <c r="E20" s="530"/>
    </row>
    <row r="21" spans="1:5">
      <c r="A21" s="529">
        <v>4</v>
      </c>
      <c r="B21" s="530">
        <v>13.71</v>
      </c>
      <c r="C21" s="530" t="s">
        <v>1108</v>
      </c>
      <c r="D21" s="530">
        <v>320</v>
      </c>
      <c r="E21" s="530"/>
    </row>
    <row r="22" spans="1:5">
      <c r="A22" s="529">
        <v>5</v>
      </c>
      <c r="B22" s="530">
        <v>18.28</v>
      </c>
      <c r="C22" s="530" t="s">
        <v>1109</v>
      </c>
      <c r="D22" s="530">
        <v>355</v>
      </c>
      <c r="E22" s="530"/>
    </row>
    <row r="23" spans="1:5">
      <c r="A23" s="529">
        <v>6</v>
      </c>
      <c r="B23" s="530">
        <v>22.85</v>
      </c>
      <c r="C23" s="530" t="s">
        <v>1110</v>
      </c>
      <c r="D23" s="530">
        <v>355</v>
      </c>
      <c r="E23" s="530"/>
    </row>
    <row r="24" spans="1:5">
      <c r="A24" s="529">
        <v>7</v>
      </c>
      <c r="B24" s="530">
        <v>27.42</v>
      </c>
      <c r="C24" s="530">
        <v>26696</v>
      </c>
      <c r="D24" s="530">
        <v>337</v>
      </c>
      <c r="E24" s="530"/>
    </row>
    <row r="25" spans="1:5">
      <c r="A25" s="529">
        <v>8</v>
      </c>
      <c r="B25" s="530">
        <v>31.99</v>
      </c>
      <c r="C25" s="530">
        <v>22341</v>
      </c>
      <c r="D25" s="530">
        <v>320</v>
      </c>
      <c r="E25" s="530"/>
    </row>
    <row r="26" spans="1:5">
      <c r="A26" s="529">
        <v>9</v>
      </c>
      <c r="B26" s="530">
        <v>36.56</v>
      </c>
      <c r="C26" s="530">
        <v>23743</v>
      </c>
      <c r="D26" s="530">
        <v>300</v>
      </c>
      <c r="E26" s="530"/>
    </row>
    <row r="27" spans="1:5">
      <c r="A27" s="529">
        <v>10</v>
      </c>
      <c r="B27" s="530">
        <v>41.13</v>
      </c>
      <c r="C27" s="530">
        <v>30317</v>
      </c>
      <c r="D27" s="530">
        <v>301</v>
      </c>
      <c r="E27" s="530"/>
    </row>
    <row r="28" spans="1:5">
      <c r="A28" s="529">
        <v>11</v>
      </c>
      <c r="B28" s="530">
        <v>45.7</v>
      </c>
      <c r="C28" s="530">
        <v>16619</v>
      </c>
      <c r="D28" s="530">
        <v>275</v>
      </c>
      <c r="E28" s="530"/>
    </row>
    <row r="29" spans="1:5">
      <c r="A29" s="529">
        <v>12</v>
      </c>
      <c r="B29" s="530">
        <v>50.27</v>
      </c>
      <c r="C29" s="530">
        <v>26573</v>
      </c>
      <c r="D29" s="530">
        <v>222</v>
      </c>
      <c r="E29" s="530"/>
    </row>
    <row r="30" spans="1:5">
      <c r="A30" s="529">
        <v>13</v>
      </c>
      <c r="B30" s="530">
        <v>54.84</v>
      </c>
      <c r="C30" s="530">
        <v>13759</v>
      </c>
      <c r="D30" s="530">
        <v>173</v>
      </c>
      <c r="E30" s="530"/>
    </row>
    <row r="31" spans="1:5">
      <c r="A31" s="529">
        <v>14</v>
      </c>
      <c r="B31" s="530">
        <v>59.41</v>
      </c>
      <c r="C31" s="530">
        <v>25173</v>
      </c>
      <c r="D31" s="530">
        <v>143</v>
      </c>
      <c r="E31" s="530"/>
    </row>
    <row r="32" spans="1:5">
      <c r="A32" s="529">
        <v>15</v>
      </c>
      <c r="B32" s="530">
        <v>64</v>
      </c>
      <c r="C32" s="530" t="s">
        <v>1111</v>
      </c>
      <c r="D32" s="530">
        <v>65</v>
      </c>
      <c r="E32" s="530" t="s">
        <v>1112</v>
      </c>
    </row>
    <row r="34" spans="1:5" ht="30.65" customHeight="1">
      <c r="A34" s="68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0"/>
      <c r="E34" s="531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8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0"/>
      <c r="E35" s="532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5" customHeight="1">
      <c r="B37" s="680" t="s">
        <v>1113</v>
      </c>
      <c r="C37" s="680"/>
      <c r="D37" s="533"/>
      <c r="E37" s="534" t="str">
        <f>CONCATENATE("/ ",'Для ГНБ'!P2," /")</f>
        <v>/ Д.В. Киселев  /</v>
      </c>
    </row>
    <row r="38" spans="1:5" ht="30" customHeight="1">
      <c r="B38" s="681" t="s">
        <v>1114</v>
      </c>
      <c r="C38" s="681"/>
      <c r="D38" s="535"/>
      <c r="E38" s="534" t="str">
        <f>CONCATENATE("/ ",'Для ГНБ'!P3," /")</f>
        <v>/ П.М. Петров /</v>
      </c>
    </row>
    <row r="39" spans="1:5">
      <c r="C39" s="525" t="s">
        <v>92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81640625" defaultRowHeight="15.5"/>
  <cols>
    <col min="1" max="1" width="5.54296875" style="536" customWidth="1"/>
    <col min="2" max="2" width="21.7265625" style="525" customWidth="1"/>
    <col min="3" max="3" width="30.81640625" style="525" customWidth="1"/>
    <col min="4" max="4" width="20.54296875" style="525" customWidth="1"/>
    <col min="5" max="5" width="30.81640625" style="525" customWidth="1"/>
    <col min="6" max="13" width="8.81640625" style="525"/>
    <col min="14" max="14" width="54.26953125" style="525" customWidth="1"/>
    <col min="15" max="16384" width="8.81640625" style="525"/>
  </cols>
  <sheetData>
    <row r="2" spans="1:14">
      <c r="E2" s="526" t="s">
        <v>1115</v>
      </c>
      <c r="H2" s="527" t="str">
        <f ca="1">MID(CELL("имяфайла",A2),SEARCH("]",CELL("имяфайла",A2))+1,LEN(CELL("имяфайла",A2)))</f>
        <v>ИППТ 1</v>
      </c>
    </row>
    <row r="3" spans="1:14">
      <c r="A3" s="671" t="str">
        <f ca="1">CONCATENATE("Исполнительный паспорт №",INDIRECT("'Для ГНБ'!R"&amp;H3&amp;"C1",0))</f>
        <v>Исполнительный паспорт №1</v>
      </c>
      <c r="B3" s="671"/>
      <c r="C3" s="671"/>
      <c r="D3" s="671"/>
      <c r="E3" s="671"/>
      <c r="H3" s="289">
        <f ca="1">RIGHT(H2,LEN(H2)-5)+9</f>
        <v>10</v>
      </c>
    </row>
    <row r="4" spans="1:14" ht="7.15" customHeight="1">
      <c r="A4" s="537"/>
      <c r="B4" s="528"/>
      <c r="C4" s="528"/>
      <c r="D4" s="528"/>
      <c r="E4" s="528"/>
    </row>
    <row r="5" spans="1:14" ht="31">
      <c r="A5" s="529" t="s">
        <v>1116</v>
      </c>
      <c r="B5" s="682" t="s">
        <v>1117</v>
      </c>
      <c r="C5" s="682"/>
      <c r="D5" s="682" t="s">
        <v>1118</v>
      </c>
      <c r="E5" s="682"/>
    </row>
    <row r="6" spans="1:14" ht="21" customHeight="1">
      <c r="A6" s="682">
        <v>1</v>
      </c>
      <c r="B6" s="674" t="s">
        <v>1119</v>
      </c>
      <c r="C6" s="674"/>
      <c r="D6" s="683"/>
      <c r="E6" s="683"/>
    </row>
    <row r="7" spans="1:14" ht="139.5">
      <c r="A7" s="682"/>
      <c r="B7" s="684" t="s">
        <v>1120</v>
      </c>
      <c r="C7" s="684"/>
      <c r="D7" s="685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85"/>
      <c r="N7" s="5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682"/>
      <c r="B8" s="678" t="s">
        <v>1121</v>
      </c>
      <c r="C8" s="678"/>
      <c r="D8" s="686" t="str">
        <f>CONCATENATE("Шифр проекта: ",ФОРМА!B9)</f>
        <v>Шифр проекта: СЭС-23-32939-ЭС-ТКР2</v>
      </c>
      <c r="E8" s="686"/>
    </row>
    <row r="9" spans="1:14" ht="30" customHeight="1">
      <c r="A9" s="694">
        <v>2</v>
      </c>
      <c r="B9" s="695" t="s">
        <v>1122</v>
      </c>
      <c r="C9" s="695"/>
      <c r="D9" s="696"/>
      <c r="E9" s="697"/>
    </row>
    <row r="10" spans="1:14" ht="75" customHeight="1">
      <c r="A10" s="694"/>
      <c r="B10" s="698" t="s">
        <v>1123</v>
      </c>
      <c r="C10" s="699"/>
      <c r="D10" s="700" t="s">
        <v>1124</v>
      </c>
      <c r="E10" s="701"/>
    </row>
    <row r="11" spans="1:14" ht="137.5" customHeight="1">
      <c r="A11" s="702">
        <v>3</v>
      </c>
      <c r="B11" s="705" t="s">
        <v>1125</v>
      </c>
      <c r="C11" s="706"/>
      <c r="D11" s="696"/>
      <c r="E11" s="697"/>
    </row>
    <row r="12" spans="1:14" ht="156.65" customHeight="1">
      <c r="A12" s="703"/>
      <c r="B12" s="707" t="s">
        <v>1126</v>
      </c>
      <c r="C12" s="708"/>
      <c r="D12" s="709" t="s">
        <v>1127</v>
      </c>
      <c r="E12" s="710"/>
    </row>
    <row r="13" spans="1:14" ht="93" customHeight="1">
      <c r="A13" s="703"/>
      <c r="B13" s="687" t="s">
        <v>1128</v>
      </c>
      <c r="C13" s="681"/>
      <c r="D13" s="688" t="s">
        <v>1129</v>
      </c>
      <c r="E13" s="689"/>
    </row>
    <row r="14" spans="1:14">
      <c r="A14" s="704"/>
      <c r="B14" s="690" t="s">
        <v>1130</v>
      </c>
      <c r="C14" s="691"/>
      <c r="D14" s="692" t="str">
        <f ca="1">INDIRECT("'Для ГНБ'!R"&amp;H3&amp;"C7",0)</f>
        <v>28.06.2024 г.</v>
      </c>
      <c r="E14" s="693"/>
    </row>
    <row r="15" spans="1:14">
      <c r="D15" s="539"/>
      <c r="E15" s="539"/>
    </row>
    <row r="16" spans="1:14">
      <c r="C16" s="540" t="str">
        <f>'Для ГНБ'!N4</f>
        <v>Начальник участка</v>
      </c>
      <c r="D16" s="533"/>
      <c r="E16" s="534" t="str">
        <f>CONCATENATE("/ ",'Для ГНБ'!P4," /")</f>
        <v>/ С.А. Карпов /</v>
      </c>
    </row>
    <row r="17" spans="1:5">
      <c r="A17" s="541"/>
      <c r="B17" s="541"/>
      <c r="C17" s="541"/>
      <c r="D17" s="541"/>
      <c r="E17" s="541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topLeftCell="B1" workbookViewId="0">
      <selection activeCell="C8" sqref="C8"/>
    </sheetView>
  </sheetViews>
  <sheetFormatPr defaultRowHeight="12.5"/>
  <cols>
    <col min="1" max="1" width="24.1796875" style="185" customWidth="1"/>
    <col min="2" max="2" width="57.81640625" style="194" customWidth="1"/>
    <col min="3" max="4" width="24.7265625" style="101" customWidth="1"/>
    <col min="5" max="5" width="15.26953125" style="101" customWidth="1"/>
    <col min="6" max="6" width="21.1796875" style="32" customWidth="1"/>
    <col min="7" max="7" width="28.81640625" style="101" customWidth="1"/>
    <col min="8" max="8" width="15.7265625" style="33" hidden="1" customWidth="1"/>
    <col min="9" max="10" width="15.7265625" style="33" customWidth="1"/>
    <col min="11" max="11" width="11.7265625" style="33" customWidth="1"/>
    <col min="12" max="12" width="26.1796875" style="33" customWidth="1"/>
    <col min="13" max="15" width="15.7265625" style="33" customWidth="1"/>
    <col min="16" max="42" width="2.7265625" style="33" customWidth="1"/>
    <col min="43" max="257" width="9.1796875" style="33"/>
    <col min="258" max="258" width="29.7265625" style="33" customWidth="1"/>
    <col min="259" max="259" width="49" style="33" customWidth="1"/>
    <col min="260" max="260" width="24.7265625" style="33" customWidth="1"/>
    <col min="261" max="261" width="15.26953125" style="33" customWidth="1"/>
    <col min="262" max="262" width="15.54296875" style="33" customWidth="1"/>
    <col min="263" max="263" width="10.453125" style="33" customWidth="1"/>
    <col min="264" max="264" width="21.81640625" style="33" customWidth="1"/>
    <col min="265" max="298" width="2.7265625" style="33" customWidth="1"/>
    <col min="299" max="513" width="9.1796875" style="33"/>
    <col min="514" max="514" width="29.7265625" style="33" customWidth="1"/>
    <col min="515" max="515" width="49" style="33" customWidth="1"/>
    <col min="516" max="516" width="24.7265625" style="33" customWidth="1"/>
    <col min="517" max="517" width="15.26953125" style="33" customWidth="1"/>
    <col min="518" max="518" width="15.54296875" style="33" customWidth="1"/>
    <col min="519" max="519" width="10.453125" style="33" customWidth="1"/>
    <col min="520" max="520" width="21.81640625" style="33" customWidth="1"/>
    <col min="521" max="554" width="2.7265625" style="33" customWidth="1"/>
    <col min="555" max="769" width="9.1796875" style="33"/>
    <col min="770" max="770" width="29.7265625" style="33" customWidth="1"/>
    <col min="771" max="771" width="49" style="33" customWidth="1"/>
    <col min="772" max="772" width="24.7265625" style="33" customWidth="1"/>
    <col min="773" max="773" width="15.26953125" style="33" customWidth="1"/>
    <col min="774" max="774" width="15.54296875" style="33" customWidth="1"/>
    <col min="775" max="775" width="10.453125" style="33" customWidth="1"/>
    <col min="776" max="776" width="21.81640625" style="33" customWidth="1"/>
    <col min="777" max="810" width="2.7265625" style="33" customWidth="1"/>
    <col min="811" max="1025" width="9.1796875" style="33"/>
    <col min="1026" max="1026" width="29.7265625" style="33" customWidth="1"/>
    <col min="1027" max="1027" width="49" style="33" customWidth="1"/>
    <col min="1028" max="1028" width="24.7265625" style="33" customWidth="1"/>
    <col min="1029" max="1029" width="15.26953125" style="33" customWidth="1"/>
    <col min="1030" max="1030" width="15.54296875" style="33" customWidth="1"/>
    <col min="1031" max="1031" width="10.453125" style="33" customWidth="1"/>
    <col min="1032" max="1032" width="21.81640625" style="33" customWidth="1"/>
    <col min="1033" max="1066" width="2.7265625" style="33" customWidth="1"/>
    <col min="1067" max="1281" width="9.1796875" style="33"/>
    <col min="1282" max="1282" width="29.7265625" style="33" customWidth="1"/>
    <col min="1283" max="1283" width="49" style="33" customWidth="1"/>
    <col min="1284" max="1284" width="24.7265625" style="33" customWidth="1"/>
    <col min="1285" max="1285" width="15.26953125" style="33" customWidth="1"/>
    <col min="1286" max="1286" width="15.54296875" style="33" customWidth="1"/>
    <col min="1287" max="1287" width="10.453125" style="33" customWidth="1"/>
    <col min="1288" max="1288" width="21.81640625" style="33" customWidth="1"/>
    <col min="1289" max="1322" width="2.7265625" style="33" customWidth="1"/>
    <col min="1323" max="1537" width="9.1796875" style="33"/>
    <col min="1538" max="1538" width="29.7265625" style="33" customWidth="1"/>
    <col min="1539" max="1539" width="49" style="33" customWidth="1"/>
    <col min="1540" max="1540" width="24.7265625" style="33" customWidth="1"/>
    <col min="1541" max="1541" width="15.26953125" style="33" customWidth="1"/>
    <col min="1542" max="1542" width="15.54296875" style="33" customWidth="1"/>
    <col min="1543" max="1543" width="10.453125" style="33" customWidth="1"/>
    <col min="1544" max="1544" width="21.81640625" style="33" customWidth="1"/>
    <col min="1545" max="1578" width="2.7265625" style="33" customWidth="1"/>
    <col min="1579" max="1793" width="9.1796875" style="33"/>
    <col min="1794" max="1794" width="29.7265625" style="33" customWidth="1"/>
    <col min="1795" max="1795" width="49" style="33" customWidth="1"/>
    <col min="1796" max="1796" width="24.7265625" style="33" customWidth="1"/>
    <col min="1797" max="1797" width="15.26953125" style="33" customWidth="1"/>
    <col min="1798" max="1798" width="15.54296875" style="33" customWidth="1"/>
    <col min="1799" max="1799" width="10.453125" style="33" customWidth="1"/>
    <col min="1800" max="1800" width="21.81640625" style="33" customWidth="1"/>
    <col min="1801" max="1834" width="2.7265625" style="33" customWidth="1"/>
    <col min="1835" max="2049" width="9.1796875" style="33"/>
    <col min="2050" max="2050" width="29.7265625" style="33" customWidth="1"/>
    <col min="2051" max="2051" width="49" style="33" customWidth="1"/>
    <col min="2052" max="2052" width="24.7265625" style="33" customWidth="1"/>
    <col min="2053" max="2053" width="15.26953125" style="33" customWidth="1"/>
    <col min="2054" max="2054" width="15.54296875" style="33" customWidth="1"/>
    <col min="2055" max="2055" width="10.453125" style="33" customWidth="1"/>
    <col min="2056" max="2056" width="21.81640625" style="33" customWidth="1"/>
    <col min="2057" max="2090" width="2.7265625" style="33" customWidth="1"/>
    <col min="2091" max="2305" width="9.1796875" style="33"/>
    <col min="2306" max="2306" width="29.7265625" style="33" customWidth="1"/>
    <col min="2307" max="2307" width="49" style="33" customWidth="1"/>
    <col min="2308" max="2308" width="24.7265625" style="33" customWidth="1"/>
    <col min="2309" max="2309" width="15.26953125" style="33" customWidth="1"/>
    <col min="2310" max="2310" width="15.54296875" style="33" customWidth="1"/>
    <col min="2311" max="2311" width="10.453125" style="33" customWidth="1"/>
    <col min="2312" max="2312" width="21.81640625" style="33" customWidth="1"/>
    <col min="2313" max="2346" width="2.7265625" style="33" customWidth="1"/>
    <col min="2347" max="2561" width="9.1796875" style="33"/>
    <col min="2562" max="2562" width="29.7265625" style="33" customWidth="1"/>
    <col min="2563" max="2563" width="49" style="33" customWidth="1"/>
    <col min="2564" max="2564" width="24.7265625" style="33" customWidth="1"/>
    <col min="2565" max="2565" width="15.26953125" style="33" customWidth="1"/>
    <col min="2566" max="2566" width="15.54296875" style="33" customWidth="1"/>
    <col min="2567" max="2567" width="10.453125" style="33" customWidth="1"/>
    <col min="2568" max="2568" width="21.81640625" style="33" customWidth="1"/>
    <col min="2569" max="2602" width="2.7265625" style="33" customWidth="1"/>
    <col min="2603" max="2817" width="9.1796875" style="33"/>
    <col min="2818" max="2818" width="29.7265625" style="33" customWidth="1"/>
    <col min="2819" max="2819" width="49" style="33" customWidth="1"/>
    <col min="2820" max="2820" width="24.7265625" style="33" customWidth="1"/>
    <col min="2821" max="2821" width="15.26953125" style="33" customWidth="1"/>
    <col min="2822" max="2822" width="15.54296875" style="33" customWidth="1"/>
    <col min="2823" max="2823" width="10.453125" style="33" customWidth="1"/>
    <col min="2824" max="2824" width="21.81640625" style="33" customWidth="1"/>
    <col min="2825" max="2858" width="2.7265625" style="33" customWidth="1"/>
    <col min="2859" max="3073" width="9.1796875" style="33"/>
    <col min="3074" max="3074" width="29.7265625" style="33" customWidth="1"/>
    <col min="3075" max="3075" width="49" style="33" customWidth="1"/>
    <col min="3076" max="3076" width="24.7265625" style="33" customWidth="1"/>
    <col min="3077" max="3077" width="15.26953125" style="33" customWidth="1"/>
    <col min="3078" max="3078" width="15.54296875" style="33" customWidth="1"/>
    <col min="3079" max="3079" width="10.453125" style="33" customWidth="1"/>
    <col min="3080" max="3080" width="21.81640625" style="33" customWidth="1"/>
    <col min="3081" max="3114" width="2.7265625" style="33" customWidth="1"/>
    <col min="3115" max="3329" width="9.1796875" style="33"/>
    <col min="3330" max="3330" width="29.7265625" style="33" customWidth="1"/>
    <col min="3331" max="3331" width="49" style="33" customWidth="1"/>
    <col min="3332" max="3332" width="24.7265625" style="33" customWidth="1"/>
    <col min="3333" max="3333" width="15.26953125" style="33" customWidth="1"/>
    <col min="3334" max="3334" width="15.54296875" style="33" customWidth="1"/>
    <col min="3335" max="3335" width="10.453125" style="33" customWidth="1"/>
    <col min="3336" max="3336" width="21.81640625" style="33" customWidth="1"/>
    <col min="3337" max="3370" width="2.7265625" style="33" customWidth="1"/>
    <col min="3371" max="3585" width="9.1796875" style="33"/>
    <col min="3586" max="3586" width="29.7265625" style="33" customWidth="1"/>
    <col min="3587" max="3587" width="49" style="33" customWidth="1"/>
    <col min="3588" max="3588" width="24.7265625" style="33" customWidth="1"/>
    <col min="3589" max="3589" width="15.26953125" style="33" customWidth="1"/>
    <col min="3590" max="3590" width="15.54296875" style="33" customWidth="1"/>
    <col min="3591" max="3591" width="10.453125" style="33" customWidth="1"/>
    <col min="3592" max="3592" width="21.81640625" style="33" customWidth="1"/>
    <col min="3593" max="3626" width="2.7265625" style="33" customWidth="1"/>
    <col min="3627" max="3841" width="9.1796875" style="33"/>
    <col min="3842" max="3842" width="29.7265625" style="33" customWidth="1"/>
    <col min="3843" max="3843" width="49" style="33" customWidth="1"/>
    <col min="3844" max="3844" width="24.7265625" style="33" customWidth="1"/>
    <col min="3845" max="3845" width="15.26953125" style="33" customWidth="1"/>
    <col min="3846" max="3846" width="15.54296875" style="33" customWidth="1"/>
    <col min="3847" max="3847" width="10.453125" style="33" customWidth="1"/>
    <col min="3848" max="3848" width="21.81640625" style="33" customWidth="1"/>
    <col min="3849" max="3882" width="2.7265625" style="33" customWidth="1"/>
    <col min="3883" max="4097" width="9.1796875" style="33"/>
    <col min="4098" max="4098" width="29.7265625" style="33" customWidth="1"/>
    <col min="4099" max="4099" width="49" style="33" customWidth="1"/>
    <col min="4100" max="4100" width="24.7265625" style="33" customWidth="1"/>
    <col min="4101" max="4101" width="15.26953125" style="33" customWidth="1"/>
    <col min="4102" max="4102" width="15.54296875" style="33" customWidth="1"/>
    <col min="4103" max="4103" width="10.453125" style="33" customWidth="1"/>
    <col min="4104" max="4104" width="21.81640625" style="33" customWidth="1"/>
    <col min="4105" max="4138" width="2.7265625" style="33" customWidth="1"/>
    <col min="4139" max="4353" width="9.1796875" style="33"/>
    <col min="4354" max="4354" width="29.7265625" style="33" customWidth="1"/>
    <col min="4355" max="4355" width="49" style="33" customWidth="1"/>
    <col min="4356" max="4356" width="24.7265625" style="33" customWidth="1"/>
    <col min="4357" max="4357" width="15.26953125" style="33" customWidth="1"/>
    <col min="4358" max="4358" width="15.54296875" style="33" customWidth="1"/>
    <col min="4359" max="4359" width="10.453125" style="33" customWidth="1"/>
    <col min="4360" max="4360" width="21.81640625" style="33" customWidth="1"/>
    <col min="4361" max="4394" width="2.7265625" style="33" customWidth="1"/>
    <col min="4395" max="4609" width="9.1796875" style="33"/>
    <col min="4610" max="4610" width="29.7265625" style="33" customWidth="1"/>
    <col min="4611" max="4611" width="49" style="33" customWidth="1"/>
    <col min="4612" max="4612" width="24.7265625" style="33" customWidth="1"/>
    <col min="4613" max="4613" width="15.26953125" style="33" customWidth="1"/>
    <col min="4614" max="4614" width="15.54296875" style="33" customWidth="1"/>
    <col min="4615" max="4615" width="10.453125" style="33" customWidth="1"/>
    <col min="4616" max="4616" width="21.81640625" style="33" customWidth="1"/>
    <col min="4617" max="4650" width="2.7265625" style="33" customWidth="1"/>
    <col min="4651" max="4865" width="9.1796875" style="33"/>
    <col min="4866" max="4866" width="29.7265625" style="33" customWidth="1"/>
    <col min="4867" max="4867" width="49" style="33" customWidth="1"/>
    <col min="4868" max="4868" width="24.7265625" style="33" customWidth="1"/>
    <col min="4869" max="4869" width="15.26953125" style="33" customWidth="1"/>
    <col min="4870" max="4870" width="15.54296875" style="33" customWidth="1"/>
    <col min="4871" max="4871" width="10.453125" style="33" customWidth="1"/>
    <col min="4872" max="4872" width="21.81640625" style="33" customWidth="1"/>
    <col min="4873" max="4906" width="2.7265625" style="33" customWidth="1"/>
    <col min="4907" max="5121" width="9.1796875" style="33"/>
    <col min="5122" max="5122" width="29.7265625" style="33" customWidth="1"/>
    <col min="5123" max="5123" width="49" style="33" customWidth="1"/>
    <col min="5124" max="5124" width="24.7265625" style="33" customWidth="1"/>
    <col min="5125" max="5125" width="15.26953125" style="33" customWidth="1"/>
    <col min="5126" max="5126" width="15.54296875" style="33" customWidth="1"/>
    <col min="5127" max="5127" width="10.453125" style="33" customWidth="1"/>
    <col min="5128" max="5128" width="21.81640625" style="33" customWidth="1"/>
    <col min="5129" max="5162" width="2.7265625" style="33" customWidth="1"/>
    <col min="5163" max="5377" width="9.1796875" style="33"/>
    <col min="5378" max="5378" width="29.7265625" style="33" customWidth="1"/>
    <col min="5379" max="5379" width="49" style="33" customWidth="1"/>
    <col min="5380" max="5380" width="24.7265625" style="33" customWidth="1"/>
    <col min="5381" max="5381" width="15.26953125" style="33" customWidth="1"/>
    <col min="5382" max="5382" width="15.54296875" style="33" customWidth="1"/>
    <col min="5383" max="5383" width="10.453125" style="33" customWidth="1"/>
    <col min="5384" max="5384" width="21.81640625" style="33" customWidth="1"/>
    <col min="5385" max="5418" width="2.7265625" style="33" customWidth="1"/>
    <col min="5419" max="5633" width="9.1796875" style="33"/>
    <col min="5634" max="5634" width="29.7265625" style="33" customWidth="1"/>
    <col min="5635" max="5635" width="49" style="33" customWidth="1"/>
    <col min="5636" max="5636" width="24.7265625" style="33" customWidth="1"/>
    <col min="5637" max="5637" width="15.26953125" style="33" customWidth="1"/>
    <col min="5638" max="5638" width="15.54296875" style="33" customWidth="1"/>
    <col min="5639" max="5639" width="10.453125" style="33" customWidth="1"/>
    <col min="5640" max="5640" width="21.81640625" style="33" customWidth="1"/>
    <col min="5641" max="5674" width="2.7265625" style="33" customWidth="1"/>
    <col min="5675" max="5889" width="9.1796875" style="33"/>
    <col min="5890" max="5890" width="29.7265625" style="33" customWidth="1"/>
    <col min="5891" max="5891" width="49" style="33" customWidth="1"/>
    <col min="5892" max="5892" width="24.7265625" style="33" customWidth="1"/>
    <col min="5893" max="5893" width="15.26953125" style="33" customWidth="1"/>
    <col min="5894" max="5894" width="15.54296875" style="33" customWidth="1"/>
    <col min="5895" max="5895" width="10.453125" style="33" customWidth="1"/>
    <col min="5896" max="5896" width="21.81640625" style="33" customWidth="1"/>
    <col min="5897" max="5930" width="2.7265625" style="33" customWidth="1"/>
    <col min="5931" max="6145" width="9.1796875" style="33"/>
    <col min="6146" max="6146" width="29.7265625" style="33" customWidth="1"/>
    <col min="6147" max="6147" width="49" style="33" customWidth="1"/>
    <col min="6148" max="6148" width="24.7265625" style="33" customWidth="1"/>
    <col min="6149" max="6149" width="15.26953125" style="33" customWidth="1"/>
    <col min="6150" max="6150" width="15.54296875" style="33" customWidth="1"/>
    <col min="6151" max="6151" width="10.453125" style="33" customWidth="1"/>
    <col min="6152" max="6152" width="21.81640625" style="33" customWidth="1"/>
    <col min="6153" max="6186" width="2.7265625" style="33" customWidth="1"/>
    <col min="6187" max="6401" width="9.1796875" style="33"/>
    <col min="6402" max="6402" width="29.7265625" style="33" customWidth="1"/>
    <col min="6403" max="6403" width="49" style="33" customWidth="1"/>
    <col min="6404" max="6404" width="24.7265625" style="33" customWidth="1"/>
    <col min="6405" max="6405" width="15.26953125" style="33" customWidth="1"/>
    <col min="6406" max="6406" width="15.54296875" style="33" customWidth="1"/>
    <col min="6407" max="6407" width="10.453125" style="33" customWidth="1"/>
    <col min="6408" max="6408" width="21.81640625" style="33" customWidth="1"/>
    <col min="6409" max="6442" width="2.7265625" style="33" customWidth="1"/>
    <col min="6443" max="6657" width="9.1796875" style="33"/>
    <col min="6658" max="6658" width="29.7265625" style="33" customWidth="1"/>
    <col min="6659" max="6659" width="49" style="33" customWidth="1"/>
    <col min="6660" max="6660" width="24.7265625" style="33" customWidth="1"/>
    <col min="6661" max="6661" width="15.26953125" style="33" customWidth="1"/>
    <col min="6662" max="6662" width="15.54296875" style="33" customWidth="1"/>
    <col min="6663" max="6663" width="10.453125" style="33" customWidth="1"/>
    <col min="6664" max="6664" width="21.81640625" style="33" customWidth="1"/>
    <col min="6665" max="6698" width="2.7265625" style="33" customWidth="1"/>
    <col min="6699" max="6913" width="9.1796875" style="33"/>
    <col min="6914" max="6914" width="29.7265625" style="33" customWidth="1"/>
    <col min="6915" max="6915" width="49" style="33" customWidth="1"/>
    <col min="6916" max="6916" width="24.7265625" style="33" customWidth="1"/>
    <col min="6917" max="6917" width="15.26953125" style="33" customWidth="1"/>
    <col min="6918" max="6918" width="15.54296875" style="33" customWidth="1"/>
    <col min="6919" max="6919" width="10.453125" style="33" customWidth="1"/>
    <col min="6920" max="6920" width="21.81640625" style="33" customWidth="1"/>
    <col min="6921" max="6954" width="2.7265625" style="33" customWidth="1"/>
    <col min="6955" max="7169" width="9.1796875" style="33"/>
    <col min="7170" max="7170" width="29.7265625" style="33" customWidth="1"/>
    <col min="7171" max="7171" width="49" style="33" customWidth="1"/>
    <col min="7172" max="7172" width="24.7265625" style="33" customWidth="1"/>
    <col min="7173" max="7173" width="15.26953125" style="33" customWidth="1"/>
    <col min="7174" max="7174" width="15.54296875" style="33" customWidth="1"/>
    <col min="7175" max="7175" width="10.453125" style="33" customWidth="1"/>
    <col min="7176" max="7176" width="21.81640625" style="33" customWidth="1"/>
    <col min="7177" max="7210" width="2.7265625" style="33" customWidth="1"/>
    <col min="7211" max="7425" width="9.1796875" style="33"/>
    <col min="7426" max="7426" width="29.7265625" style="33" customWidth="1"/>
    <col min="7427" max="7427" width="49" style="33" customWidth="1"/>
    <col min="7428" max="7428" width="24.7265625" style="33" customWidth="1"/>
    <col min="7429" max="7429" width="15.26953125" style="33" customWidth="1"/>
    <col min="7430" max="7430" width="15.54296875" style="33" customWidth="1"/>
    <col min="7431" max="7431" width="10.453125" style="33" customWidth="1"/>
    <col min="7432" max="7432" width="21.81640625" style="33" customWidth="1"/>
    <col min="7433" max="7466" width="2.7265625" style="33" customWidth="1"/>
    <col min="7467" max="7681" width="9.1796875" style="33"/>
    <col min="7682" max="7682" width="29.7265625" style="33" customWidth="1"/>
    <col min="7683" max="7683" width="49" style="33" customWidth="1"/>
    <col min="7684" max="7684" width="24.7265625" style="33" customWidth="1"/>
    <col min="7685" max="7685" width="15.26953125" style="33" customWidth="1"/>
    <col min="7686" max="7686" width="15.54296875" style="33" customWidth="1"/>
    <col min="7687" max="7687" width="10.453125" style="33" customWidth="1"/>
    <col min="7688" max="7688" width="21.81640625" style="33" customWidth="1"/>
    <col min="7689" max="7722" width="2.7265625" style="33" customWidth="1"/>
    <col min="7723" max="7937" width="9.1796875" style="33"/>
    <col min="7938" max="7938" width="29.7265625" style="33" customWidth="1"/>
    <col min="7939" max="7939" width="49" style="33" customWidth="1"/>
    <col min="7940" max="7940" width="24.7265625" style="33" customWidth="1"/>
    <col min="7941" max="7941" width="15.26953125" style="33" customWidth="1"/>
    <col min="7942" max="7942" width="15.54296875" style="33" customWidth="1"/>
    <col min="7943" max="7943" width="10.453125" style="33" customWidth="1"/>
    <col min="7944" max="7944" width="21.81640625" style="33" customWidth="1"/>
    <col min="7945" max="7978" width="2.7265625" style="33" customWidth="1"/>
    <col min="7979" max="8193" width="9.1796875" style="33"/>
    <col min="8194" max="8194" width="29.7265625" style="33" customWidth="1"/>
    <col min="8195" max="8195" width="49" style="33" customWidth="1"/>
    <col min="8196" max="8196" width="24.7265625" style="33" customWidth="1"/>
    <col min="8197" max="8197" width="15.26953125" style="33" customWidth="1"/>
    <col min="8198" max="8198" width="15.54296875" style="33" customWidth="1"/>
    <col min="8199" max="8199" width="10.453125" style="33" customWidth="1"/>
    <col min="8200" max="8200" width="21.81640625" style="33" customWidth="1"/>
    <col min="8201" max="8234" width="2.7265625" style="33" customWidth="1"/>
    <col min="8235" max="8449" width="9.1796875" style="33"/>
    <col min="8450" max="8450" width="29.7265625" style="33" customWidth="1"/>
    <col min="8451" max="8451" width="49" style="33" customWidth="1"/>
    <col min="8452" max="8452" width="24.7265625" style="33" customWidth="1"/>
    <col min="8453" max="8453" width="15.26953125" style="33" customWidth="1"/>
    <col min="8454" max="8454" width="15.54296875" style="33" customWidth="1"/>
    <col min="8455" max="8455" width="10.453125" style="33" customWidth="1"/>
    <col min="8456" max="8456" width="21.81640625" style="33" customWidth="1"/>
    <col min="8457" max="8490" width="2.7265625" style="33" customWidth="1"/>
    <col min="8491" max="8705" width="9.1796875" style="33"/>
    <col min="8706" max="8706" width="29.7265625" style="33" customWidth="1"/>
    <col min="8707" max="8707" width="49" style="33" customWidth="1"/>
    <col min="8708" max="8708" width="24.7265625" style="33" customWidth="1"/>
    <col min="8709" max="8709" width="15.26953125" style="33" customWidth="1"/>
    <col min="8710" max="8710" width="15.54296875" style="33" customWidth="1"/>
    <col min="8711" max="8711" width="10.453125" style="33" customWidth="1"/>
    <col min="8712" max="8712" width="21.81640625" style="33" customWidth="1"/>
    <col min="8713" max="8746" width="2.7265625" style="33" customWidth="1"/>
    <col min="8747" max="8961" width="9.1796875" style="33"/>
    <col min="8962" max="8962" width="29.7265625" style="33" customWidth="1"/>
    <col min="8963" max="8963" width="49" style="33" customWidth="1"/>
    <col min="8964" max="8964" width="24.7265625" style="33" customWidth="1"/>
    <col min="8965" max="8965" width="15.26953125" style="33" customWidth="1"/>
    <col min="8966" max="8966" width="15.54296875" style="33" customWidth="1"/>
    <col min="8967" max="8967" width="10.453125" style="33" customWidth="1"/>
    <col min="8968" max="8968" width="21.81640625" style="33" customWidth="1"/>
    <col min="8969" max="9002" width="2.7265625" style="33" customWidth="1"/>
    <col min="9003" max="9217" width="9.1796875" style="33"/>
    <col min="9218" max="9218" width="29.7265625" style="33" customWidth="1"/>
    <col min="9219" max="9219" width="49" style="33" customWidth="1"/>
    <col min="9220" max="9220" width="24.7265625" style="33" customWidth="1"/>
    <col min="9221" max="9221" width="15.26953125" style="33" customWidth="1"/>
    <col min="9222" max="9222" width="15.54296875" style="33" customWidth="1"/>
    <col min="9223" max="9223" width="10.453125" style="33" customWidth="1"/>
    <col min="9224" max="9224" width="21.81640625" style="33" customWidth="1"/>
    <col min="9225" max="9258" width="2.7265625" style="33" customWidth="1"/>
    <col min="9259" max="9473" width="9.1796875" style="33"/>
    <col min="9474" max="9474" width="29.7265625" style="33" customWidth="1"/>
    <col min="9475" max="9475" width="49" style="33" customWidth="1"/>
    <col min="9476" max="9476" width="24.7265625" style="33" customWidth="1"/>
    <col min="9477" max="9477" width="15.26953125" style="33" customWidth="1"/>
    <col min="9478" max="9478" width="15.54296875" style="33" customWidth="1"/>
    <col min="9479" max="9479" width="10.453125" style="33" customWidth="1"/>
    <col min="9480" max="9480" width="21.81640625" style="33" customWidth="1"/>
    <col min="9481" max="9514" width="2.7265625" style="33" customWidth="1"/>
    <col min="9515" max="9729" width="9.1796875" style="33"/>
    <col min="9730" max="9730" width="29.7265625" style="33" customWidth="1"/>
    <col min="9731" max="9731" width="49" style="33" customWidth="1"/>
    <col min="9732" max="9732" width="24.7265625" style="33" customWidth="1"/>
    <col min="9733" max="9733" width="15.26953125" style="33" customWidth="1"/>
    <col min="9734" max="9734" width="15.54296875" style="33" customWidth="1"/>
    <col min="9735" max="9735" width="10.453125" style="33" customWidth="1"/>
    <col min="9736" max="9736" width="21.81640625" style="33" customWidth="1"/>
    <col min="9737" max="9770" width="2.7265625" style="33" customWidth="1"/>
    <col min="9771" max="9985" width="9.1796875" style="33"/>
    <col min="9986" max="9986" width="29.7265625" style="33" customWidth="1"/>
    <col min="9987" max="9987" width="49" style="33" customWidth="1"/>
    <col min="9988" max="9988" width="24.7265625" style="33" customWidth="1"/>
    <col min="9989" max="9989" width="15.26953125" style="33" customWidth="1"/>
    <col min="9990" max="9990" width="15.54296875" style="33" customWidth="1"/>
    <col min="9991" max="9991" width="10.453125" style="33" customWidth="1"/>
    <col min="9992" max="9992" width="21.81640625" style="33" customWidth="1"/>
    <col min="9993" max="10026" width="2.7265625" style="33" customWidth="1"/>
    <col min="10027" max="10241" width="9.1796875" style="33"/>
    <col min="10242" max="10242" width="29.7265625" style="33" customWidth="1"/>
    <col min="10243" max="10243" width="49" style="33" customWidth="1"/>
    <col min="10244" max="10244" width="24.7265625" style="33" customWidth="1"/>
    <col min="10245" max="10245" width="15.26953125" style="33" customWidth="1"/>
    <col min="10246" max="10246" width="15.54296875" style="33" customWidth="1"/>
    <col min="10247" max="10247" width="10.453125" style="33" customWidth="1"/>
    <col min="10248" max="10248" width="21.81640625" style="33" customWidth="1"/>
    <col min="10249" max="10282" width="2.7265625" style="33" customWidth="1"/>
    <col min="10283" max="10497" width="9.1796875" style="33"/>
    <col min="10498" max="10498" width="29.7265625" style="33" customWidth="1"/>
    <col min="10499" max="10499" width="49" style="33" customWidth="1"/>
    <col min="10500" max="10500" width="24.7265625" style="33" customWidth="1"/>
    <col min="10501" max="10501" width="15.26953125" style="33" customWidth="1"/>
    <col min="10502" max="10502" width="15.54296875" style="33" customWidth="1"/>
    <col min="10503" max="10503" width="10.453125" style="33" customWidth="1"/>
    <col min="10504" max="10504" width="21.81640625" style="33" customWidth="1"/>
    <col min="10505" max="10538" width="2.7265625" style="33" customWidth="1"/>
    <col min="10539" max="10753" width="9.1796875" style="33"/>
    <col min="10754" max="10754" width="29.7265625" style="33" customWidth="1"/>
    <col min="10755" max="10755" width="49" style="33" customWidth="1"/>
    <col min="10756" max="10756" width="24.7265625" style="33" customWidth="1"/>
    <col min="10757" max="10757" width="15.26953125" style="33" customWidth="1"/>
    <col min="10758" max="10758" width="15.54296875" style="33" customWidth="1"/>
    <col min="10759" max="10759" width="10.453125" style="33" customWidth="1"/>
    <col min="10760" max="10760" width="21.81640625" style="33" customWidth="1"/>
    <col min="10761" max="10794" width="2.7265625" style="33" customWidth="1"/>
    <col min="10795" max="11009" width="9.1796875" style="33"/>
    <col min="11010" max="11010" width="29.7265625" style="33" customWidth="1"/>
    <col min="11011" max="11011" width="49" style="33" customWidth="1"/>
    <col min="11012" max="11012" width="24.7265625" style="33" customWidth="1"/>
    <col min="11013" max="11013" width="15.26953125" style="33" customWidth="1"/>
    <col min="11014" max="11014" width="15.54296875" style="33" customWidth="1"/>
    <col min="11015" max="11015" width="10.453125" style="33" customWidth="1"/>
    <col min="11016" max="11016" width="21.81640625" style="33" customWidth="1"/>
    <col min="11017" max="11050" width="2.7265625" style="33" customWidth="1"/>
    <col min="11051" max="11265" width="9.1796875" style="33"/>
    <col min="11266" max="11266" width="29.7265625" style="33" customWidth="1"/>
    <col min="11267" max="11267" width="49" style="33" customWidth="1"/>
    <col min="11268" max="11268" width="24.7265625" style="33" customWidth="1"/>
    <col min="11269" max="11269" width="15.26953125" style="33" customWidth="1"/>
    <col min="11270" max="11270" width="15.54296875" style="33" customWidth="1"/>
    <col min="11271" max="11271" width="10.453125" style="33" customWidth="1"/>
    <col min="11272" max="11272" width="21.81640625" style="33" customWidth="1"/>
    <col min="11273" max="11306" width="2.7265625" style="33" customWidth="1"/>
    <col min="11307" max="11521" width="9.1796875" style="33"/>
    <col min="11522" max="11522" width="29.7265625" style="33" customWidth="1"/>
    <col min="11523" max="11523" width="49" style="33" customWidth="1"/>
    <col min="11524" max="11524" width="24.7265625" style="33" customWidth="1"/>
    <col min="11525" max="11525" width="15.26953125" style="33" customWidth="1"/>
    <col min="11526" max="11526" width="15.54296875" style="33" customWidth="1"/>
    <col min="11527" max="11527" width="10.453125" style="33" customWidth="1"/>
    <col min="11528" max="11528" width="21.81640625" style="33" customWidth="1"/>
    <col min="11529" max="11562" width="2.7265625" style="33" customWidth="1"/>
    <col min="11563" max="11777" width="9.1796875" style="33"/>
    <col min="11778" max="11778" width="29.7265625" style="33" customWidth="1"/>
    <col min="11779" max="11779" width="49" style="33" customWidth="1"/>
    <col min="11780" max="11780" width="24.7265625" style="33" customWidth="1"/>
    <col min="11781" max="11781" width="15.26953125" style="33" customWidth="1"/>
    <col min="11782" max="11782" width="15.54296875" style="33" customWidth="1"/>
    <col min="11783" max="11783" width="10.453125" style="33" customWidth="1"/>
    <col min="11784" max="11784" width="21.81640625" style="33" customWidth="1"/>
    <col min="11785" max="11818" width="2.7265625" style="33" customWidth="1"/>
    <col min="11819" max="12033" width="9.1796875" style="33"/>
    <col min="12034" max="12034" width="29.7265625" style="33" customWidth="1"/>
    <col min="12035" max="12035" width="49" style="33" customWidth="1"/>
    <col min="12036" max="12036" width="24.7265625" style="33" customWidth="1"/>
    <col min="12037" max="12037" width="15.26953125" style="33" customWidth="1"/>
    <col min="12038" max="12038" width="15.54296875" style="33" customWidth="1"/>
    <col min="12039" max="12039" width="10.453125" style="33" customWidth="1"/>
    <col min="12040" max="12040" width="21.81640625" style="33" customWidth="1"/>
    <col min="12041" max="12074" width="2.7265625" style="33" customWidth="1"/>
    <col min="12075" max="12289" width="9.1796875" style="33"/>
    <col min="12290" max="12290" width="29.7265625" style="33" customWidth="1"/>
    <col min="12291" max="12291" width="49" style="33" customWidth="1"/>
    <col min="12292" max="12292" width="24.7265625" style="33" customWidth="1"/>
    <col min="12293" max="12293" width="15.26953125" style="33" customWidth="1"/>
    <col min="12294" max="12294" width="15.54296875" style="33" customWidth="1"/>
    <col min="12295" max="12295" width="10.453125" style="33" customWidth="1"/>
    <col min="12296" max="12296" width="21.81640625" style="33" customWidth="1"/>
    <col min="12297" max="12330" width="2.7265625" style="33" customWidth="1"/>
    <col min="12331" max="12545" width="9.1796875" style="33"/>
    <col min="12546" max="12546" width="29.7265625" style="33" customWidth="1"/>
    <col min="12547" max="12547" width="49" style="33" customWidth="1"/>
    <col min="12548" max="12548" width="24.7265625" style="33" customWidth="1"/>
    <col min="12549" max="12549" width="15.26953125" style="33" customWidth="1"/>
    <col min="12550" max="12550" width="15.54296875" style="33" customWidth="1"/>
    <col min="12551" max="12551" width="10.453125" style="33" customWidth="1"/>
    <col min="12552" max="12552" width="21.81640625" style="33" customWidth="1"/>
    <col min="12553" max="12586" width="2.7265625" style="33" customWidth="1"/>
    <col min="12587" max="12801" width="9.1796875" style="33"/>
    <col min="12802" max="12802" width="29.7265625" style="33" customWidth="1"/>
    <col min="12803" max="12803" width="49" style="33" customWidth="1"/>
    <col min="12804" max="12804" width="24.7265625" style="33" customWidth="1"/>
    <col min="12805" max="12805" width="15.26953125" style="33" customWidth="1"/>
    <col min="12806" max="12806" width="15.54296875" style="33" customWidth="1"/>
    <col min="12807" max="12807" width="10.453125" style="33" customWidth="1"/>
    <col min="12808" max="12808" width="21.81640625" style="33" customWidth="1"/>
    <col min="12809" max="12842" width="2.7265625" style="33" customWidth="1"/>
    <col min="12843" max="13057" width="9.1796875" style="33"/>
    <col min="13058" max="13058" width="29.7265625" style="33" customWidth="1"/>
    <col min="13059" max="13059" width="49" style="33" customWidth="1"/>
    <col min="13060" max="13060" width="24.7265625" style="33" customWidth="1"/>
    <col min="13061" max="13061" width="15.26953125" style="33" customWidth="1"/>
    <col min="13062" max="13062" width="15.54296875" style="33" customWidth="1"/>
    <col min="13063" max="13063" width="10.453125" style="33" customWidth="1"/>
    <col min="13064" max="13064" width="21.81640625" style="33" customWidth="1"/>
    <col min="13065" max="13098" width="2.7265625" style="33" customWidth="1"/>
    <col min="13099" max="13313" width="9.1796875" style="33"/>
    <col min="13314" max="13314" width="29.7265625" style="33" customWidth="1"/>
    <col min="13315" max="13315" width="49" style="33" customWidth="1"/>
    <col min="13316" max="13316" width="24.7265625" style="33" customWidth="1"/>
    <col min="13317" max="13317" width="15.26953125" style="33" customWidth="1"/>
    <col min="13318" max="13318" width="15.54296875" style="33" customWidth="1"/>
    <col min="13319" max="13319" width="10.453125" style="33" customWidth="1"/>
    <col min="13320" max="13320" width="21.81640625" style="33" customWidth="1"/>
    <col min="13321" max="13354" width="2.7265625" style="33" customWidth="1"/>
    <col min="13355" max="13569" width="9.1796875" style="33"/>
    <col min="13570" max="13570" width="29.7265625" style="33" customWidth="1"/>
    <col min="13571" max="13571" width="49" style="33" customWidth="1"/>
    <col min="13572" max="13572" width="24.7265625" style="33" customWidth="1"/>
    <col min="13573" max="13573" width="15.26953125" style="33" customWidth="1"/>
    <col min="13574" max="13574" width="15.54296875" style="33" customWidth="1"/>
    <col min="13575" max="13575" width="10.453125" style="33" customWidth="1"/>
    <col min="13576" max="13576" width="21.81640625" style="33" customWidth="1"/>
    <col min="13577" max="13610" width="2.7265625" style="33" customWidth="1"/>
    <col min="13611" max="13825" width="9.1796875" style="33"/>
    <col min="13826" max="13826" width="29.7265625" style="33" customWidth="1"/>
    <col min="13827" max="13827" width="49" style="33" customWidth="1"/>
    <col min="13828" max="13828" width="24.7265625" style="33" customWidth="1"/>
    <col min="13829" max="13829" width="15.26953125" style="33" customWidth="1"/>
    <col min="13830" max="13830" width="15.54296875" style="33" customWidth="1"/>
    <col min="13831" max="13831" width="10.453125" style="33" customWidth="1"/>
    <col min="13832" max="13832" width="21.81640625" style="33" customWidth="1"/>
    <col min="13833" max="13866" width="2.7265625" style="33" customWidth="1"/>
    <col min="13867" max="14081" width="9.1796875" style="33"/>
    <col min="14082" max="14082" width="29.7265625" style="33" customWidth="1"/>
    <col min="14083" max="14083" width="49" style="33" customWidth="1"/>
    <col min="14084" max="14084" width="24.7265625" style="33" customWidth="1"/>
    <col min="14085" max="14085" width="15.26953125" style="33" customWidth="1"/>
    <col min="14086" max="14086" width="15.54296875" style="33" customWidth="1"/>
    <col min="14087" max="14087" width="10.453125" style="33" customWidth="1"/>
    <col min="14088" max="14088" width="21.81640625" style="33" customWidth="1"/>
    <col min="14089" max="14122" width="2.7265625" style="33" customWidth="1"/>
    <col min="14123" max="14337" width="9.1796875" style="33"/>
    <col min="14338" max="14338" width="29.7265625" style="33" customWidth="1"/>
    <col min="14339" max="14339" width="49" style="33" customWidth="1"/>
    <col min="14340" max="14340" width="24.7265625" style="33" customWidth="1"/>
    <col min="14341" max="14341" width="15.26953125" style="33" customWidth="1"/>
    <col min="14342" max="14342" width="15.54296875" style="33" customWidth="1"/>
    <col min="14343" max="14343" width="10.453125" style="33" customWidth="1"/>
    <col min="14344" max="14344" width="21.81640625" style="33" customWidth="1"/>
    <col min="14345" max="14378" width="2.7265625" style="33" customWidth="1"/>
    <col min="14379" max="14593" width="9.1796875" style="33"/>
    <col min="14594" max="14594" width="29.7265625" style="33" customWidth="1"/>
    <col min="14595" max="14595" width="49" style="33" customWidth="1"/>
    <col min="14596" max="14596" width="24.7265625" style="33" customWidth="1"/>
    <col min="14597" max="14597" width="15.26953125" style="33" customWidth="1"/>
    <col min="14598" max="14598" width="15.54296875" style="33" customWidth="1"/>
    <col min="14599" max="14599" width="10.453125" style="33" customWidth="1"/>
    <col min="14600" max="14600" width="21.81640625" style="33" customWidth="1"/>
    <col min="14601" max="14634" width="2.7265625" style="33" customWidth="1"/>
    <col min="14635" max="14849" width="9.1796875" style="33"/>
    <col min="14850" max="14850" width="29.7265625" style="33" customWidth="1"/>
    <col min="14851" max="14851" width="49" style="33" customWidth="1"/>
    <col min="14852" max="14852" width="24.7265625" style="33" customWidth="1"/>
    <col min="14853" max="14853" width="15.26953125" style="33" customWidth="1"/>
    <col min="14854" max="14854" width="15.54296875" style="33" customWidth="1"/>
    <col min="14855" max="14855" width="10.453125" style="33" customWidth="1"/>
    <col min="14856" max="14856" width="21.81640625" style="33" customWidth="1"/>
    <col min="14857" max="14890" width="2.7265625" style="33" customWidth="1"/>
    <col min="14891" max="15105" width="9.1796875" style="33"/>
    <col min="15106" max="15106" width="29.7265625" style="33" customWidth="1"/>
    <col min="15107" max="15107" width="49" style="33" customWidth="1"/>
    <col min="15108" max="15108" width="24.7265625" style="33" customWidth="1"/>
    <col min="15109" max="15109" width="15.26953125" style="33" customWidth="1"/>
    <col min="15110" max="15110" width="15.54296875" style="33" customWidth="1"/>
    <col min="15111" max="15111" width="10.453125" style="33" customWidth="1"/>
    <col min="15112" max="15112" width="21.81640625" style="33" customWidth="1"/>
    <col min="15113" max="15146" width="2.7265625" style="33" customWidth="1"/>
    <col min="15147" max="15361" width="9.1796875" style="33"/>
    <col min="15362" max="15362" width="29.7265625" style="33" customWidth="1"/>
    <col min="15363" max="15363" width="49" style="33" customWidth="1"/>
    <col min="15364" max="15364" width="24.7265625" style="33" customWidth="1"/>
    <col min="15365" max="15365" width="15.26953125" style="33" customWidth="1"/>
    <col min="15366" max="15366" width="15.54296875" style="33" customWidth="1"/>
    <col min="15367" max="15367" width="10.453125" style="33" customWidth="1"/>
    <col min="15368" max="15368" width="21.81640625" style="33" customWidth="1"/>
    <col min="15369" max="15402" width="2.7265625" style="33" customWidth="1"/>
    <col min="15403" max="15617" width="9.1796875" style="33"/>
    <col min="15618" max="15618" width="29.7265625" style="33" customWidth="1"/>
    <col min="15619" max="15619" width="49" style="33" customWidth="1"/>
    <col min="15620" max="15620" width="24.7265625" style="33" customWidth="1"/>
    <col min="15621" max="15621" width="15.26953125" style="33" customWidth="1"/>
    <col min="15622" max="15622" width="15.54296875" style="33" customWidth="1"/>
    <col min="15623" max="15623" width="10.453125" style="33" customWidth="1"/>
    <col min="15624" max="15624" width="21.81640625" style="33" customWidth="1"/>
    <col min="15625" max="15658" width="2.7265625" style="33" customWidth="1"/>
    <col min="15659" max="15873" width="9.1796875" style="33"/>
    <col min="15874" max="15874" width="29.7265625" style="33" customWidth="1"/>
    <col min="15875" max="15875" width="49" style="33" customWidth="1"/>
    <col min="15876" max="15876" width="24.7265625" style="33" customWidth="1"/>
    <col min="15877" max="15877" width="15.26953125" style="33" customWidth="1"/>
    <col min="15878" max="15878" width="15.54296875" style="33" customWidth="1"/>
    <col min="15879" max="15879" width="10.453125" style="33" customWidth="1"/>
    <col min="15880" max="15880" width="21.81640625" style="33" customWidth="1"/>
    <col min="15881" max="15914" width="2.7265625" style="33" customWidth="1"/>
    <col min="15915" max="16129" width="9.1796875" style="33"/>
    <col min="16130" max="16130" width="29.7265625" style="33" customWidth="1"/>
    <col min="16131" max="16131" width="49" style="33" customWidth="1"/>
    <col min="16132" max="16132" width="24.7265625" style="33" customWidth="1"/>
    <col min="16133" max="16133" width="15.26953125" style="33" customWidth="1"/>
    <col min="16134" max="16134" width="15.54296875" style="33" customWidth="1"/>
    <col min="16135" max="16135" width="10.453125" style="33" customWidth="1"/>
    <col min="16136" max="16136" width="21.81640625" style="33" customWidth="1"/>
    <col min="16137" max="16170" width="2.7265625" style="33" customWidth="1"/>
    <col min="16171" max="16384" width="9.1796875" style="33"/>
  </cols>
  <sheetData>
    <row r="1" spans="1:17" ht="27.75" customHeight="1" thickBot="1">
      <c r="A1" s="195" t="s">
        <v>139</v>
      </c>
      <c r="B1" s="196" t="s">
        <v>140</v>
      </c>
      <c r="C1" s="196" t="s">
        <v>141</v>
      </c>
      <c r="D1" s="196" t="s">
        <v>142</v>
      </c>
      <c r="E1" s="196" t="s">
        <v>142</v>
      </c>
      <c r="F1" s="197" t="s">
        <v>341</v>
      </c>
      <c r="G1" s="197" t="s">
        <v>549</v>
      </c>
      <c r="H1"/>
      <c r="I1"/>
      <c r="J1"/>
    </row>
    <row r="2" spans="1:17" ht="30" customHeight="1">
      <c r="A2" s="192" t="s">
        <v>144</v>
      </c>
      <c r="B2" s="193" t="s">
        <v>1698</v>
      </c>
      <c r="C2" s="115" t="s">
        <v>1699</v>
      </c>
      <c r="D2" s="115" t="s">
        <v>1699</v>
      </c>
      <c r="E2" s="99" t="s">
        <v>1700</v>
      </c>
      <c r="F2" s="186" t="s">
        <v>957</v>
      </c>
      <c r="G2" s="99" t="s">
        <v>552</v>
      </c>
      <c r="H2" s="33" t="str">
        <f>IF(F2="","",F2)</f>
        <v>Приказ №2201/224 от 22.01.2024</v>
      </c>
      <c r="K2" s="240"/>
      <c r="N2" s="193" t="s">
        <v>939</v>
      </c>
      <c r="O2" s="115" t="s">
        <v>938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9" t="s">
        <v>940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143</v>
      </c>
      <c r="B4" s="193" t="s">
        <v>920</v>
      </c>
      <c r="C4" s="115" t="s">
        <v>941</v>
      </c>
      <c r="D4" s="115" t="s">
        <v>941</v>
      </c>
      <c r="E4" s="115" t="s">
        <v>921</v>
      </c>
      <c r="F4" s="190" t="s">
        <v>64</v>
      </c>
      <c r="G4" s="99" t="s">
        <v>550</v>
      </c>
    </row>
    <row r="5" spans="1:17" ht="25">
      <c r="A5" s="191" t="s">
        <v>600</v>
      </c>
      <c r="B5" s="193" t="s">
        <v>944</v>
      </c>
      <c r="C5" s="115" t="s">
        <v>945</v>
      </c>
      <c r="D5" s="115" t="s">
        <v>945</v>
      </c>
      <c r="E5" s="115" t="s">
        <v>946</v>
      </c>
      <c r="F5" s="187" t="s">
        <v>64</v>
      </c>
      <c r="G5" s="99" t="s">
        <v>602</v>
      </c>
    </row>
    <row r="6" spans="1:17" ht="30" customHeight="1">
      <c r="A6" s="191" t="s">
        <v>601</v>
      </c>
      <c r="B6" s="193" t="s">
        <v>944</v>
      </c>
      <c r="C6" s="115" t="s">
        <v>945</v>
      </c>
      <c r="D6" s="115" t="s">
        <v>945</v>
      </c>
      <c r="E6" s="115" t="s">
        <v>946</v>
      </c>
      <c r="F6" s="187" t="s">
        <v>64</v>
      </c>
      <c r="G6" s="99" t="s">
        <v>603</v>
      </c>
    </row>
    <row r="7" spans="1:17" ht="30" customHeight="1">
      <c r="A7" s="191" t="s">
        <v>607</v>
      </c>
      <c r="B7" s="193" t="s">
        <v>944</v>
      </c>
      <c r="C7" s="115" t="s">
        <v>945</v>
      </c>
      <c r="D7" s="115" t="s">
        <v>945</v>
      </c>
      <c r="E7" s="115" t="s">
        <v>946</v>
      </c>
      <c r="F7" s="187" t="s">
        <v>64</v>
      </c>
      <c r="G7" s="99"/>
    </row>
    <row r="8" spans="1:17" ht="30" customHeight="1">
      <c r="A8" s="191" t="s">
        <v>146</v>
      </c>
      <c r="B8" s="193" t="s">
        <v>944</v>
      </c>
      <c r="C8" s="115" t="s">
        <v>945</v>
      </c>
      <c r="D8" s="115" t="s">
        <v>945</v>
      </c>
      <c r="E8" s="115" t="s">
        <v>946</v>
      </c>
      <c r="F8" s="190" t="s">
        <v>64</v>
      </c>
      <c r="G8" s="99" t="s">
        <v>553</v>
      </c>
    </row>
    <row r="9" spans="1:17" ht="30" customHeight="1">
      <c r="A9" s="191" t="s">
        <v>1178</v>
      </c>
      <c r="B9" s="193" t="s">
        <v>1184</v>
      </c>
      <c r="C9" s="115" t="s">
        <v>1185</v>
      </c>
      <c r="D9" s="115" t="s">
        <v>1185</v>
      </c>
      <c r="E9" s="115" t="s">
        <v>1186</v>
      </c>
      <c r="F9" s="586" t="s">
        <v>64</v>
      </c>
      <c r="G9" s="99" t="s">
        <v>936</v>
      </c>
    </row>
    <row r="10" spans="1:17" ht="30" customHeight="1">
      <c r="A10" s="191" t="s">
        <v>451</v>
      </c>
      <c r="B10" s="193" t="s">
        <v>1187</v>
      </c>
      <c r="C10" s="115" t="s">
        <v>943</v>
      </c>
      <c r="D10" s="115" t="s">
        <v>943</v>
      </c>
      <c r="E10" s="115" t="s">
        <v>337</v>
      </c>
      <c r="F10" s="586" t="s">
        <v>64</v>
      </c>
      <c r="G10" s="99" t="s">
        <v>937</v>
      </c>
      <c r="L10" s="711" t="s">
        <v>1181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582"/>
      <c r="L11" s="711"/>
      <c r="M11" s="582"/>
    </row>
    <row r="12" spans="1:17" ht="60" customHeight="1">
      <c r="A12" s="191" t="s">
        <v>54</v>
      </c>
      <c r="B12" s="193" t="s">
        <v>1701</v>
      </c>
      <c r="C12" s="115" t="s">
        <v>1702</v>
      </c>
      <c r="D12" s="115" t="s">
        <v>1702</v>
      </c>
      <c r="E12" s="99" t="s">
        <v>1703</v>
      </c>
      <c r="F12" s="586"/>
      <c r="G12" s="198" t="s">
        <v>599</v>
      </c>
      <c r="H12" s="33" t="str">
        <f t="shared" ref="H12:H23" si="0">IF(F12="","",F12)</f>
        <v/>
      </c>
      <c r="I12"/>
      <c r="L12" s="432" t="str">
        <f t="array" ref="L12">IFERROR(INDEX($H$2:$H$51,SMALL(IF(COUNTIF($K$11:K11,$H$2:$H$51)=0,ROW($H$1:$H$50)),1)),"")</f>
        <v>Приказ №2201/224 от 22.01.2024</v>
      </c>
      <c r="O12" s="33" t="str" cm="1">
        <f t="array" ref="O12:O14">_xlfn.UNIQUE(H2:H23,FALSE,FALSE)</f>
        <v>Приказ №2201/224 от 22.01.2024</v>
      </c>
    </row>
    <row r="13" spans="1:17" ht="30" customHeight="1">
      <c r="A13" s="191" t="s">
        <v>145</v>
      </c>
      <c r="B13" s="193" t="s">
        <v>1701</v>
      </c>
      <c r="C13" s="115" t="s">
        <v>1702</v>
      </c>
      <c r="D13" s="115" t="s">
        <v>1702</v>
      </c>
      <c r="E13" s="99" t="s">
        <v>1703</v>
      </c>
      <c r="F13" s="586"/>
      <c r="G13" s="99">
        <v>2</v>
      </c>
      <c r="H13" s="33" t="str">
        <f t="shared" si="0"/>
        <v/>
      </c>
      <c r="L13" s="432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">
      <c r="A14" s="200"/>
      <c r="B14" s="193" t="s">
        <v>1704</v>
      </c>
      <c r="C14" s="115" t="s">
        <v>1705</v>
      </c>
      <c r="D14" s="115" t="s">
        <v>1705</v>
      </c>
      <c r="E14" s="99" t="s">
        <v>1706</v>
      </c>
      <c r="F14" s="586"/>
      <c r="G14" s="205"/>
      <c r="H14" s="33"/>
      <c r="L14" s="432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476</v>
      </c>
      <c r="B15" s="193" t="s">
        <v>1698</v>
      </c>
      <c r="C15" s="115" t="s">
        <v>1699</v>
      </c>
      <c r="D15" s="115" t="s">
        <v>1699</v>
      </c>
      <c r="E15" s="99" t="s">
        <v>1700</v>
      </c>
      <c r="F15" s="586"/>
      <c r="G15" s="99" t="s">
        <v>554</v>
      </c>
      <c r="H15" s="33" t="str">
        <f t="shared" si="0"/>
        <v/>
      </c>
      <c r="L15" s="432" t="str">
        <f t="array" ref="L15">IFERROR(INDEX($H$2:$H$51,SMALL(IF(COUNTIF($L$10:L14,$H$2:$H$51)=0,ROW($H$1:$H$50)),1)),"")</f>
        <v/>
      </c>
    </row>
    <row r="16" spans="1:17" s="204" customFormat="1">
      <c r="A16" s="200"/>
      <c r="B16" s="344"/>
      <c r="C16" s="345"/>
      <c r="D16" s="345"/>
      <c r="E16" s="345"/>
      <c r="F16" s="203"/>
      <c r="G16" s="203"/>
      <c r="H16" s="33"/>
      <c r="L16" s="432" t="str">
        <f t="array" ref="L16">IFERROR(INDEX($H$2:$H$51,SMALL(IF(COUNTIF($L$10:L15,$H$2:$H$51)=0,ROW($H$1:$H$50)),1)),"")</f>
        <v/>
      </c>
    </row>
    <row r="17" spans="1:12" ht="30" customHeight="1">
      <c r="A17" s="191" t="s">
        <v>147</v>
      </c>
      <c r="B17" s="193" t="s">
        <v>1698</v>
      </c>
      <c r="C17" s="115" t="s">
        <v>1699</v>
      </c>
      <c r="D17" s="115" t="s">
        <v>1699</v>
      </c>
      <c r="E17" s="99" t="s">
        <v>1700</v>
      </c>
      <c r="F17" s="586"/>
      <c r="G17" s="199" t="s">
        <v>555</v>
      </c>
      <c r="H17" s="33" t="str">
        <f t="shared" si="0"/>
        <v/>
      </c>
      <c r="L17" s="432" t="str">
        <f t="array" ref="L17">IFERROR(INDEX($H$2:$H$51,SMALL(IF(COUNTIF($L$10:L16,$H$2:$H$51)=0,ROW($H$1:$H$50)),1)),"")</f>
        <v/>
      </c>
    </row>
    <row r="18" spans="1:12" s="204" customFormat="1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>
      <c r="A19" s="191" t="s">
        <v>148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553</v>
      </c>
      <c r="H19" s="33" t="str">
        <f t="shared" si="0"/>
        <v/>
      </c>
    </row>
    <row r="20" spans="1:12" s="204" customFormat="1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>
      <c r="A21" s="191" t="s">
        <v>174</v>
      </c>
      <c r="B21" s="587" t="s">
        <v>64</v>
      </c>
      <c r="C21" s="265" t="s">
        <v>64</v>
      </c>
      <c r="D21" s="265" t="s">
        <v>64</v>
      </c>
      <c r="E21" s="265" t="s">
        <v>64</v>
      </c>
      <c r="F21" s="189"/>
      <c r="G21" s="99" t="s">
        <v>551</v>
      </c>
      <c r="H21" s="33" t="str">
        <f t="shared" si="0"/>
        <v/>
      </c>
    </row>
    <row r="22" spans="1:12">
      <c r="A22" s="200"/>
      <c r="B22" s="344"/>
      <c r="C22" s="345"/>
      <c r="D22" s="345"/>
      <c r="E22" s="345"/>
      <c r="F22" s="203"/>
      <c r="G22" s="203"/>
    </row>
    <row r="23" spans="1:12">
      <c r="A23" s="191" t="s">
        <v>144</v>
      </c>
      <c r="B23" s="193" t="s">
        <v>1698</v>
      </c>
      <c r="C23" s="115" t="s">
        <v>1699</v>
      </c>
      <c r="D23" s="115" t="s">
        <v>1699</v>
      </c>
      <c r="E23" s="99" t="s">
        <v>1700</v>
      </c>
      <c r="F23" s="586"/>
      <c r="G23" s="99"/>
      <c r="H23" s="33" t="str">
        <f t="shared" si="0"/>
        <v/>
      </c>
    </row>
    <row r="24" spans="1:12">
      <c r="B24" s="343"/>
      <c r="C24" s="272"/>
      <c r="D24" s="272"/>
      <c r="E24" s="272"/>
    </row>
    <row r="25" spans="1:12">
      <c r="A25" s="185" t="s">
        <v>530</v>
      </c>
    </row>
    <row r="29" spans="1:12">
      <c r="B29" s="193" t="s">
        <v>939</v>
      </c>
      <c r="C29" s="115" t="s">
        <v>943</v>
      </c>
      <c r="D29" s="115" t="s">
        <v>943</v>
      </c>
      <c r="E29" s="99" t="s">
        <v>337</v>
      </c>
    </row>
    <row r="30" spans="1:12" ht="15" customHeight="1"/>
    <row r="33" ht="15" customHeight="1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topLeftCell="A12" workbookViewId="0">
      <selection activeCell="A12" sqref="A12"/>
    </sheetView>
  </sheetViews>
  <sheetFormatPr defaultRowHeight="12.5"/>
  <cols>
    <col min="1" max="1" width="29.7265625" style="33" customWidth="1"/>
    <col min="2" max="2" width="41.1796875" style="32" customWidth="1"/>
    <col min="3" max="3" width="38.453125" style="32" customWidth="1"/>
    <col min="4" max="4" width="37" style="33" customWidth="1"/>
    <col min="5" max="5" width="43.54296875" style="33" customWidth="1"/>
    <col min="6" max="6" width="12.7265625" style="33" customWidth="1"/>
    <col min="7" max="7" width="15.54296875" style="32" customWidth="1"/>
    <col min="8" max="8" width="10.453125" style="33" customWidth="1"/>
    <col min="9" max="19" width="15.7265625" style="33" customWidth="1"/>
    <col min="20" max="43" width="2.7265625" style="33" customWidth="1"/>
    <col min="44" max="256" width="9.1796875" style="33"/>
    <col min="257" max="257" width="29.7265625" style="33" customWidth="1"/>
    <col min="258" max="259" width="38.453125" style="33" customWidth="1"/>
    <col min="260" max="260" width="37" style="33" customWidth="1"/>
    <col min="261" max="261" width="15.26953125" style="33" customWidth="1"/>
    <col min="262" max="262" width="12.7265625" style="33" customWidth="1"/>
    <col min="263" max="263" width="15.54296875" style="33" customWidth="1"/>
    <col min="264" max="264" width="10.453125" style="33" customWidth="1"/>
    <col min="265" max="265" width="21.81640625" style="33" customWidth="1"/>
    <col min="266" max="299" width="2.7265625" style="33" customWidth="1"/>
    <col min="300" max="512" width="9.1796875" style="33"/>
    <col min="513" max="513" width="29.7265625" style="33" customWidth="1"/>
    <col min="514" max="515" width="38.453125" style="33" customWidth="1"/>
    <col min="516" max="516" width="37" style="33" customWidth="1"/>
    <col min="517" max="517" width="15.26953125" style="33" customWidth="1"/>
    <col min="518" max="518" width="12.7265625" style="33" customWidth="1"/>
    <col min="519" max="519" width="15.54296875" style="33" customWidth="1"/>
    <col min="520" max="520" width="10.453125" style="33" customWidth="1"/>
    <col min="521" max="521" width="21.81640625" style="33" customWidth="1"/>
    <col min="522" max="555" width="2.7265625" style="33" customWidth="1"/>
    <col min="556" max="768" width="9.1796875" style="33"/>
    <col min="769" max="769" width="29.7265625" style="33" customWidth="1"/>
    <col min="770" max="771" width="38.453125" style="33" customWidth="1"/>
    <col min="772" max="772" width="37" style="33" customWidth="1"/>
    <col min="773" max="773" width="15.26953125" style="33" customWidth="1"/>
    <col min="774" max="774" width="12.7265625" style="33" customWidth="1"/>
    <col min="775" max="775" width="15.54296875" style="33" customWidth="1"/>
    <col min="776" max="776" width="10.453125" style="33" customWidth="1"/>
    <col min="777" max="777" width="21.81640625" style="33" customWidth="1"/>
    <col min="778" max="811" width="2.7265625" style="33" customWidth="1"/>
    <col min="812" max="1024" width="9.1796875" style="33"/>
    <col min="1025" max="1025" width="29.7265625" style="33" customWidth="1"/>
    <col min="1026" max="1027" width="38.453125" style="33" customWidth="1"/>
    <col min="1028" max="1028" width="37" style="33" customWidth="1"/>
    <col min="1029" max="1029" width="15.26953125" style="33" customWidth="1"/>
    <col min="1030" max="1030" width="12.7265625" style="33" customWidth="1"/>
    <col min="1031" max="1031" width="15.54296875" style="33" customWidth="1"/>
    <col min="1032" max="1032" width="10.453125" style="33" customWidth="1"/>
    <col min="1033" max="1033" width="21.81640625" style="33" customWidth="1"/>
    <col min="1034" max="1067" width="2.7265625" style="33" customWidth="1"/>
    <col min="1068" max="1280" width="9.1796875" style="33"/>
    <col min="1281" max="1281" width="29.7265625" style="33" customWidth="1"/>
    <col min="1282" max="1283" width="38.453125" style="33" customWidth="1"/>
    <col min="1284" max="1284" width="37" style="33" customWidth="1"/>
    <col min="1285" max="1285" width="15.26953125" style="33" customWidth="1"/>
    <col min="1286" max="1286" width="12.7265625" style="33" customWidth="1"/>
    <col min="1287" max="1287" width="15.54296875" style="33" customWidth="1"/>
    <col min="1288" max="1288" width="10.453125" style="33" customWidth="1"/>
    <col min="1289" max="1289" width="21.81640625" style="33" customWidth="1"/>
    <col min="1290" max="1323" width="2.7265625" style="33" customWidth="1"/>
    <col min="1324" max="1536" width="9.1796875" style="33"/>
    <col min="1537" max="1537" width="29.7265625" style="33" customWidth="1"/>
    <col min="1538" max="1539" width="38.453125" style="33" customWidth="1"/>
    <col min="1540" max="1540" width="37" style="33" customWidth="1"/>
    <col min="1541" max="1541" width="15.26953125" style="33" customWidth="1"/>
    <col min="1542" max="1542" width="12.7265625" style="33" customWidth="1"/>
    <col min="1543" max="1543" width="15.54296875" style="33" customWidth="1"/>
    <col min="1544" max="1544" width="10.453125" style="33" customWidth="1"/>
    <col min="1545" max="1545" width="21.81640625" style="33" customWidth="1"/>
    <col min="1546" max="1579" width="2.7265625" style="33" customWidth="1"/>
    <col min="1580" max="1792" width="9.1796875" style="33"/>
    <col min="1793" max="1793" width="29.7265625" style="33" customWidth="1"/>
    <col min="1794" max="1795" width="38.453125" style="33" customWidth="1"/>
    <col min="1796" max="1796" width="37" style="33" customWidth="1"/>
    <col min="1797" max="1797" width="15.26953125" style="33" customWidth="1"/>
    <col min="1798" max="1798" width="12.7265625" style="33" customWidth="1"/>
    <col min="1799" max="1799" width="15.54296875" style="33" customWidth="1"/>
    <col min="1800" max="1800" width="10.453125" style="33" customWidth="1"/>
    <col min="1801" max="1801" width="21.81640625" style="33" customWidth="1"/>
    <col min="1802" max="1835" width="2.7265625" style="33" customWidth="1"/>
    <col min="1836" max="2048" width="9.1796875" style="33"/>
    <col min="2049" max="2049" width="29.7265625" style="33" customWidth="1"/>
    <col min="2050" max="2051" width="38.453125" style="33" customWidth="1"/>
    <col min="2052" max="2052" width="37" style="33" customWidth="1"/>
    <col min="2053" max="2053" width="15.26953125" style="33" customWidth="1"/>
    <col min="2054" max="2054" width="12.7265625" style="33" customWidth="1"/>
    <col min="2055" max="2055" width="15.54296875" style="33" customWidth="1"/>
    <col min="2056" max="2056" width="10.453125" style="33" customWidth="1"/>
    <col min="2057" max="2057" width="21.81640625" style="33" customWidth="1"/>
    <col min="2058" max="2091" width="2.7265625" style="33" customWidth="1"/>
    <col min="2092" max="2304" width="9.1796875" style="33"/>
    <col min="2305" max="2305" width="29.7265625" style="33" customWidth="1"/>
    <col min="2306" max="2307" width="38.453125" style="33" customWidth="1"/>
    <col min="2308" max="2308" width="37" style="33" customWidth="1"/>
    <col min="2309" max="2309" width="15.26953125" style="33" customWidth="1"/>
    <col min="2310" max="2310" width="12.7265625" style="33" customWidth="1"/>
    <col min="2311" max="2311" width="15.54296875" style="33" customWidth="1"/>
    <col min="2312" max="2312" width="10.453125" style="33" customWidth="1"/>
    <col min="2313" max="2313" width="21.81640625" style="33" customWidth="1"/>
    <col min="2314" max="2347" width="2.7265625" style="33" customWidth="1"/>
    <col min="2348" max="2560" width="9.1796875" style="33"/>
    <col min="2561" max="2561" width="29.7265625" style="33" customWidth="1"/>
    <col min="2562" max="2563" width="38.453125" style="33" customWidth="1"/>
    <col min="2564" max="2564" width="37" style="33" customWidth="1"/>
    <col min="2565" max="2565" width="15.26953125" style="33" customWidth="1"/>
    <col min="2566" max="2566" width="12.7265625" style="33" customWidth="1"/>
    <col min="2567" max="2567" width="15.54296875" style="33" customWidth="1"/>
    <col min="2568" max="2568" width="10.453125" style="33" customWidth="1"/>
    <col min="2569" max="2569" width="21.81640625" style="33" customWidth="1"/>
    <col min="2570" max="2603" width="2.7265625" style="33" customWidth="1"/>
    <col min="2604" max="2816" width="9.1796875" style="33"/>
    <col min="2817" max="2817" width="29.7265625" style="33" customWidth="1"/>
    <col min="2818" max="2819" width="38.453125" style="33" customWidth="1"/>
    <col min="2820" max="2820" width="37" style="33" customWidth="1"/>
    <col min="2821" max="2821" width="15.26953125" style="33" customWidth="1"/>
    <col min="2822" max="2822" width="12.7265625" style="33" customWidth="1"/>
    <col min="2823" max="2823" width="15.54296875" style="33" customWidth="1"/>
    <col min="2824" max="2824" width="10.453125" style="33" customWidth="1"/>
    <col min="2825" max="2825" width="21.81640625" style="33" customWidth="1"/>
    <col min="2826" max="2859" width="2.7265625" style="33" customWidth="1"/>
    <col min="2860" max="3072" width="9.1796875" style="33"/>
    <col min="3073" max="3073" width="29.7265625" style="33" customWidth="1"/>
    <col min="3074" max="3075" width="38.453125" style="33" customWidth="1"/>
    <col min="3076" max="3076" width="37" style="33" customWidth="1"/>
    <col min="3077" max="3077" width="15.26953125" style="33" customWidth="1"/>
    <col min="3078" max="3078" width="12.7265625" style="33" customWidth="1"/>
    <col min="3079" max="3079" width="15.54296875" style="33" customWidth="1"/>
    <col min="3080" max="3080" width="10.453125" style="33" customWidth="1"/>
    <col min="3081" max="3081" width="21.81640625" style="33" customWidth="1"/>
    <col min="3082" max="3115" width="2.7265625" style="33" customWidth="1"/>
    <col min="3116" max="3328" width="9.1796875" style="33"/>
    <col min="3329" max="3329" width="29.7265625" style="33" customWidth="1"/>
    <col min="3330" max="3331" width="38.453125" style="33" customWidth="1"/>
    <col min="3332" max="3332" width="37" style="33" customWidth="1"/>
    <col min="3333" max="3333" width="15.26953125" style="33" customWidth="1"/>
    <col min="3334" max="3334" width="12.7265625" style="33" customWidth="1"/>
    <col min="3335" max="3335" width="15.54296875" style="33" customWidth="1"/>
    <col min="3336" max="3336" width="10.453125" style="33" customWidth="1"/>
    <col min="3337" max="3337" width="21.81640625" style="33" customWidth="1"/>
    <col min="3338" max="3371" width="2.7265625" style="33" customWidth="1"/>
    <col min="3372" max="3584" width="9.1796875" style="33"/>
    <col min="3585" max="3585" width="29.7265625" style="33" customWidth="1"/>
    <col min="3586" max="3587" width="38.453125" style="33" customWidth="1"/>
    <col min="3588" max="3588" width="37" style="33" customWidth="1"/>
    <col min="3589" max="3589" width="15.26953125" style="33" customWidth="1"/>
    <col min="3590" max="3590" width="12.7265625" style="33" customWidth="1"/>
    <col min="3591" max="3591" width="15.54296875" style="33" customWidth="1"/>
    <col min="3592" max="3592" width="10.453125" style="33" customWidth="1"/>
    <col min="3593" max="3593" width="21.81640625" style="33" customWidth="1"/>
    <col min="3594" max="3627" width="2.7265625" style="33" customWidth="1"/>
    <col min="3628" max="3840" width="9.1796875" style="33"/>
    <col min="3841" max="3841" width="29.7265625" style="33" customWidth="1"/>
    <col min="3842" max="3843" width="38.453125" style="33" customWidth="1"/>
    <col min="3844" max="3844" width="37" style="33" customWidth="1"/>
    <col min="3845" max="3845" width="15.26953125" style="33" customWidth="1"/>
    <col min="3846" max="3846" width="12.7265625" style="33" customWidth="1"/>
    <col min="3847" max="3847" width="15.54296875" style="33" customWidth="1"/>
    <col min="3848" max="3848" width="10.453125" style="33" customWidth="1"/>
    <col min="3849" max="3849" width="21.81640625" style="33" customWidth="1"/>
    <col min="3850" max="3883" width="2.7265625" style="33" customWidth="1"/>
    <col min="3884" max="4096" width="9.1796875" style="33"/>
    <col min="4097" max="4097" width="29.7265625" style="33" customWidth="1"/>
    <col min="4098" max="4099" width="38.453125" style="33" customWidth="1"/>
    <col min="4100" max="4100" width="37" style="33" customWidth="1"/>
    <col min="4101" max="4101" width="15.26953125" style="33" customWidth="1"/>
    <col min="4102" max="4102" width="12.7265625" style="33" customWidth="1"/>
    <col min="4103" max="4103" width="15.54296875" style="33" customWidth="1"/>
    <col min="4104" max="4104" width="10.453125" style="33" customWidth="1"/>
    <col min="4105" max="4105" width="21.81640625" style="33" customWidth="1"/>
    <col min="4106" max="4139" width="2.7265625" style="33" customWidth="1"/>
    <col min="4140" max="4352" width="9.1796875" style="33"/>
    <col min="4353" max="4353" width="29.7265625" style="33" customWidth="1"/>
    <col min="4354" max="4355" width="38.453125" style="33" customWidth="1"/>
    <col min="4356" max="4356" width="37" style="33" customWidth="1"/>
    <col min="4357" max="4357" width="15.26953125" style="33" customWidth="1"/>
    <col min="4358" max="4358" width="12.7265625" style="33" customWidth="1"/>
    <col min="4359" max="4359" width="15.54296875" style="33" customWidth="1"/>
    <col min="4360" max="4360" width="10.453125" style="33" customWidth="1"/>
    <col min="4361" max="4361" width="21.81640625" style="33" customWidth="1"/>
    <col min="4362" max="4395" width="2.7265625" style="33" customWidth="1"/>
    <col min="4396" max="4608" width="9.1796875" style="33"/>
    <col min="4609" max="4609" width="29.7265625" style="33" customWidth="1"/>
    <col min="4610" max="4611" width="38.453125" style="33" customWidth="1"/>
    <col min="4612" max="4612" width="37" style="33" customWidth="1"/>
    <col min="4613" max="4613" width="15.26953125" style="33" customWidth="1"/>
    <col min="4614" max="4614" width="12.7265625" style="33" customWidth="1"/>
    <col min="4615" max="4615" width="15.54296875" style="33" customWidth="1"/>
    <col min="4616" max="4616" width="10.453125" style="33" customWidth="1"/>
    <col min="4617" max="4617" width="21.81640625" style="33" customWidth="1"/>
    <col min="4618" max="4651" width="2.7265625" style="33" customWidth="1"/>
    <col min="4652" max="4864" width="9.1796875" style="33"/>
    <col min="4865" max="4865" width="29.7265625" style="33" customWidth="1"/>
    <col min="4866" max="4867" width="38.453125" style="33" customWidth="1"/>
    <col min="4868" max="4868" width="37" style="33" customWidth="1"/>
    <col min="4869" max="4869" width="15.26953125" style="33" customWidth="1"/>
    <col min="4870" max="4870" width="12.7265625" style="33" customWidth="1"/>
    <col min="4871" max="4871" width="15.54296875" style="33" customWidth="1"/>
    <col min="4872" max="4872" width="10.453125" style="33" customWidth="1"/>
    <col min="4873" max="4873" width="21.81640625" style="33" customWidth="1"/>
    <col min="4874" max="4907" width="2.7265625" style="33" customWidth="1"/>
    <col min="4908" max="5120" width="9.1796875" style="33"/>
    <col min="5121" max="5121" width="29.7265625" style="33" customWidth="1"/>
    <col min="5122" max="5123" width="38.453125" style="33" customWidth="1"/>
    <col min="5124" max="5124" width="37" style="33" customWidth="1"/>
    <col min="5125" max="5125" width="15.26953125" style="33" customWidth="1"/>
    <col min="5126" max="5126" width="12.7265625" style="33" customWidth="1"/>
    <col min="5127" max="5127" width="15.54296875" style="33" customWidth="1"/>
    <col min="5128" max="5128" width="10.453125" style="33" customWidth="1"/>
    <col min="5129" max="5129" width="21.81640625" style="33" customWidth="1"/>
    <col min="5130" max="5163" width="2.7265625" style="33" customWidth="1"/>
    <col min="5164" max="5376" width="9.1796875" style="33"/>
    <col min="5377" max="5377" width="29.7265625" style="33" customWidth="1"/>
    <col min="5378" max="5379" width="38.453125" style="33" customWidth="1"/>
    <col min="5380" max="5380" width="37" style="33" customWidth="1"/>
    <col min="5381" max="5381" width="15.26953125" style="33" customWidth="1"/>
    <col min="5382" max="5382" width="12.7265625" style="33" customWidth="1"/>
    <col min="5383" max="5383" width="15.54296875" style="33" customWidth="1"/>
    <col min="5384" max="5384" width="10.453125" style="33" customWidth="1"/>
    <col min="5385" max="5385" width="21.81640625" style="33" customWidth="1"/>
    <col min="5386" max="5419" width="2.7265625" style="33" customWidth="1"/>
    <col min="5420" max="5632" width="9.1796875" style="33"/>
    <col min="5633" max="5633" width="29.7265625" style="33" customWidth="1"/>
    <col min="5634" max="5635" width="38.453125" style="33" customWidth="1"/>
    <col min="5636" max="5636" width="37" style="33" customWidth="1"/>
    <col min="5637" max="5637" width="15.26953125" style="33" customWidth="1"/>
    <col min="5638" max="5638" width="12.7265625" style="33" customWidth="1"/>
    <col min="5639" max="5639" width="15.54296875" style="33" customWidth="1"/>
    <col min="5640" max="5640" width="10.453125" style="33" customWidth="1"/>
    <col min="5641" max="5641" width="21.81640625" style="33" customWidth="1"/>
    <col min="5642" max="5675" width="2.7265625" style="33" customWidth="1"/>
    <col min="5676" max="5888" width="9.1796875" style="33"/>
    <col min="5889" max="5889" width="29.7265625" style="33" customWidth="1"/>
    <col min="5890" max="5891" width="38.453125" style="33" customWidth="1"/>
    <col min="5892" max="5892" width="37" style="33" customWidth="1"/>
    <col min="5893" max="5893" width="15.26953125" style="33" customWidth="1"/>
    <col min="5894" max="5894" width="12.7265625" style="33" customWidth="1"/>
    <col min="5895" max="5895" width="15.54296875" style="33" customWidth="1"/>
    <col min="5896" max="5896" width="10.453125" style="33" customWidth="1"/>
    <col min="5897" max="5897" width="21.81640625" style="33" customWidth="1"/>
    <col min="5898" max="5931" width="2.7265625" style="33" customWidth="1"/>
    <col min="5932" max="6144" width="9.1796875" style="33"/>
    <col min="6145" max="6145" width="29.7265625" style="33" customWidth="1"/>
    <col min="6146" max="6147" width="38.453125" style="33" customWidth="1"/>
    <col min="6148" max="6148" width="37" style="33" customWidth="1"/>
    <col min="6149" max="6149" width="15.26953125" style="33" customWidth="1"/>
    <col min="6150" max="6150" width="12.7265625" style="33" customWidth="1"/>
    <col min="6151" max="6151" width="15.54296875" style="33" customWidth="1"/>
    <col min="6152" max="6152" width="10.453125" style="33" customWidth="1"/>
    <col min="6153" max="6153" width="21.81640625" style="33" customWidth="1"/>
    <col min="6154" max="6187" width="2.7265625" style="33" customWidth="1"/>
    <col min="6188" max="6400" width="9.1796875" style="33"/>
    <col min="6401" max="6401" width="29.7265625" style="33" customWidth="1"/>
    <col min="6402" max="6403" width="38.453125" style="33" customWidth="1"/>
    <col min="6404" max="6404" width="37" style="33" customWidth="1"/>
    <col min="6405" max="6405" width="15.26953125" style="33" customWidth="1"/>
    <col min="6406" max="6406" width="12.7265625" style="33" customWidth="1"/>
    <col min="6407" max="6407" width="15.54296875" style="33" customWidth="1"/>
    <col min="6408" max="6408" width="10.453125" style="33" customWidth="1"/>
    <col min="6409" max="6409" width="21.81640625" style="33" customWidth="1"/>
    <col min="6410" max="6443" width="2.7265625" style="33" customWidth="1"/>
    <col min="6444" max="6656" width="9.1796875" style="33"/>
    <col min="6657" max="6657" width="29.7265625" style="33" customWidth="1"/>
    <col min="6658" max="6659" width="38.453125" style="33" customWidth="1"/>
    <col min="6660" max="6660" width="37" style="33" customWidth="1"/>
    <col min="6661" max="6661" width="15.26953125" style="33" customWidth="1"/>
    <col min="6662" max="6662" width="12.7265625" style="33" customWidth="1"/>
    <col min="6663" max="6663" width="15.54296875" style="33" customWidth="1"/>
    <col min="6664" max="6664" width="10.453125" style="33" customWidth="1"/>
    <col min="6665" max="6665" width="21.81640625" style="33" customWidth="1"/>
    <col min="6666" max="6699" width="2.7265625" style="33" customWidth="1"/>
    <col min="6700" max="6912" width="9.1796875" style="33"/>
    <col min="6913" max="6913" width="29.7265625" style="33" customWidth="1"/>
    <col min="6914" max="6915" width="38.453125" style="33" customWidth="1"/>
    <col min="6916" max="6916" width="37" style="33" customWidth="1"/>
    <col min="6917" max="6917" width="15.26953125" style="33" customWidth="1"/>
    <col min="6918" max="6918" width="12.7265625" style="33" customWidth="1"/>
    <col min="6919" max="6919" width="15.54296875" style="33" customWidth="1"/>
    <col min="6920" max="6920" width="10.453125" style="33" customWidth="1"/>
    <col min="6921" max="6921" width="21.81640625" style="33" customWidth="1"/>
    <col min="6922" max="6955" width="2.7265625" style="33" customWidth="1"/>
    <col min="6956" max="7168" width="9.1796875" style="33"/>
    <col min="7169" max="7169" width="29.7265625" style="33" customWidth="1"/>
    <col min="7170" max="7171" width="38.453125" style="33" customWidth="1"/>
    <col min="7172" max="7172" width="37" style="33" customWidth="1"/>
    <col min="7173" max="7173" width="15.26953125" style="33" customWidth="1"/>
    <col min="7174" max="7174" width="12.7265625" style="33" customWidth="1"/>
    <col min="7175" max="7175" width="15.54296875" style="33" customWidth="1"/>
    <col min="7176" max="7176" width="10.453125" style="33" customWidth="1"/>
    <col min="7177" max="7177" width="21.81640625" style="33" customWidth="1"/>
    <col min="7178" max="7211" width="2.7265625" style="33" customWidth="1"/>
    <col min="7212" max="7424" width="9.1796875" style="33"/>
    <col min="7425" max="7425" width="29.7265625" style="33" customWidth="1"/>
    <col min="7426" max="7427" width="38.453125" style="33" customWidth="1"/>
    <col min="7428" max="7428" width="37" style="33" customWidth="1"/>
    <col min="7429" max="7429" width="15.26953125" style="33" customWidth="1"/>
    <col min="7430" max="7430" width="12.7265625" style="33" customWidth="1"/>
    <col min="7431" max="7431" width="15.54296875" style="33" customWidth="1"/>
    <col min="7432" max="7432" width="10.453125" style="33" customWidth="1"/>
    <col min="7433" max="7433" width="21.81640625" style="33" customWidth="1"/>
    <col min="7434" max="7467" width="2.7265625" style="33" customWidth="1"/>
    <col min="7468" max="7680" width="9.1796875" style="33"/>
    <col min="7681" max="7681" width="29.7265625" style="33" customWidth="1"/>
    <col min="7682" max="7683" width="38.453125" style="33" customWidth="1"/>
    <col min="7684" max="7684" width="37" style="33" customWidth="1"/>
    <col min="7685" max="7685" width="15.26953125" style="33" customWidth="1"/>
    <col min="7686" max="7686" width="12.7265625" style="33" customWidth="1"/>
    <col min="7687" max="7687" width="15.54296875" style="33" customWidth="1"/>
    <col min="7688" max="7688" width="10.453125" style="33" customWidth="1"/>
    <col min="7689" max="7689" width="21.81640625" style="33" customWidth="1"/>
    <col min="7690" max="7723" width="2.7265625" style="33" customWidth="1"/>
    <col min="7724" max="7936" width="9.1796875" style="33"/>
    <col min="7937" max="7937" width="29.7265625" style="33" customWidth="1"/>
    <col min="7938" max="7939" width="38.453125" style="33" customWidth="1"/>
    <col min="7940" max="7940" width="37" style="33" customWidth="1"/>
    <col min="7941" max="7941" width="15.26953125" style="33" customWidth="1"/>
    <col min="7942" max="7942" width="12.7265625" style="33" customWidth="1"/>
    <col min="7943" max="7943" width="15.54296875" style="33" customWidth="1"/>
    <col min="7944" max="7944" width="10.453125" style="33" customWidth="1"/>
    <col min="7945" max="7945" width="21.81640625" style="33" customWidth="1"/>
    <col min="7946" max="7979" width="2.7265625" style="33" customWidth="1"/>
    <col min="7980" max="8192" width="9.1796875" style="33"/>
    <col min="8193" max="8193" width="29.7265625" style="33" customWidth="1"/>
    <col min="8194" max="8195" width="38.453125" style="33" customWidth="1"/>
    <col min="8196" max="8196" width="37" style="33" customWidth="1"/>
    <col min="8197" max="8197" width="15.26953125" style="33" customWidth="1"/>
    <col min="8198" max="8198" width="12.7265625" style="33" customWidth="1"/>
    <col min="8199" max="8199" width="15.54296875" style="33" customWidth="1"/>
    <col min="8200" max="8200" width="10.453125" style="33" customWidth="1"/>
    <col min="8201" max="8201" width="21.81640625" style="33" customWidth="1"/>
    <col min="8202" max="8235" width="2.7265625" style="33" customWidth="1"/>
    <col min="8236" max="8448" width="9.1796875" style="33"/>
    <col min="8449" max="8449" width="29.7265625" style="33" customWidth="1"/>
    <col min="8450" max="8451" width="38.453125" style="33" customWidth="1"/>
    <col min="8452" max="8452" width="37" style="33" customWidth="1"/>
    <col min="8453" max="8453" width="15.26953125" style="33" customWidth="1"/>
    <col min="8454" max="8454" width="12.7265625" style="33" customWidth="1"/>
    <col min="8455" max="8455" width="15.54296875" style="33" customWidth="1"/>
    <col min="8456" max="8456" width="10.453125" style="33" customWidth="1"/>
    <col min="8457" max="8457" width="21.81640625" style="33" customWidth="1"/>
    <col min="8458" max="8491" width="2.7265625" style="33" customWidth="1"/>
    <col min="8492" max="8704" width="9.1796875" style="33"/>
    <col min="8705" max="8705" width="29.7265625" style="33" customWidth="1"/>
    <col min="8706" max="8707" width="38.453125" style="33" customWidth="1"/>
    <col min="8708" max="8708" width="37" style="33" customWidth="1"/>
    <col min="8709" max="8709" width="15.26953125" style="33" customWidth="1"/>
    <col min="8710" max="8710" width="12.7265625" style="33" customWidth="1"/>
    <col min="8711" max="8711" width="15.54296875" style="33" customWidth="1"/>
    <col min="8712" max="8712" width="10.453125" style="33" customWidth="1"/>
    <col min="8713" max="8713" width="21.81640625" style="33" customWidth="1"/>
    <col min="8714" max="8747" width="2.7265625" style="33" customWidth="1"/>
    <col min="8748" max="8960" width="9.1796875" style="33"/>
    <col min="8961" max="8961" width="29.7265625" style="33" customWidth="1"/>
    <col min="8962" max="8963" width="38.453125" style="33" customWidth="1"/>
    <col min="8964" max="8964" width="37" style="33" customWidth="1"/>
    <col min="8965" max="8965" width="15.26953125" style="33" customWidth="1"/>
    <col min="8966" max="8966" width="12.7265625" style="33" customWidth="1"/>
    <col min="8967" max="8967" width="15.54296875" style="33" customWidth="1"/>
    <col min="8968" max="8968" width="10.453125" style="33" customWidth="1"/>
    <col min="8969" max="8969" width="21.81640625" style="33" customWidth="1"/>
    <col min="8970" max="9003" width="2.7265625" style="33" customWidth="1"/>
    <col min="9004" max="9216" width="9.1796875" style="33"/>
    <col min="9217" max="9217" width="29.7265625" style="33" customWidth="1"/>
    <col min="9218" max="9219" width="38.453125" style="33" customWidth="1"/>
    <col min="9220" max="9220" width="37" style="33" customWidth="1"/>
    <col min="9221" max="9221" width="15.26953125" style="33" customWidth="1"/>
    <col min="9222" max="9222" width="12.7265625" style="33" customWidth="1"/>
    <col min="9223" max="9223" width="15.54296875" style="33" customWidth="1"/>
    <col min="9224" max="9224" width="10.453125" style="33" customWidth="1"/>
    <col min="9225" max="9225" width="21.81640625" style="33" customWidth="1"/>
    <col min="9226" max="9259" width="2.7265625" style="33" customWidth="1"/>
    <col min="9260" max="9472" width="9.1796875" style="33"/>
    <col min="9473" max="9473" width="29.7265625" style="33" customWidth="1"/>
    <col min="9474" max="9475" width="38.453125" style="33" customWidth="1"/>
    <col min="9476" max="9476" width="37" style="33" customWidth="1"/>
    <col min="9477" max="9477" width="15.26953125" style="33" customWidth="1"/>
    <col min="9478" max="9478" width="12.7265625" style="33" customWidth="1"/>
    <col min="9479" max="9479" width="15.54296875" style="33" customWidth="1"/>
    <col min="9480" max="9480" width="10.453125" style="33" customWidth="1"/>
    <col min="9481" max="9481" width="21.81640625" style="33" customWidth="1"/>
    <col min="9482" max="9515" width="2.7265625" style="33" customWidth="1"/>
    <col min="9516" max="9728" width="9.1796875" style="33"/>
    <col min="9729" max="9729" width="29.7265625" style="33" customWidth="1"/>
    <col min="9730" max="9731" width="38.453125" style="33" customWidth="1"/>
    <col min="9732" max="9732" width="37" style="33" customWidth="1"/>
    <col min="9733" max="9733" width="15.26953125" style="33" customWidth="1"/>
    <col min="9734" max="9734" width="12.7265625" style="33" customWidth="1"/>
    <col min="9735" max="9735" width="15.54296875" style="33" customWidth="1"/>
    <col min="9736" max="9736" width="10.453125" style="33" customWidth="1"/>
    <col min="9737" max="9737" width="21.81640625" style="33" customWidth="1"/>
    <col min="9738" max="9771" width="2.7265625" style="33" customWidth="1"/>
    <col min="9772" max="9984" width="9.1796875" style="33"/>
    <col min="9985" max="9985" width="29.7265625" style="33" customWidth="1"/>
    <col min="9986" max="9987" width="38.453125" style="33" customWidth="1"/>
    <col min="9988" max="9988" width="37" style="33" customWidth="1"/>
    <col min="9989" max="9989" width="15.26953125" style="33" customWidth="1"/>
    <col min="9990" max="9990" width="12.7265625" style="33" customWidth="1"/>
    <col min="9991" max="9991" width="15.54296875" style="33" customWidth="1"/>
    <col min="9992" max="9992" width="10.453125" style="33" customWidth="1"/>
    <col min="9993" max="9993" width="21.81640625" style="33" customWidth="1"/>
    <col min="9994" max="10027" width="2.7265625" style="33" customWidth="1"/>
    <col min="10028" max="10240" width="9.1796875" style="33"/>
    <col min="10241" max="10241" width="29.7265625" style="33" customWidth="1"/>
    <col min="10242" max="10243" width="38.453125" style="33" customWidth="1"/>
    <col min="10244" max="10244" width="37" style="33" customWidth="1"/>
    <col min="10245" max="10245" width="15.26953125" style="33" customWidth="1"/>
    <col min="10246" max="10246" width="12.7265625" style="33" customWidth="1"/>
    <col min="10247" max="10247" width="15.54296875" style="33" customWidth="1"/>
    <col min="10248" max="10248" width="10.453125" style="33" customWidth="1"/>
    <col min="10249" max="10249" width="21.81640625" style="33" customWidth="1"/>
    <col min="10250" max="10283" width="2.7265625" style="33" customWidth="1"/>
    <col min="10284" max="10496" width="9.1796875" style="33"/>
    <col min="10497" max="10497" width="29.7265625" style="33" customWidth="1"/>
    <col min="10498" max="10499" width="38.453125" style="33" customWidth="1"/>
    <col min="10500" max="10500" width="37" style="33" customWidth="1"/>
    <col min="10501" max="10501" width="15.26953125" style="33" customWidth="1"/>
    <col min="10502" max="10502" width="12.7265625" style="33" customWidth="1"/>
    <col min="10503" max="10503" width="15.54296875" style="33" customWidth="1"/>
    <col min="10504" max="10504" width="10.453125" style="33" customWidth="1"/>
    <col min="10505" max="10505" width="21.81640625" style="33" customWidth="1"/>
    <col min="10506" max="10539" width="2.7265625" style="33" customWidth="1"/>
    <col min="10540" max="10752" width="9.1796875" style="33"/>
    <col min="10753" max="10753" width="29.7265625" style="33" customWidth="1"/>
    <col min="10754" max="10755" width="38.453125" style="33" customWidth="1"/>
    <col min="10756" max="10756" width="37" style="33" customWidth="1"/>
    <col min="10757" max="10757" width="15.26953125" style="33" customWidth="1"/>
    <col min="10758" max="10758" width="12.7265625" style="33" customWidth="1"/>
    <col min="10759" max="10759" width="15.54296875" style="33" customWidth="1"/>
    <col min="10760" max="10760" width="10.453125" style="33" customWidth="1"/>
    <col min="10761" max="10761" width="21.81640625" style="33" customWidth="1"/>
    <col min="10762" max="10795" width="2.7265625" style="33" customWidth="1"/>
    <col min="10796" max="11008" width="9.1796875" style="33"/>
    <col min="11009" max="11009" width="29.7265625" style="33" customWidth="1"/>
    <col min="11010" max="11011" width="38.453125" style="33" customWidth="1"/>
    <col min="11012" max="11012" width="37" style="33" customWidth="1"/>
    <col min="11013" max="11013" width="15.26953125" style="33" customWidth="1"/>
    <col min="11014" max="11014" width="12.7265625" style="33" customWidth="1"/>
    <col min="11015" max="11015" width="15.54296875" style="33" customWidth="1"/>
    <col min="11016" max="11016" width="10.453125" style="33" customWidth="1"/>
    <col min="11017" max="11017" width="21.81640625" style="33" customWidth="1"/>
    <col min="11018" max="11051" width="2.7265625" style="33" customWidth="1"/>
    <col min="11052" max="11264" width="9.1796875" style="33"/>
    <col min="11265" max="11265" width="29.7265625" style="33" customWidth="1"/>
    <col min="11266" max="11267" width="38.453125" style="33" customWidth="1"/>
    <col min="11268" max="11268" width="37" style="33" customWidth="1"/>
    <col min="11269" max="11269" width="15.26953125" style="33" customWidth="1"/>
    <col min="11270" max="11270" width="12.7265625" style="33" customWidth="1"/>
    <col min="11271" max="11271" width="15.54296875" style="33" customWidth="1"/>
    <col min="11272" max="11272" width="10.453125" style="33" customWidth="1"/>
    <col min="11273" max="11273" width="21.81640625" style="33" customWidth="1"/>
    <col min="11274" max="11307" width="2.7265625" style="33" customWidth="1"/>
    <col min="11308" max="11520" width="9.1796875" style="33"/>
    <col min="11521" max="11521" width="29.7265625" style="33" customWidth="1"/>
    <col min="11522" max="11523" width="38.453125" style="33" customWidth="1"/>
    <col min="11524" max="11524" width="37" style="33" customWidth="1"/>
    <col min="11525" max="11525" width="15.26953125" style="33" customWidth="1"/>
    <col min="11526" max="11526" width="12.7265625" style="33" customWidth="1"/>
    <col min="11527" max="11527" width="15.54296875" style="33" customWidth="1"/>
    <col min="11528" max="11528" width="10.453125" style="33" customWidth="1"/>
    <col min="11529" max="11529" width="21.81640625" style="33" customWidth="1"/>
    <col min="11530" max="11563" width="2.7265625" style="33" customWidth="1"/>
    <col min="11564" max="11776" width="9.1796875" style="33"/>
    <col min="11777" max="11777" width="29.7265625" style="33" customWidth="1"/>
    <col min="11778" max="11779" width="38.453125" style="33" customWidth="1"/>
    <col min="11780" max="11780" width="37" style="33" customWidth="1"/>
    <col min="11781" max="11781" width="15.26953125" style="33" customWidth="1"/>
    <col min="11782" max="11782" width="12.7265625" style="33" customWidth="1"/>
    <col min="11783" max="11783" width="15.54296875" style="33" customWidth="1"/>
    <col min="11784" max="11784" width="10.453125" style="33" customWidth="1"/>
    <col min="11785" max="11785" width="21.81640625" style="33" customWidth="1"/>
    <col min="11786" max="11819" width="2.7265625" style="33" customWidth="1"/>
    <col min="11820" max="12032" width="9.1796875" style="33"/>
    <col min="12033" max="12033" width="29.7265625" style="33" customWidth="1"/>
    <col min="12034" max="12035" width="38.453125" style="33" customWidth="1"/>
    <col min="12036" max="12036" width="37" style="33" customWidth="1"/>
    <col min="12037" max="12037" width="15.26953125" style="33" customWidth="1"/>
    <col min="12038" max="12038" width="12.7265625" style="33" customWidth="1"/>
    <col min="12039" max="12039" width="15.54296875" style="33" customWidth="1"/>
    <col min="12040" max="12040" width="10.453125" style="33" customWidth="1"/>
    <col min="12041" max="12041" width="21.81640625" style="33" customWidth="1"/>
    <col min="12042" max="12075" width="2.7265625" style="33" customWidth="1"/>
    <col min="12076" max="12288" width="9.1796875" style="33"/>
    <col min="12289" max="12289" width="29.7265625" style="33" customWidth="1"/>
    <col min="12290" max="12291" width="38.453125" style="33" customWidth="1"/>
    <col min="12292" max="12292" width="37" style="33" customWidth="1"/>
    <col min="12293" max="12293" width="15.26953125" style="33" customWidth="1"/>
    <col min="12294" max="12294" width="12.7265625" style="33" customWidth="1"/>
    <col min="12295" max="12295" width="15.54296875" style="33" customWidth="1"/>
    <col min="12296" max="12296" width="10.453125" style="33" customWidth="1"/>
    <col min="12297" max="12297" width="21.81640625" style="33" customWidth="1"/>
    <col min="12298" max="12331" width="2.7265625" style="33" customWidth="1"/>
    <col min="12332" max="12544" width="9.1796875" style="33"/>
    <col min="12545" max="12545" width="29.7265625" style="33" customWidth="1"/>
    <col min="12546" max="12547" width="38.453125" style="33" customWidth="1"/>
    <col min="12548" max="12548" width="37" style="33" customWidth="1"/>
    <col min="12549" max="12549" width="15.26953125" style="33" customWidth="1"/>
    <col min="12550" max="12550" width="12.7265625" style="33" customWidth="1"/>
    <col min="12551" max="12551" width="15.54296875" style="33" customWidth="1"/>
    <col min="12552" max="12552" width="10.453125" style="33" customWidth="1"/>
    <col min="12553" max="12553" width="21.81640625" style="33" customWidth="1"/>
    <col min="12554" max="12587" width="2.7265625" style="33" customWidth="1"/>
    <col min="12588" max="12800" width="9.1796875" style="33"/>
    <col min="12801" max="12801" width="29.7265625" style="33" customWidth="1"/>
    <col min="12802" max="12803" width="38.453125" style="33" customWidth="1"/>
    <col min="12804" max="12804" width="37" style="33" customWidth="1"/>
    <col min="12805" max="12805" width="15.26953125" style="33" customWidth="1"/>
    <col min="12806" max="12806" width="12.7265625" style="33" customWidth="1"/>
    <col min="12807" max="12807" width="15.54296875" style="33" customWidth="1"/>
    <col min="12808" max="12808" width="10.453125" style="33" customWidth="1"/>
    <col min="12809" max="12809" width="21.81640625" style="33" customWidth="1"/>
    <col min="12810" max="12843" width="2.7265625" style="33" customWidth="1"/>
    <col min="12844" max="13056" width="9.1796875" style="33"/>
    <col min="13057" max="13057" width="29.7265625" style="33" customWidth="1"/>
    <col min="13058" max="13059" width="38.453125" style="33" customWidth="1"/>
    <col min="13060" max="13060" width="37" style="33" customWidth="1"/>
    <col min="13061" max="13061" width="15.26953125" style="33" customWidth="1"/>
    <col min="13062" max="13062" width="12.7265625" style="33" customWidth="1"/>
    <col min="13063" max="13063" width="15.54296875" style="33" customWidth="1"/>
    <col min="13064" max="13064" width="10.453125" style="33" customWidth="1"/>
    <col min="13065" max="13065" width="21.81640625" style="33" customWidth="1"/>
    <col min="13066" max="13099" width="2.7265625" style="33" customWidth="1"/>
    <col min="13100" max="13312" width="9.1796875" style="33"/>
    <col min="13313" max="13313" width="29.7265625" style="33" customWidth="1"/>
    <col min="13314" max="13315" width="38.453125" style="33" customWidth="1"/>
    <col min="13316" max="13316" width="37" style="33" customWidth="1"/>
    <col min="13317" max="13317" width="15.26953125" style="33" customWidth="1"/>
    <col min="13318" max="13318" width="12.7265625" style="33" customWidth="1"/>
    <col min="13319" max="13319" width="15.54296875" style="33" customWidth="1"/>
    <col min="13320" max="13320" width="10.453125" style="33" customWidth="1"/>
    <col min="13321" max="13321" width="21.81640625" style="33" customWidth="1"/>
    <col min="13322" max="13355" width="2.7265625" style="33" customWidth="1"/>
    <col min="13356" max="13568" width="9.1796875" style="33"/>
    <col min="13569" max="13569" width="29.7265625" style="33" customWidth="1"/>
    <col min="13570" max="13571" width="38.453125" style="33" customWidth="1"/>
    <col min="13572" max="13572" width="37" style="33" customWidth="1"/>
    <col min="13573" max="13573" width="15.26953125" style="33" customWidth="1"/>
    <col min="13574" max="13574" width="12.7265625" style="33" customWidth="1"/>
    <col min="13575" max="13575" width="15.54296875" style="33" customWidth="1"/>
    <col min="13576" max="13576" width="10.453125" style="33" customWidth="1"/>
    <col min="13577" max="13577" width="21.81640625" style="33" customWidth="1"/>
    <col min="13578" max="13611" width="2.7265625" style="33" customWidth="1"/>
    <col min="13612" max="13824" width="9.1796875" style="33"/>
    <col min="13825" max="13825" width="29.7265625" style="33" customWidth="1"/>
    <col min="13826" max="13827" width="38.453125" style="33" customWidth="1"/>
    <col min="13828" max="13828" width="37" style="33" customWidth="1"/>
    <col min="13829" max="13829" width="15.26953125" style="33" customWidth="1"/>
    <col min="13830" max="13830" width="12.7265625" style="33" customWidth="1"/>
    <col min="13831" max="13831" width="15.54296875" style="33" customWidth="1"/>
    <col min="13832" max="13832" width="10.453125" style="33" customWidth="1"/>
    <col min="13833" max="13833" width="21.81640625" style="33" customWidth="1"/>
    <col min="13834" max="13867" width="2.7265625" style="33" customWidth="1"/>
    <col min="13868" max="14080" width="9.1796875" style="33"/>
    <col min="14081" max="14081" width="29.7265625" style="33" customWidth="1"/>
    <col min="14082" max="14083" width="38.453125" style="33" customWidth="1"/>
    <col min="14084" max="14084" width="37" style="33" customWidth="1"/>
    <col min="14085" max="14085" width="15.26953125" style="33" customWidth="1"/>
    <col min="14086" max="14086" width="12.7265625" style="33" customWidth="1"/>
    <col min="14087" max="14087" width="15.54296875" style="33" customWidth="1"/>
    <col min="14088" max="14088" width="10.453125" style="33" customWidth="1"/>
    <col min="14089" max="14089" width="21.81640625" style="33" customWidth="1"/>
    <col min="14090" max="14123" width="2.7265625" style="33" customWidth="1"/>
    <col min="14124" max="14336" width="9.1796875" style="33"/>
    <col min="14337" max="14337" width="29.7265625" style="33" customWidth="1"/>
    <col min="14338" max="14339" width="38.453125" style="33" customWidth="1"/>
    <col min="14340" max="14340" width="37" style="33" customWidth="1"/>
    <col min="14341" max="14341" width="15.26953125" style="33" customWidth="1"/>
    <col min="14342" max="14342" width="12.7265625" style="33" customWidth="1"/>
    <col min="14343" max="14343" width="15.54296875" style="33" customWidth="1"/>
    <col min="14344" max="14344" width="10.453125" style="33" customWidth="1"/>
    <col min="14345" max="14345" width="21.81640625" style="33" customWidth="1"/>
    <col min="14346" max="14379" width="2.7265625" style="33" customWidth="1"/>
    <col min="14380" max="14592" width="9.1796875" style="33"/>
    <col min="14593" max="14593" width="29.7265625" style="33" customWidth="1"/>
    <col min="14594" max="14595" width="38.453125" style="33" customWidth="1"/>
    <col min="14596" max="14596" width="37" style="33" customWidth="1"/>
    <col min="14597" max="14597" width="15.26953125" style="33" customWidth="1"/>
    <col min="14598" max="14598" width="12.7265625" style="33" customWidth="1"/>
    <col min="14599" max="14599" width="15.54296875" style="33" customWidth="1"/>
    <col min="14600" max="14600" width="10.453125" style="33" customWidth="1"/>
    <col min="14601" max="14601" width="21.81640625" style="33" customWidth="1"/>
    <col min="14602" max="14635" width="2.7265625" style="33" customWidth="1"/>
    <col min="14636" max="14848" width="9.1796875" style="33"/>
    <col min="14849" max="14849" width="29.7265625" style="33" customWidth="1"/>
    <col min="14850" max="14851" width="38.453125" style="33" customWidth="1"/>
    <col min="14852" max="14852" width="37" style="33" customWidth="1"/>
    <col min="14853" max="14853" width="15.26953125" style="33" customWidth="1"/>
    <col min="14854" max="14854" width="12.7265625" style="33" customWidth="1"/>
    <col min="14855" max="14855" width="15.54296875" style="33" customWidth="1"/>
    <col min="14856" max="14856" width="10.453125" style="33" customWidth="1"/>
    <col min="14857" max="14857" width="21.81640625" style="33" customWidth="1"/>
    <col min="14858" max="14891" width="2.7265625" style="33" customWidth="1"/>
    <col min="14892" max="15104" width="9.1796875" style="33"/>
    <col min="15105" max="15105" width="29.7265625" style="33" customWidth="1"/>
    <col min="15106" max="15107" width="38.453125" style="33" customWidth="1"/>
    <col min="15108" max="15108" width="37" style="33" customWidth="1"/>
    <col min="15109" max="15109" width="15.26953125" style="33" customWidth="1"/>
    <col min="15110" max="15110" width="12.7265625" style="33" customWidth="1"/>
    <col min="15111" max="15111" width="15.54296875" style="33" customWidth="1"/>
    <col min="15112" max="15112" width="10.453125" style="33" customWidth="1"/>
    <col min="15113" max="15113" width="21.81640625" style="33" customWidth="1"/>
    <col min="15114" max="15147" width="2.7265625" style="33" customWidth="1"/>
    <col min="15148" max="15360" width="9.1796875" style="33"/>
    <col min="15361" max="15361" width="29.7265625" style="33" customWidth="1"/>
    <col min="15362" max="15363" width="38.453125" style="33" customWidth="1"/>
    <col min="15364" max="15364" width="37" style="33" customWidth="1"/>
    <col min="15365" max="15365" width="15.26953125" style="33" customWidth="1"/>
    <col min="15366" max="15366" width="12.7265625" style="33" customWidth="1"/>
    <col min="15367" max="15367" width="15.54296875" style="33" customWidth="1"/>
    <col min="15368" max="15368" width="10.453125" style="33" customWidth="1"/>
    <col min="15369" max="15369" width="21.81640625" style="33" customWidth="1"/>
    <col min="15370" max="15403" width="2.7265625" style="33" customWidth="1"/>
    <col min="15404" max="15616" width="9.1796875" style="33"/>
    <col min="15617" max="15617" width="29.7265625" style="33" customWidth="1"/>
    <col min="15618" max="15619" width="38.453125" style="33" customWidth="1"/>
    <col min="15620" max="15620" width="37" style="33" customWidth="1"/>
    <col min="15621" max="15621" width="15.26953125" style="33" customWidth="1"/>
    <col min="15622" max="15622" width="12.7265625" style="33" customWidth="1"/>
    <col min="15623" max="15623" width="15.54296875" style="33" customWidth="1"/>
    <col min="15624" max="15624" width="10.453125" style="33" customWidth="1"/>
    <col min="15625" max="15625" width="21.81640625" style="33" customWidth="1"/>
    <col min="15626" max="15659" width="2.7265625" style="33" customWidth="1"/>
    <col min="15660" max="15872" width="9.1796875" style="33"/>
    <col min="15873" max="15873" width="29.7265625" style="33" customWidth="1"/>
    <col min="15874" max="15875" width="38.453125" style="33" customWidth="1"/>
    <col min="15876" max="15876" width="37" style="33" customWidth="1"/>
    <col min="15877" max="15877" width="15.26953125" style="33" customWidth="1"/>
    <col min="15878" max="15878" width="12.7265625" style="33" customWidth="1"/>
    <col min="15879" max="15879" width="15.54296875" style="33" customWidth="1"/>
    <col min="15880" max="15880" width="10.453125" style="33" customWidth="1"/>
    <col min="15881" max="15881" width="21.81640625" style="33" customWidth="1"/>
    <col min="15882" max="15915" width="2.7265625" style="33" customWidth="1"/>
    <col min="15916" max="16128" width="9.1796875" style="33"/>
    <col min="16129" max="16129" width="29.7265625" style="33" customWidth="1"/>
    <col min="16130" max="16131" width="38.453125" style="33" customWidth="1"/>
    <col min="16132" max="16132" width="37" style="33" customWidth="1"/>
    <col min="16133" max="16133" width="15.26953125" style="33" customWidth="1"/>
    <col min="16134" max="16134" width="12.7265625" style="33" customWidth="1"/>
    <col min="16135" max="16135" width="15.54296875" style="33" customWidth="1"/>
    <col min="16136" max="16136" width="10.453125" style="33" customWidth="1"/>
    <col min="16137" max="16137" width="21.81640625" style="33" customWidth="1"/>
    <col min="16138" max="16171" width="2.7265625" style="33" customWidth="1"/>
    <col min="16172" max="16384" width="9.1796875" style="33"/>
  </cols>
  <sheetData>
    <row r="1" spans="1:19" ht="31.5" customHeight="1" thickBot="1">
      <c r="A1" s="712" t="s">
        <v>149</v>
      </c>
      <c r="B1" s="712"/>
      <c r="C1" s="712"/>
      <c r="D1" s="712"/>
      <c r="H1"/>
      <c r="I1"/>
      <c r="J1"/>
      <c r="K1"/>
    </row>
    <row r="2" spans="1:19" ht="81" customHeight="1">
      <c r="A2" s="35" t="s">
        <v>143</v>
      </c>
      <c r="B2" s="390" t="s">
        <v>947</v>
      </c>
      <c r="C2" s="391" t="s">
        <v>756</v>
      </c>
      <c r="D2" s="255" t="s">
        <v>948</v>
      </c>
      <c r="E2" s="255" t="s">
        <v>757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>
      <c r="A3" s="34" t="s">
        <v>144</v>
      </c>
      <c r="B3" s="392" t="s">
        <v>1695</v>
      </c>
      <c r="C3" s="392"/>
      <c r="D3" s="255" t="s">
        <v>1696</v>
      </c>
      <c r="F3" s="36" t="s">
        <v>151</v>
      </c>
      <c r="G3" s="44">
        <v>2024</v>
      </c>
    </row>
    <row r="4" spans="1:19" ht="55.5" customHeight="1">
      <c r="A4" s="34" t="s">
        <v>145</v>
      </c>
      <c r="B4" s="392" t="s">
        <v>1695</v>
      </c>
      <c r="C4" s="392"/>
      <c r="D4" s="255" t="s">
        <v>1696</v>
      </c>
    </row>
    <row r="5" spans="1:19" s="96" customFormat="1" ht="66.75" customHeight="1">
      <c r="A5" s="171" t="s">
        <v>152</v>
      </c>
      <c r="B5" s="172" t="s">
        <v>861</v>
      </c>
      <c r="C5" s="172"/>
      <c r="D5" s="255" t="s">
        <v>949</v>
      </c>
      <c r="E5" s="584" t="s">
        <v>822</v>
      </c>
      <c r="F5" s="585">
        <v>2</v>
      </c>
      <c r="G5" s="97"/>
    </row>
    <row r="6" spans="1:19" ht="125">
      <c r="A6" s="171" t="s">
        <v>153</v>
      </c>
      <c r="B6" s="172" t="s">
        <v>1183</v>
      </c>
      <c r="C6" s="172" t="s">
        <v>1190</v>
      </c>
      <c r="D6" s="393"/>
    </row>
    <row r="7" spans="1:19">
      <c r="A7" s="171" t="s">
        <v>548</v>
      </c>
      <c r="B7" s="394" t="s">
        <v>1038</v>
      </c>
      <c r="C7" s="394"/>
      <c r="D7" s="393"/>
    </row>
    <row r="8" spans="1:19" ht="62.5">
      <c r="A8" s="34" t="s">
        <v>148</v>
      </c>
      <c r="B8" s="392" t="s">
        <v>1188</v>
      </c>
      <c r="C8" s="392"/>
      <c r="D8" s="255" t="s">
        <v>1189</v>
      </c>
    </row>
    <row r="9" spans="1:19" ht="13" thickBot="1">
      <c r="A9" s="36" t="s">
        <v>154</v>
      </c>
      <c r="B9" s="379" t="s">
        <v>1456</v>
      </c>
      <c r="C9" s="379"/>
      <c r="D9" s="380" t="s">
        <v>64</v>
      </c>
    </row>
    <row r="11" spans="1:19" ht="13" thickBot="1">
      <c r="A11" s="37"/>
      <c r="B11" s="98"/>
      <c r="C11" s="98"/>
      <c r="D11" s="37"/>
    </row>
    <row r="12" spans="1:19" ht="350">
      <c r="A12" s="256" t="s">
        <v>94</v>
      </c>
      <c r="B12" s="395" t="s">
        <v>1458</v>
      </c>
      <c r="C12" s="396" t="s">
        <v>162</v>
      </c>
      <c r="D12" s="397">
        <v>45320</v>
      </c>
    </row>
    <row r="13" spans="1:19" ht="16.149999999999999" customHeight="1" thickBot="1">
      <c r="A13" s="257" t="s">
        <v>155</v>
      </c>
      <c r="B13" s="398">
        <v>45625</v>
      </c>
      <c r="C13" s="399" t="s">
        <v>706</v>
      </c>
      <c r="D13" s="400">
        <v>45320</v>
      </c>
      <c r="G13" s="711" t="s">
        <v>1182</v>
      </c>
      <c r="H13" s="711"/>
      <c r="I13" s="711"/>
      <c r="S13" s="432" t="s">
        <v>1155</v>
      </c>
    </row>
    <row r="14" spans="1:19">
      <c r="A14" s="275" t="s">
        <v>708</v>
      </c>
      <c r="B14" s="400">
        <v>45320</v>
      </c>
      <c r="C14" s="401" t="s">
        <v>707</v>
      </c>
      <c r="D14" s="400">
        <v>45320</v>
      </c>
      <c r="G14" s="711"/>
      <c r="H14" s="711"/>
      <c r="I14" s="711"/>
      <c r="S14" s="432">
        <v>1</v>
      </c>
    </row>
    <row r="15" spans="1:19" ht="20.25" customHeight="1" thickBot="1">
      <c r="A15" s="258" t="s">
        <v>156</v>
      </c>
      <c r="B15" s="402" t="s">
        <v>1709</v>
      </c>
      <c r="C15" s="403" t="s">
        <v>950</v>
      </c>
      <c r="D15" s="400">
        <v>45320</v>
      </c>
      <c r="G15" s="583" t="s">
        <v>347</v>
      </c>
      <c r="H15" s="583" t="s">
        <v>970</v>
      </c>
      <c r="I15" s="583" t="s">
        <v>969</v>
      </c>
      <c r="S15" s="432">
        <v>0</v>
      </c>
    </row>
    <row r="16" spans="1:19" ht="14">
      <c r="A16" s="38"/>
      <c r="B16" s="39"/>
      <c r="C16" s="430" t="s">
        <v>951</v>
      </c>
      <c r="D16" s="431">
        <v>45322</v>
      </c>
      <c r="G16" s="583"/>
      <c r="H16" s="583" t="s">
        <v>1155</v>
      </c>
      <c r="I16" s="583"/>
      <c r="S16" s="432"/>
    </row>
    <row r="17" spans="1:9">
      <c r="B17" s="429"/>
      <c r="C17" s="172"/>
      <c r="D17" s="432"/>
      <c r="F17" s="32"/>
      <c r="G17" s="33"/>
    </row>
    <row r="18" spans="1:9">
      <c r="A18" s="434" t="s">
        <v>981</v>
      </c>
      <c r="B18" s="437"/>
      <c r="C18" s="436">
        <v>45354</v>
      </c>
      <c r="D18" s="435" t="s">
        <v>987</v>
      </c>
      <c r="E18" s="435" t="s">
        <v>722</v>
      </c>
      <c r="F18" s="32"/>
    </row>
    <row r="19" spans="1:9">
      <c r="A19" s="434" t="s">
        <v>982</v>
      </c>
      <c r="B19" s="437"/>
      <c r="C19" s="436">
        <v>45354</v>
      </c>
      <c r="D19" s="435" t="s">
        <v>988</v>
      </c>
      <c r="E19" s="435" t="s">
        <v>722</v>
      </c>
      <c r="F19" s="32"/>
    </row>
    <row r="20" spans="1:9">
      <c r="A20" s="434" t="s">
        <v>985</v>
      </c>
      <c r="B20" s="437">
        <v>1</v>
      </c>
      <c r="C20" s="651">
        <v>45551</v>
      </c>
      <c r="D20" s="435" t="s">
        <v>1457</v>
      </c>
      <c r="E20" s="435" t="s">
        <v>1708</v>
      </c>
      <c r="F20" s="32"/>
    </row>
    <row r="21" spans="1:9">
      <c r="A21" s="434" t="s">
        <v>986</v>
      </c>
      <c r="B21" s="437"/>
      <c r="C21" s="436">
        <v>45354</v>
      </c>
      <c r="D21" s="435" t="s">
        <v>989</v>
      </c>
      <c r="E21" s="435" t="s">
        <v>722</v>
      </c>
      <c r="F21" s="32"/>
    </row>
    <row r="22" spans="1:9">
      <c r="A22" s="434" t="s">
        <v>979</v>
      </c>
      <c r="B22" s="437"/>
      <c r="C22" s="436">
        <v>45354</v>
      </c>
      <c r="D22" s="435" t="s">
        <v>1151</v>
      </c>
      <c r="E22" s="435" t="s">
        <v>722</v>
      </c>
      <c r="F22" s="32"/>
    </row>
    <row r="23" spans="1:9">
      <c r="A23" s="433"/>
      <c r="D23" s="432"/>
      <c r="F23" s="32"/>
    </row>
    <row r="24" spans="1:9">
      <c r="A24" s="434" t="s">
        <v>983</v>
      </c>
      <c r="B24" s="437"/>
      <c r="C24" s="436">
        <v>45354</v>
      </c>
      <c r="D24" s="435" t="s">
        <v>987</v>
      </c>
      <c r="E24" s="435" t="s">
        <v>722</v>
      </c>
      <c r="F24" s="32"/>
    </row>
    <row r="25" spans="1:9">
      <c r="A25" s="434" t="s">
        <v>984</v>
      </c>
      <c r="B25" s="437"/>
      <c r="C25" s="436">
        <v>45354</v>
      </c>
      <c r="D25" s="435" t="s">
        <v>988</v>
      </c>
      <c r="E25" s="435" t="s">
        <v>722</v>
      </c>
      <c r="F25" s="32"/>
    </row>
    <row r="26" spans="1:9" ht="12" customHeight="1">
      <c r="A26" s="434" t="s">
        <v>990</v>
      </c>
      <c r="B26" s="437">
        <v>2</v>
      </c>
      <c r="C26" s="651">
        <v>45551</v>
      </c>
      <c r="D26" s="435" t="s">
        <v>1457</v>
      </c>
      <c r="E26" s="435" t="s">
        <v>1708</v>
      </c>
      <c r="F26" s="32"/>
    </row>
    <row r="27" spans="1:9">
      <c r="A27" s="434" t="s">
        <v>991</v>
      </c>
      <c r="B27" s="437"/>
      <c r="C27" s="436">
        <v>45354</v>
      </c>
      <c r="D27" s="435" t="s">
        <v>989</v>
      </c>
      <c r="E27" s="435" t="s">
        <v>722</v>
      </c>
      <c r="F27" s="32"/>
    </row>
    <row r="28" spans="1:9">
      <c r="A28" s="434" t="s">
        <v>980</v>
      </c>
      <c r="B28" s="437"/>
      <c r="C28" s="436">
        <v>45354</v>
      </c>
      <c r="D28" s="435" t="s">
        <v>1151</v>
      </c>
      <c r="E28" s="435" t="s">
        <v>722</v>
      </c>
      <c r="F28" s="32"/>
    </row>
    <row r="29" spans="1:9" ht="15" customHeight="1"/>
    <row r="30" spans="1:9" ht="48" customHeight="1">
      <c r="A30" s="33" t="s">
        <v>1000</v>
      </c>
      <c r="B30" s="571"/>
      <c r="C30" s="438">
        <v>45352</v>
      </c>
      <c r="D30" s="436">
        <v>45354</v>
      </c>
      <c r="E30" s="108" t="s">
        <v>347</v>
      </c>
      <c r="F30" s="713" t="s">
        <v>1003</v>
      </c>
      <c r="G30" s="714"/>
      <c r="H30" s="714"/>
      <c r="I30" s="715"/>
    </row>
    <row r="31" spans="1:9" ht="13.15" customHeight="1">
      <c r="A31" s="33" t="s">
        <v>1001</v>
      </c>
      <c r="B31" s="571"/>
      <c r="C31" s="438">
        <v>45352</v>
      </c>
      <c r="D31" s="436">
        <v>45354</v>
      </c>
      <c r="E31" s="108" t="s">
        <v>347</v>
      </c>
      <c r="F31" s="713" t="s">
        <v>1006</v>
      </c>
      <c r="G31" s="714"/>
      <c r="H31" s="714"/>
      <c r="I31" s="715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68" priority="1" operator="equal">
      <formula>""</formula>
    </cfRule>
    <cfRule type="cellIs" dxfId="167" priority="2" operator="equal">
      <formula>1</formula>
    </cfRule>
    <cfRule type="cellIs" dxfId="16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110"/>
  <sheetViews>
    <sheetView topLeftCell="F51" zoomScale="70" zoomScaleNormal="70" workbookViewId="0">
      <selection activeCell="M51" sqref="M51"/>
    </sheetView>
  </sheetViews>
  <sheetFormatPr defaultRowHeight="12.5"/>
  <cols>
    <col min="1" max="1" width="10.26953125" style="101" customWidth="1"/>
    <col min="2" max="2" width="9.54296875" style="33" customWidth="1"/>
    <col min="3" max="3" width="27.1796875" style="33" customWidth="1"/>
    <col min="4" max="8" width="9.7265625" style="33" customWidth="1"/>
    <col min="9" max="9" width="9.7265625" style="32" customWidth="1"/>
    <col min="10" max="10" width="43.1796875" style="33" customWidth="1"/>
    <col min="11" max="11" width="32.81640625" style="33" customWidth="1"/>
    <col min="12" max="12" width="25.1796875" style="33" customWidth="1"/>
    <col min="13" max="13" width="23" style="108" customWidth="1"/>
    <col min="14" max="14" width="39.7265625" style="33" customWidth="1"/>
    <col min="15" max="15" width="7.81640625" style="108" customWidth="1"/>
    <col min="16" max="16" width="45.81640625" style="33" customWidth="1"/>
    <col min="17" max="18" width="15.7265625" style="33" customWidth="1"/>
    <col min="19" max="19" width="10.7265625" style="33" customWidth="1"/>
    <col min="20" max="20" width="24.1796875" style="33" customWidth="1"/>
    <col min="21" max="21" width="17.7265625" style="33" customWidth="1"/>
    <col min="22" max="23" width="10.7265625" style="33" customWidth="1"/>
    <col min="24" max="45" width="2.7265625" style="33" customWidth="1"/>
    <col min="46" max="259" width="9.1796875" style="33"/>
    <col min="260" max="260" width="3.453125" style="33" customWidth="1"/>
    <col min="261" max="261" width="27.1796875" style="33" customWidth="1"/>
    <col min="262" max="262" width="11.54296875" style="33" customWidth="1"/>
    <col min="263" max="263" width="12.1796875" style="33" customWidth="1"/>
    <col min="264" max="264" width="10.54296875" style="33" customWidth="1"/>
    <col min="265" max="265" width="11.54296875" style="33" customWidth="1"/>
    <col min="266" max="266" width="21.453125" style="33" customWidth="1"/>
    <col min="267" max="267" width="28.26953125" style="33" customWidth="1"/>
    <col min="268" max="268" width="11" style="33" customWidth="1"/>
    <col min="269" max="269" width="23" style="33" customWidth="1"/>
    <col min="270" max="270" width="18.81640625" style="33" customWidth="1"/>
    <col min="271" max="301" width="2.7265625" style="33" customWidth="1"/>
    <col min="302" max="515" width="9.1796875" style="33"/>
    <col min="516" max="516" width="3.453125" style="33" customWidth="1"/>
    <col min="517" max="517" width="27.1796875" style="33" customWidth="1"/>
    <col min="518" max="518" width="11.54296875" style="33" customWidth="1"/>
    <col min="519" max="519" width="12.1796875" style="33" customWidth="1"/>
    <col min="520" max="520" width="10.54296875" style="33" customWidth="1"/>
    <col min="521" max="521" width="11.54296875" style="33" customWidth="1"/>
    <col min="522" max="522" width="21.453125" style="33" customWidth="1"/>
    <col min="523" max="523" width="28.26953125" style="33" customWidth="1"/>
    <col min="524" max="524" width="11" style="33" customWidth="1"/>
    <col min="525" max="525" width="23" style="33" customWidth="1"/>
    <col min="526" max="526" width="18.81640625" style="33" customWidth="1"/>
    <col min="527" max="557" width="2.7265625" style="33" customWidth="1"/>
    <col min="558" max="771" width="9.1796875" style="33"/>
    <col min="772" max="772" width="3.453125" style="33" customWidth="1"/>
    <col min="773" max="773" width="27.1796875" style="33" customWidth="1"/>
    <col min="774" max="774" width="11.54296875" style="33" customWidth="1"/>
    <col min="775" max="775" width="12.1796875" style="33" customWidth="1"/>
    <col min="776" max="776" width="10.54296875" style="33" customWidth="1"/>
    <col min="777" max="777" width="11.54296875" style="33" customWidth="1"/>
    <col min="778" max="778" width="21.453125" style="33" customWidth="1"/>
    <col min="779" max="779" width="28.26953125" style="33" customWidth="1"/>
    <col min="780" max="780" width="11" style="33" customWidth="1"/>
    <col min="781" max="781" width="23" style="33" customWidth="1"/>
    <col min="782" max="782" width="18.81640625" style="33" customWidth="1"/>
    <col min="783" max="813" width="2.7265625" style="33" customWidth="1"/>
    <col min="814" max="1027" width="9.1796875" style="33"/>
    <col min="1028" max="1028" width="3.453125" style="33" customWidth="1"/>
    <col min="1029" max="1029" width="27.1796875" style="33" customWidth="1"/>
    <col min="1030" max="1030" width="11.54296875" style="33" customWidth="1"/>
    <col min="1031" max="1031" width="12.1796875" style="33" customWidth="1"/>
    <col min="1032" max="1032" width="10.54296875" style="33" customWidth="1"/>
    <col min="1033" max="1033" width="11.54296875" style="33" customWidth="1"/>
    <col min="1034" max="1034" width="21.453125" style="33" customWidth="1"/>
    <col min="1035" max="1035" width="28.26953125" style="33" customWidth="1"/>
    <col min="1036" max="1036" width="11" style="33" customWidth="1"/>
    <col min="1037" max="1037" width="23" style="33" customWidth="1"/>
    <col min="1038" max="1038" width="18.81640625" style="33" customWidth="1"/>
    <col min="1039" max="1069" width="2.7265625" style="33" customWidth="1"/>
    <col min="1070" max="1283" width="9.1796875" style="33"/>
    <col min="1284" max="1284" width="3.453125" style="33" customWidth="1"/>
    <col min="1285" max="1285" width="27.1796875" style="33" customWidth="1"/>
    <col min="1286" max="1286" width="11.54296875" style="33" customWidth="1"/>
    <col min="1287" max="1287" width="12.1796875" style="33" customWidth="1"/>
    <col min="1288" max="1288" width="10.54296875" style="33" customWidth="1"/>
    <col min="1289" max="1289" width="11.54296875" style="33" customWidth="1"/>
    <col min="1290" max="1290" width="21.453125" style="33" customWidth="1"/>
    <col min="1291" max="1291" width="28.26953125" style="33" customWidth="1"/>
    <col min="1292" max="1292" width="11" style="33" customWidth="1"/>
    <col min="1293" max="1293" width="23" style="33" customWidth="1"/>
    <col min="1294" max="1294" width="18.81640625" style="33" customWidth="1"/>
    <col min="1295" max="1325" width="2.7265625" style="33" customWidth="1"/>
    <col min="1326" max="1539" width="9.1796875" style="33"/>
    <col min="1540" max="1540" width="3.453125" style="33" customWidth="1"/>
    <col min="1541" max="1541" width="27.1796875" style="33" customWidth="1"/>
    <col min="1542" max="1542" width="11.54296875" style="33" customWidth="1"/>
    <col min="1543" max="1543" width="12.1796875" style="33" customWidth="1"/>
    <col min="1544" max="1544" width="10.54296875" style="33" customWidth="1"/>
    <col min="1545" max="1545" width="11.54296875" style="33" customWidth="1"/>
    <col min="1546" max="1546" width="21.453125" style="33" customWidth="1"/>
    <col min="1547" max="1547" width="28.26953125" style="33" customWidth="1"/>
    <col min="1548" max="1548" width="11" style="33" customWidth="1"/>
    <col min="1549" max="1549" width="23" style="33" customWidth="1"/>
    <col min="1550" max="1550" width="18.81640625" style="33" customWidth="1"/>
    <col min="1551" max="1581" width="2.7265625" style="33" customWidth="1"/>
    <col min="1582" max="1795" width="9.1796875" style="33"/>
    <col min="1796" max="1796" width="3.453125" style="33" customWidth="1"/>
    <col min="1797" max="1797" width="27.1796875" style="33" customWidth="1"/>
    <col min="1798" max="1798" width="11.54296875" style="33" customWidth="1"/>
    <col min="1799" max="1799" width="12.1796875" style="33" customWidth="1"/>
    <col min="1800" max="1800" width="10.54296875" style="33" customWidth="1"/>
    <col min="1801" max="1801" width="11.54296875" style="33" customWidth="1"/>
    <col min="1802" max="1802" width="21.453125" style="33" customWidth="1"/>
    <col min="1803" max="1803" width="28.26953125" style="33" customWidth="1"/>
    <col min="1804" max="1804" width="11" style="33" customWidth="1"/>
    <col min="1805" max="1805" width="23" style="33" customWidth="1"/>
    <col min="1806" max="1806" width="18.81640625" style="33" customWidth="1"/>
    <col min="1807" max="1837" width="2.7265625" style="33" customWidth="1"/>
    <col min="1838" max="2051" width="9.1796875" style="33"/>
    <col min="2052" max="2052" width="3.453125" style="33" customWidth="1"/>
    <col min="2053" max="2053" width="27.1796875" style="33" customWidth="1"/>
    <col min="2054" max="2054" width="11.54296875" style="33" customWidth="1"/>
    <col min="2055" max="2055" width="12.1796875" style="33" customWidth="1"/>
    <col min="2056" max="2056" width="10.54296875" style="33" customWidth="1"/>
    <col min="2057" max="2057" width="11.54296875" style="33" customWidth="1"/>
    <col min="2058" max="2058" width="21.453125" style="33" customWidth="1"/>
    <col min="2059" max="2059" width="28.26953125" style="33" customWidth="1"/>
    <col min="2060" max="2060" width="11" style="33" customWidth="1"/>
    <col min="2061" max="2061" width="23" style="33" customWidth="1"/>
    <col min="2062" max="2062" width="18.81640625" style="33" customWidth="1"/>
    <col min="2063" max="2093" width="2.7265625" style="33" customWidth="1"/>
    <col min="2094" max="2307" width="9.1796875" style="33"/>
    <col min="2308" max="2308" width="3.453125" style="33" customWidth="1"/>
    <col min="2309" max="2309" width="27.1796875" style="33" customWidth="1"/>
    <col min="2310" max="2310" width="11.54296875" style="33" customWidth="1"/>
    <col min="2311" max="2311" width="12.1796875" style="33" customWidth="1"/>
    <col min="2312" max="2312" width="10.54296875" style="33" customWidth="1"/>
    <col min="2313" max="2313" width="11.54296875" style="33" customWidth="1"/>
    <col min="2314" max="2314" width="21.453125" style="33" customWidth="1"/>
    <col min="2315" max="2315" width="28.26953125" style="33" customWidth="1"/>
    <col min="2316" max="2316" width="11" style="33" customWidth="1"/>
    <col min="2317" max="2317" width="23" style="33" customWidth="1"/>
    <col min="2318" max="2318" width="18.81640625" style="33" customWidth="1"/>
    <col min="2319" max="2349" width="2.7265625" style="33" customWidth="1"/>
    <col min="2350" max="2563" width="9.1796875" style="33"/>
    <col min="2564" max="2564" width="3.453125" style="33" customWidth="1"/>
    <col min="2565" max="2565" width="27.1796875" style="33" customWidth="1"/>
    <col min="2566" max="2566" width="11.54296875" style="33" customWidth="1"/>
    <col min="2567" max="2567" width="12.1796875" style="33" customWidth="1"/>
    <col min="2568" max="2568" width="10.54296875" style="33" customWidth="1"/>
    <col min="2569" max="2569" width="11.54296875" style="33" customWidth="1"/>
    <col min="2570" max="2570" width="21.453125" style="33" customWidth="1"/>
    <col min="2571" max="2571" width="28.26953125" style="33" customWidth="1"/>
    <col min="2572" max="2572" width="11" style="33" customWidth="1"/>
    <col min="2573" max="2573" width="23" style="33" customWidth="1"/>
    <col min="2574" max="2574" width="18.81640625" style="33" customWidth="1"/>
    <col min="2575" max="2605" width="2.7265625" style="33" customWidth="1"/>
    <col min="2606" max="2819" width="9.1796875" style="33"/>
    <col min="2820" max="2820" width="3.453125" style="33" customWidth="1"/>
    <col min="2821" max="2821" width="27.1796875" style="33" customWidth="1"/>
    <col min="2822" max="2822" width="11.54296875" style="33" customWidth="1"/>
    <col min="2823" max="2823" width="12.1796875" style="33" customWidth="1"/>
    <col min="2824" max="2824" width="10.54296875" style="33" customWidth="1"/>
    <col min="2825" max="2825" width="11.54296875" style="33" customWidth="1"/>
    <col min="2826" max="2826" width="21.453125" style="33" customWidth="1"/>
    <col min="2827" max="2827" width="28.26953125" style="33" customWidth="1"/>
    <col min="2828" max="2828" width="11" style="33" customWidth="1"/>
    <col min="2829" max="2829" width="23" style="33" customWidth="1"/>
    <col min="2830" max="2830" width="18.81640625" style="33" customWidth="1"/>
    <col min="2831" max="2861" width="2.7265625" style="33" customWidth="1"/>
    <col min="2862" max="3075" width="9.1796875" style="33"/>
    <col min="3076" max="3076" width="3.453125" style="33" customWidth="1"/>
    <col min="3077" max="3077" width="27.1796875" style="33" customWidth="1"/>
    <col min="3078" max="3078" width="11.54296875" style="33" customWidth="1"/>
    <col min="3079" max="3079" width="12.1796875" style="33" customWidth="1"/>
    <col min="3080" max="3080" width="10.54296875" style="33" customWidth="1"/>
    <col min="3081" max="3081" width="11.54296875" style="33" customWidth="1"/>
    <col min="3082" max="3082" width="21.453125" style="33" customWidth="1"/>
    <col min="3083" max="3083" width="28.26953125" style="33" customWidth="1"/>
    <col min="3084" max="3084" width="11" style="33" customWidth="1"/>
    <col min="3085" max="3085" width="23" style="33" customWidth="1"/>
    <col min="3086" max="3086" width="18.81640625" style="33" customWidth="1"/>
    <col min="3087" max="3117" width="2.7265625" style="33" customWidth="1"/>
    <col min="3118" max="3331" width="9.1796875" style="33"/>
    <col min="3332" max="3332" width="3.453125" style="33" customWidth="1"/>
    <col min="3333" max="3333" width="27.1796875" style="33" customWidth="1"/>
    <col min="3334" max="3334" width="11.54296875" style="33" customWidth="1"/>
    <col min="3335" max="3335" width="12.1796875" style="33" customWidth="1"/>
    <col min="3336" max="3336" width="10.54296875" style="33" customWidth="1"/>
    <col min="3337" max="3337" width="11.54296875" style="33" customWidth="1"/>
    <col min="3338" max="3338" width="21.453125" style="33" customWidth="1"/>
    <col min="3339" max="3339" width="28.26953125" style="33" customWidth="1"/>
    <col min="3340" max="3340" width="11" style="33" customWidth="1"/>
    <col min="3341" max="3341" width="23" style="33" customWidth="1"/>
    <col min="3342" max="3342" width="18.81640625" style="33" customWidth="1"/>
    <col min="3343" max="3373" width="2.7265625" style="33" customWidth="1"/>
    <col min="3374" max="3587" width="9.1796875" style="33"/>
    <col min="3588" max="3588" width="3.453125" style="33" customWidth="1"/>
    <col min="3589" max="3589" width="27.1796875" style="33" customWidth="1"/>
    <col min="3590" max="3590" width="11.54296875" style="33" customWidth="1"/>
    <col min="3591" max="3591" width="12.1796875" style="33" customWidth="1"/>
    <col min="3592" max="3592" width="10.54296875" style="33" customWidth="1"/>
    <col min="3593" max="3593" width="11.54296875" style="33" customWidth="1"/>
    <col min="3594" max="3594" width="21.453125" style="33" customWidth="1"/>
    <col min="3595" max="3595" width="28.26953125" style="33" customWidth="1"/>
    <col min="3596" max="3596" width="11" style="33" customWidth="1"/>
    <col min="3597" max="3597" width="23" style="33" customWidth="1"/>
    <col min="3598" max="3598" width="18.81640625" style="33" customWidth="1"/>
    <col min="3599" max="3629" width="2.7265625" style="33" customWidth="1"/>
    <col min="3630" max="3843" width="9.1796875" style="33"/>
    <col min="3844" max="3844" width="3.453125" style="33" customWidth="1"/>
    <col min="3845" max="3845" width="27.1796875" style="33" customWidth="1"/>
    <col min="3846" max="3846" width="11.54296875" style="33" customWidth="1"/>
    <col min="3847" max="3847" width="12.1796875" style="33" customWidth="1"/>
    <col min="3848" max="3848" width="10.54296875" style="33" customWidth="1"/>
    <col min="3849" max="3849" width="11.54296875" style="33" customWidth="1"/>
    <col min="3850" max="3850" width="21.453125" style="33" customWidth="1"/>
    <col min="3851" max="3851" width="28.26953125" style="33" customWidth="1"/>
    <col min="3852" max="3852" width="11" style="33" customWidth="1"/>
    <col min="3853" max="3853" width="23" style="33" customWidth="1"/>
    <col min="3854" max="3854" width="18.81640625" style="33" customWidth="1"/>
    <col min="3855" max="3885" width="2.7265625" style="33" customWidth="1"/>
    <col min="3886" max="4099" width="9.1796875" style="33"/>
    <col min="4100" max="4100" width="3.453125" style="33" customWidth="1"/>
    <col min="4101" max="4101" width="27.1796875" style="33" customWidth="1"/>
    <col min="4102" max="4102" width="11.54296875" style="33" customWidth="1"/>
    <col min="4103" max="4103" width="12.1796875" style="33" customWidth="1"/>
    <col min="4104" max="4104" width="10.54296875" style="33" customWidth="1"/>
    <col min="4105" max="4105" width="11.54296875" style="33" customWidth="1"/>
    <col min="4106" max="4106" width="21.453125" style="33" customWidth="1"/>
    <col min="4107" max="4107" width="28.26953125" style="33" customWidth="1"/>
    <col min="4108" max="4108" width="11" style="33" customWidth="1"/>
    <col min="4109" max="4109" width="23" style="33" customWidth="1"/>
    <col min="4110" max="4110" width="18.81640625" style="33" customWidth="1"/>
    <col min="4111" max="4141" width="2.7265625" style="33" customWidth="1"/>
    <col min="4142" max="4355" width="9.1796875" style="33"/>
    <col min="4356" max="4356" width="3.453125" style="33" customWidth="1"/>
    <col min="4357" max="4357" width="27.1796875" style="33" customWidth="1"/>
    <col min="4358" max="4358" width="11.54296875" style="33" customWidth="1"/>
    <col min="4359" max="4359" width="12.1796875" style="33" customWidth="1"/>
    <col min="4360" max="4360" width="10.54296875" style="33" customWidth="1"/>
    <col min="4361" max="4361" width="11.54296875" style="33" customWidth="1"/>
    <col min="4362" max="4362" width="21.453125" style="33" customWidth="1"/>
    <col min="4363" max="4363" width="28.26953125" style="33" customWidth="1"/>
    <col min="4364" max="4364" width="11" style="33" customWidth="1"/>
    <col min="4365" max="4365" width="23" style="33" customWidth="1"/>
    <col min="4366" max="4366" width="18.81640625" style="33" customWidth="1"/>
    <col min="4367" max="4397" width="2.7265625" style="33" customWidth="1"/>
    <col min="4398" max="4611" width="9.1796875" style="33"/>
    <col min="4612" max="4612" width="3.453125" style="33" customWidth="1"/>
    <col min="4613" max="4613" width="27.1796875" style="33" customWidth="1"/>
    <col min="4614" max="4614" width="11.54296875" style="33" customWidth="1"/>
    <col min="4615" max="4615" width="12.1796875" style="33" customWidth="1"/>
    <col min="4616" max="4616" width="10.54296875" style="33" customWidth="1"/>
    <col min="4617" max="4617" width="11.54296875" style="33" customWidth="1"/>
    <col min="4618" max="4618" width="21.453125" style="33" customWidth="1"/>
    <col min="4619" max="4619" width="28.26953125" style="33" customWidth="1"/>
    <col min="4620" max="4620" width="11" style="33" customWidth="1"/>
    <col min="4621" max="4621" width="23" style="33" customWidth="1"/>
    <col min="4622" max="4622" width="18.81640625" style="33" customWidth="1"/>
    <col min="4623" max="4653" width="2.7265625" style="33" customWidth="1"/>
    <col min="4654" max="4867" width="9.1796875" style="33"/>
    <col min="4868" max="4868" width="3.453125" style="33" customWidth="1"/>
    <col min="4869" max="4869" width="27.1796875" style="33" customWidth="1"/>
    <col min="4870" max="4870" width="11.54296875" style="33" customWidth="1"/>
    <col min="4871" max="4871" width="12.1796875" style="33" customWidth="1"/>
    <col min="4872" max="4872" width="10.54296875" style="33" customWidth="1"/>
    <col min="4873" max="4873" width="11.54296875" style="33" customWidth="1"/>
    <col min="4874" max="4874" width="21.453125" style="33" customWidth="1"/>
    <col min="4875" max="4875" width="28.26953125" style="33" customWidth="1"/>
    <col min="4876" max="4876" width="11" style="33" customWidth="1"/>
    <col min="4877" max="4877" width="23" style="33" customWidth="1"/>
    <col min="4878" max="4878" width="18.81640625" style="33" customWidth="1"/>
    <col min="4879" max="4909" width="2.7265625" style="33" customWidth="1"/>
    <col min="4910" max="5123" width="9.1796875" style="33"/>
    <col min="5124" max="5124" width="3.453125" style="33" customWidth="1"/>
    <col min="5125" max="5125" width="27.1796875" style="33" customWidth="1"/>
    <col min="5126" max="5126" width="11.54296875" style="33" customWidth="1"/>
    <col min="5127" max="5127" width="12.1796875" style="33" customWidth="1"/>
    <col min="5128" max="5128" width="10.54296875" style="33" customWidth="1"/>
    <col min="5129" max="5129" width="11.54296875" style="33" customWidth="1"/>
    <col min="5130" max="5130" width="21.453125" style="33" customWidth="1"/>
    <col min="5131" max="5131" width="28.26953125" style="33" customWidth="1"/>
    <col min="5132" max="5132" width="11" style="33" customWidth="1"/>
    <col min="5133" max="5133" width="23" style="33" customWidth="1"/>
    <col min="5134" max="5134" width="18.81640625" style="33" customWidth="1"/>
    <col min="5135" max="5165" width="2.7265625" style="33" customWidth="1"/>
    <col min="5166" max="5379" width="9.1796875" style="33"/>
    <col min="5380" max="5380" width="3.453125" style="33" customWidth="1"/>
    <col min="5381" max="5381" width="27.1796875" style="33" customWidth="1"/>
    <col min="5382" max="5382" width="11.54296875" style="33" customWidth="1"/>
    <col min="5383" max="5383" width="12.1796875" style="33" customWidth="1"/>
    <col min="5384" max="5384" width="10.54296875" style="33" customWidth="1"/>
    <col min="5385" max="5385" width="11.54296875" style="33" customWidth="1"/>
    <col min="5386" max="5386" width="21.453125" style="33" customWidth="1"/>
    <col min="5387" max="5387" width="28.26953125" style="33" customWidth="1"/>
    <col min="5388" max="5388" width="11" style="33" customWidth="1"/>
    <col min="5389" max="5389" width="23" style="33" customWidth="1"/>
    <col min="5390" max="5390" width="18.81640625" style="33" customWidth="1"/>
    <col min="5391" max="5421" width="2.7265625" style="33" customWidth="1"/>
    <col min="5422" max="5635" width="9.1796875" style="33"/>
    <col min="5636" max="5636" width="3.453125" style="33" customWidth="1"/>
    <col min="5637" max="5637" width="27.1796875" style="33" customWidth="1"/>
    <col min="5638" max="5638" width="11.54296875" style="33" customWidth="1"/>
    <col min="5639" max="5639" width="12.1796875" style="33" customWidth="1"/>
    <col min="5640" max="5640" width="10.54296875" style="33" customWidth="1"/>
    <col min="5641" max="5641" width="11.54296875" style="33" customWidth="1"/>
    <col min="5642" max="5642" width="21.453125" style="33" customWidth="1"/>
    <col min="5643" max="5643" width="28.26953125" style="33" customWidth="1"/>
    <col min="5644" max="5644" width="11" style="33" customWidth="1"/>
    <col min="5645" max="5645" width="23" style="33" customWidth="1"/>
    <col min="5646" max="5646" width="18.81640625" style="33" customWidth="1"/>
    <col min="5647" max="5677" width="2.7265625" style="33" customWidth="1"/>
    <col min="5678" max="5891" width="9.1796875" style="33"/>
    <col min="5892" max="5892" width="3.453125" style="33" customWidth="1"/>
    <col min="5893" max="5893" width="27.1796875" style="33" customWidth="1"/>
    <col min="5894" max="5894" width="11.54296875" style="33" customWidth="1"/>
    <col min="5895" max="5895" width="12.1796875" style="33" customWidth="1"/>
    <col min="5896" max="5896" width="10.54296875" style="33" customWidth="1"/>
    <col min="5897" max="5897" width="11.54296875" style="33" customWidth="1"/>
    <col min="5898" max="5898" width="21.453125" style="33" customWidth="1"/>
    <col min="5899" max="5899" width="28.26953125" style="33" customWidth="1"/>
    <col min="5900" max="5900" width="11" style="33" customWidth="1"/>
    <col min="5901" max="5901" width="23" style="33" customWidth="1"/>
    <col min="5902" max="5902" width="18.81640625" style="33" customWidth="1"/>
    <col min="5903" max="5933" width="2.7265625" style="33" customWidth="1"/>
    <col min="5934" max="6147" width="9.1796875" style="33"/>
    <col min="6148" max="6148" width="3.453125" style="33" customWidth="1"/>
    <col min="6149" max="6149" width="27.1796875" style="33" customWidth="1"/>
    <col min="6150" max="6150" width="11.54296875" style="33" customWidth="1"/>
    <col min="6151" max="6151" width="12.1796875" style="33" customWidth="1"/>
    <col min="6152" max="6152" width="10.54296875" style="33" customWidth="1"/>
    <col min="6153" max="6153" width="11.54296875" style="33" customWidth="1"/>
    <col min="6154" max="6154" width="21.453125" style="33" customWidth="1"/>
    <col min="6155" max="6155" width="28.26953125" style="33" customWidth="1"/>
    <col min="6156" max="6156" width="11" style="33" customWidth="1"/>
    <col min="6157" max="6157" width="23" style="33" customWidth="1"/>
    <col min="6158" max="6158" width="18.81640625" style="33" customWidth="1"/>
    <col min="6159" max="6189" width="2.7265625" style="33" customWidth="1"/>
    <col min="6190" max="6403" width="9.1796875" style="33"/>
    <col min="6404" max="6404" width="3.453125" style="33" customWidth="1"/>
    <col min="6405" max="6405" width="27.1796875" style="33" customWidth="1"/>
    <col min="6406" max="6406" width="11.54296875" style="33" customWidth="1"/>
    <col min="6407" max="6407" width="12.1796875" style="33" customWidth="1"/>
    <col min="6408" max="6408" width="10.54296875" style="33" customWidth="1"/>
    <col min="6409" max="6409" width="11.54296875" style="33" customWidth="1"/>
    <col min="6410" max="6410" width="21.453125" style="33" customWidth="1"/>
    <col min="6411" max="6411" width="28.26953125" style="33" customWidth="1"/>
    <col min="6412" max="6412" width="11" style="33" customWidth="1"/>
    <col min="6413" max="6413" width="23" style="33" customWidth="1"/>
    <col min="6414" max="6414" width="18.81640625" style="33" customWidth="1"/>
    <col min="6415" max="6445" width="2.7265625" style="33" customWidth="1"/>
    <col min="6446" max="6659" width="9.1796875" style="33"/>
    <col min="6660" max="6660" width="3.453125" style="33" customWidth="1"/>
    <col min="6661" max="6661" width="27.1796875" style="33" customWidth="1"/>
    <col min="6662" max="6662" width="11.54296875" style="33" customWidth="1"/>
    <col min="6663" max="6663" width="12.1796875" style="33" customWidth="1"/>
    <col min="6664" max="6664" width="10.54296875" style="33" customWidth="1"/>
    <col min="6665" max="6665" width="11.54296875" style="33" customWidth="1"/>
    <col min="6666" max="6666" width="21.453125" style="33" customWidth="1"/>
    <col min="6667" max="6667" width="28.26953125" style="33" customWidth="1"/>
    <col min="6668" max="6668" width="11" style="33" customWidth="1"/>
    <col min="6669" max="6669" width="23" style="33" customWidth="1"/>
    <col min="6670" max="6670" width="18.81640625" style="33" customWidth="1"/>
    <col min="6671" max="6701" width="2.7265625" style="33" customWidth="1"/>
    <col min="6702" max="6915" width="9.1796875" style="33"/>
    <col min="6916" max="6916" width="3.453125" style="33" customWidth="1"/>
    <col min="6917" max="6917" width="27.1796875" style="33" customWidth="1"/>
    <col min="6918" max="6918" width="11.54296875" style="33" customWidth="1"/>
    <col min="6919" max="6919" width="12.1796875" style="33" customWidth="1"/>
    <col min="6920" max="6920" width="10.54296875" style="33" customWidth="1"/>
    <col min="6921" max="6921" width="11.54296875" style="33" customWidth="1"/>
    <col min="6922" max="6922" width="21.453125" style="33" customWidth="1"/>
    <col min="6923" max="6923" width="28.26953125" style="33" customWidth="1"/>
    <col min="6924" max="6924" width="11" style="33" customWidth="1"/>
    <col min="6925" max="6925" width="23" style="33" customWidth="1"/>
    <col min="6926" max="6926" width="18.81640625" style="33" customWidth="1"/>
    <col min="6927" max="6957" width="2.7265625" style="33" customWidth="1"/>
    <col min="6958" max="7171" width="9.1796875" style="33"/>
    <col min="7172" max="7172" width="3.453125" style="33" customWidth="1"/>
    <col min="7173" max="7173" width="27.1796875" style="33" customWidth="1"/>
    <col min="7174" max="7174" width="11.54296875" style="33" customWidth="1"/>
    <col min="7175" max="7175" width="12.1796875" style="33" customWidth="1"/>
    <col min="7176" max="7176" width="10.54296875" style="33" customWidth="1"/>
    <col min="7177" max="7177" width="11.54296875" style="33" customWidth="1"/>
    <col min="7178" max="7178" width="21.453125" style="33" customWidth="1"/>
    <col min="7179" max="7179" width="28.26953125" style="33" customWidth="1"/>
    <col min="7180" max="7180" width="11" style="33" customWidth="1"/>
    <col min="7181" max="7181" width="23" style="33" customWidth="1"/>
    <col min="7182" max="7182" width="18.81640625" style="33" customWidth="1"/>
    <col min="7183" max="7213" width="2.7265625" style="33" customWidth="1"/>
    <col min="7214" max="7427" width="9.1796875" style="33"/>
    <col min="7428" max="7428" width="3.453125" style="33" customWidth="1"/>
    <col min="7429" max="7429" width="27.1796875" style="33" customWidth="1"/>
    <col min="7430" max="7430" width="11.54296875" style="33" customWidth="1"/>
    <col min="7431" max="7431" width="12.1796875" style="33" customWidth="1"/>
    <col min="7432" max="7432" width="10.54296875" style="33" customWidth="1"/>
    <col min="7433" max="7433" width="11.54296875" style="33" customWidth="1"/>
    <col min="7434" max="7434" width="21.453125" style="33" customWidth="1"/>
    <col min="7435" max="7435" width="28.26953125" style="33" customWidth="1"/>
    <col min="7436" max="7436" width="11" style="33" customWidth="1"/>
    <col min="7437" max="7437" width="23" style="33" customWidth="1"/>
    <col min="7438" max="7438" width="18.81640625" style="33" customWidth="1"/>
    <col min="7439" max="7469" width="2.7265625" style="33" customWidth="1"/>
    <col min="7470" max="7683" width="9.1796875" style="33"/>
    <col min="7684" max="7684" width="3.453125" style="33" customWidth="1"/>
    <col min="7685" max="7685" width="27.1796875" style="33" customWidth="1"/>
    <col min="7686" max="7686" width="11.54296875" style="33" customWidth="1"/>
    <col min="7687" max="7687" width="12.1796875" style="33" customWidth="1"/>
    <col min="7688" max="7688" width="10.54296875" style="33" customWidth="1"/>
    <col min="7689" max="7689" width="11.54296875" style="33" customWidth="1"/>
    <col min="7690" max="7690" width="21.453125" style="33" customWidth="1"/>
    <col min="7691" max="7691" width="28.26953125" style="33" customWidth="1"/>
    <col min="7692" max="7692" width="11" style="33" customWidth="1"/>
    <col min="7693" max="7693" width="23" style="33" customWidth="1"/>
    <col min="7694" max="7694" width="18.81640625" style="33" customWidth="1"/>
    <col min="7695" max="7725" width="2.7265625" style="33" customWidth="1"/>
    <col min="7726" max="7939" width="9.1796875" style="33"/>
    <col min="7940" max="7940" width="3.453125" style="33" customWidth="1"/>
    <col min="7941" max="7941" width="27.1796875" style="33" customWidth="1"/>
    <col min="7942" max="7942" width="11.54296875" style="33" customWidth="1"/>
    <col min="7943" max="7943" width="12.1796875" style="33" customWidth="1"/>
    <col min="7944" max="7944" width="10.54296875" style="33" customWidth="1"/>
    <col min="7945" max="7945" width="11.54296875" style="33" customWidth="1"/>
    <col min="7946" max="7946" width="21.453125" style="33" customWidth="1"/>
    <col min="7947" max="7947" width="28.26953125" style="33" customWidth="1"/>
    <col min="7948" max="7948" width="11" style="33" customWidth="1"/>
    <col min="7949" max="7949" width="23" style="33" customWidth="1"/>
    <col min="7950" max="7950" width="18.81640625" style="33" customWidth="1"/>
    <col min="7951" max="7981" width="2.7265625" style="33" customWidth="1"/>
    <col min="7982" max="8195" width="9.1796875" style="33"/>
    <col min="8196" max="8196" width="3.453125" style="33" customWidth="1"/>
    <col min="8197" max="8197" width="27.1796875" style="33" customWidth="1"/>
    <col min="8198" max="8198" width="11.54296875" style="33" customWidth="1"/>
    <col min="8199" max="8199" width="12.1796875" style="33" customWidth="1"/>
    <col min="8200" max="8200" width="10.54296875" style="33" customWidth="1"/>
    <col min="8201" max="8201" width="11.54296875" style="33" customWidth="1"/>
    <col min="8202" max="8202" width="21.453125" style="33" customWidth="1"/>
    <col min="8203" max="8203" width="28.26953125" style="33" customWidth="1"/>
    <col min="8204" max="8204" width="11" style="33" customWidth="1"/>
    <col min="8205" max="8205" width="23" style="33" customWidth="1"/>
    <col min="8206" max="8206" width="18.81640625" style="33" customWidth="1"/>
    <col min="8207" max="8237" width="2.7265625" style="33" customWidth="1"/>
    <col min="8238" max="8451" width="9.1796875" style="33"/>
    <col min="8452" max="8452" width="3.453125" style="33" customWidth="1"/>
    <col min="8453" max="8453" width="27.1796875" style="33" customWidth="1"/>
    <col min="8454" max="8454" width="11.54296875" style="33" customWidth="1"/>
    <col min="8455" max="8455" width="12.1796875" style="33" customWidth="1"/>
    <col min="8456" max="8456" width="10.54296875" style="33" customWidth="1"/>
    <col min="8457" max="8457" width="11.54296875" style="33" customWidth="1"/>
    <col min="8458" max="8458" width="21.453125" style="33" customWidth="1"/>
    <col min="8459" max="8459" width="28.26953125" style="33" customWidth="1"/>
    <col min="8460" max="8460" width="11" style="33" customWidth="1"/>
    <col min="8461" max="8461" width="23" style="33" customWidth="1"/>
    <col min="8462" max="8462" width="18.81640625" style="33" customWidth="1"/>
    <col min="8463" max="8493" width="2.7265625" style="33" customWidth="1"/>
    <col min="8494" max="8707" width="9.1796875" style="33"/>
    <col min="8708" max="8708" width="3.453125" style="33" customWidth="1"/>
    <col min="8709" max="8709" width="27.1796875" style="33" customWidth="1"/>
    <col min="8710" max="8710" width="11.54296875" style="33" customWidth="1"/>
    <col min="8711" max="8711" width="12.1796875" style="33" customWidth="1"/>
    <col min="8712" max="8712" width="10.54296875" style="33" customWidth="1"/>
    <col min="8713" max="8713" width="11.54296875" style="33" customWidth="1"/>
    <col min="8714" max="8714" width="21.453125" style="33" customWidth="1"/>
    <col min="8715" max="8715" width="28.26953125" style="33" customWidth="1"/>
    <col min="8716" max="8716" width="11" style="33" customWidth="1"/>
    <col min="8717" max="8717" width="23" style="33" customWidth="1"/>
    <col min="8718" max="8718" width="18.81640625" style="33" customWidth="1"/>
    <col min="8719" max="8749" width="2.7265625" style="33" customWidth="1"/>
    <col min="8750" max="8963" width="9.1796875" style="33"/>
    <col min="8964" max="8964" width="3.453125" style="33" customWidth="1"/>
    <col min="8965" max="8965" width="27.1796875" style="33" customWidth="1"/>
    <col min="8966" max="8966" width="11.54296875" style="33" customWidth="1"/>
    <col min="8967" max="8967" width="12.1796875" style="33" customWidth="1"/>
    <col min="8968" max="8968" width="10.54296875" style="33" customWidth="1"/>
    <col min="8969" max="8969" width="11.54296875" style="33" customWidth="1"/>
    <col min="8970" max="8970" width="21.453125" style="33" customWidth="1"/>
    <col min="8971" max="8971" width="28.26953125" style="33" customWidth="1"/>
    <col min="8972" max="8972" width="11" style="33" customWidth="1"/>
    <col min="8973" max="8973" width="23" style="33" customWidth="1"/>
    <col min="8974" max="8974" width="18.81640625" style="33" customWidth="1"/>
    <col min="8975" max="9005" width="2.7265625" style="33" customWidth="1"/>
    <col min="9006" max="9219" width="9.1796875" style="33"/>
    <col min="9220" max="9220" width="3.453125" style="33" customWidth="1"/>
    <col min="9221" max="9221" width="27.1796875" style="33" customWidth="1"/>
    <col min="9222" max="9222" width="11.54296875" style="33" customWidth="1"/>
    <col min="9223" max="9223" width="12.1796875" style="33" customWidth="1"/>
    <col min="9224" max="9224" width="10.54296875" style="33" customWidth="1"/>
    <col min="9225" max="9225" width="11.54296875" style="33" customWidth="1"/>
    <col min="9226" max="9226" width="21.453125" style="33" customWidth="1"/>
    <col min="9227" max="9227" width="28.26953125" style="33" customWidth="1"/>
    <col min="9228" max="9228" width="11" style="33" customWidth="1"/>
    <col min="9229" max="9229" width="23" style="33" customWidth="1"/>
    <col min="9230" max="9230" width="18.81640625" style="33" customWidth="1"/>
    <col min="9231" max="9261" width="2.7265625" style="33" customWidth="1"/>
    <col min="9262" max="9475" width="9.1796875" style="33"/>
    <col min="9476" max="9476" width="3.453125" style="33" customWidth="1"/>
    <col min="9477" max="9477" width="27.1796875" style="33" customWidth="1"/>
    <col min="9478" max="9478" width="11.54296875" style="33" customWidth="1"/>
    <col min="9479" max="9479" width="12.1796875" style="33" customWidth="1"/>
    <col min="9480" max="9480" width="10.54296875" style="33" customWidth="1"/>
    <col min="9481" max="9481" width="11.54296875" style="33" customWidth="1"/>
    <col min="9482" max="9482" width="21.453125" style="33" customWidth="1"/>
    <col min="9483" max="9483" width="28.26953125" style="33" customWidth="1"/>
    <col min="9484" max="9484" width="11" style="33" customWidth="1"/>
    <col min="9485" max="9485" width="23" style="33" customWidth="1"/>
    <col min="9486" max="9486" width="18.81640625" style="33" customWidth="1"/>
    <col min="9487" max="9517" width="2.7265625" style="33" customWidth="1"/>
    <col min="9518" max="9731" width="9.1796875" style="33"/>
    <col min="9732" max="9732" width="3.453125" style="33" customWidth="1"/>
    <col min="9733" max="9733" width="27.1796875" style="33" customWidth="1"/>
    <col min="9734" max="9734" width="11.54296875" style="33" customWidth="1"/>
    <col min="9735" max="9735" width="12.1796875" style="33" customWidth="1"/>
    <col min="9736" max="9736" width="10.54296875" style="33" customWidth="1"/>
    <col min="9737" max="9737" width="11.54296875" style="33" customWidth="1"/>
    <col min="9738" max="9738" width="21.453125" style="33" customWidth="1"/>
    <col min="9739" max="9739" width="28.26953125" style="33" customWidth="1"/>
    <col min="9740" max="9740" width="11" style="33" customWidth="1"/>
    <col min="9741" max="9741" width="23" style="33" customWidth="1"/>
    <col min="9742" max="9742" width="18.81640625" style="33" customWidth="1"/>
    <col min="9743" max="9773" width="2.7265625" style="33" customWidth="1"/>
    <col min="9774" max="9987" width="9.1796875" style="33"/>
    <col min="9988" max="9988" width="3.453125" style="33" customWidth="1"/>
    <col min="9989" max="9989" width="27.1796875" style="33" customWidth="1"/>
    <col min="9990" max="9990" width="11.54296875" style="33" customWidth="1"/>
    <col min="9991" max="9991" width="12.1796875" style="33" customWidth="1"/>
    <col min="9992" max="9992" width="10.54296875" style="33" customWidth="1"/>
    <col min="9993" max="9993" width="11.54296875" style="33" customWidth="1"/>
    <col min="9994" max="9994" width="21.453125" style="33" customWidth="1"/>
    <col min="9995" max="9995" width="28.26953125" style="33" customWidth="1"/>
    <col min="9996" max="9996" width="11" style="33" customWidth="1"/>
    <col min="9997" max="9997" width="23" style="33" customWidth="1"/>
    <col min="9998" max="9998" width="18.81640625" style="33" customWidth="1"/>
    <col min="9999" max="10029" width="2.7265625" style="33" customWidth="1"/>
    <col min="10030" max="10243" width="9.1796875" style="33"/>
    <col min="10244" max="10244" width="3.453125" style="33" customWidth="1"/>
    <col min="10245" max="10245" width="27.1796875" style="33" customWidth="1"/>
    <col min="10246" max="10246" width="11.54296875" style="33" customWidth="1"/>
    <col min="10247" max="10247" width="12.1796875" style="33" customWidth="1"/>
    <col min="10248" max="10248" width="10.54296875" style="33" customWidth="1"/>
    <col min="10249" max="10249" width="11.54296875" style="33" customWidth="1"/>
    <col min="10250" max="10250" width="21.453125" style="33" customWidth="1"/>
    <col min="10251" max="10251" width="28.26953125" style="33" customWidth="1"/>
    <col min="10252" max="10252" width="11" style="33" customWidth="1"/>
    <col min="10253" max="10253" width="23" style="33" customWidth="1"/>
    <col min="10254" max="10254" width="18.81640625" style="33" customWidth="1"/>
    <col min="10255" max="10285" width="2.7265625" style="33" customWidth="1"/>
    <col min="10286" max="10499" width="9.1796875" style="33"/>
    <col min="10500" max="10500" width="3.453125" style="33" customWidth="1"/>
    <col min="10501" max="10501" width="27.1796875" style="33" customWidth="1"/>
    <col min="10502" max="10502" width="11.54296875" style="33" customWidth="1"/>
    <col min="10503" max="10503" width="12.1796875" style="33" customWidth="1"/>
    <col min="10504" max="10504" width="10.54296875" style="33" customWidth="1"/>
    <col min="10505" max="10505" width="11.54296875" style="33" customWidth="1"/>
    <col min="10506" max="10506" width="21.453125" style="33" customWidth="1"/>
    <col min="10507" max="10507" width="28.26953125" style="33" customWidth="1"/>
    <col min="10508" max="10508" width="11" style="33" customWidth="1"/>
    <col min="10509" max="10509" width="23" style="33" customWidth="1"/>
    <col min="10510" max="10510" width="18.81640625" style="33" customWidth="1"/>
    <col min="10511" max="10541" width="2.7265625" style="33" customWidth="1"/>
    <col min="10542" max="10755" width="9.1796875" style="33"/>
    <col min="10756" max="10756" width="3.453125" style="33" customWidth="1"/>
    <col min="10757" max="10757" width="27.1796875" style="33" customWidth="1"/>
    <col min="10758" max="10758" width="11.54296875" style="33" customWidth="1"/>
    <col min="10759" max="10759" width="12.1796875" style="33" customWidth="1"/>
    <col min="10760" max="10760" width="10.54296875" style="33" customWidth="1"/>
    <col min="10761" max="10761" width="11.54296875" style="33" customWidth="1"/>
    <col min="10762" max="10762" width="21.453125" style="33" customWidth="1"/>
    <col min="10763" max="10763" width="28.26953125" style="33" customWidth="1"/>
    <col min="10764" max="10764" width="11" style="33" customWidth="1"/>
    <col min="10765" max="10765" width="23" style="33" customWidth="1"/>
    <col min="10766" max="10766" width="18.81640625" style="33" customWidth="1"/>
    <col min="10767" max="10797" width="2.7265625" style="33" customWidth="1"/>
    <col min="10798" max="11011" width="9.1796875" style="33"/>
    <col min="11012" max="11012" width="3.453125" style="33" customWidth="1"/>
    <col min="11013" max="11013" width="27.1796875" style="33" customWidth="1"/>
    <col min="11014" max="11014" width="11.54296875" style="33" customWidth="1"/>
    <col min="11015" max="11015" width="12.1796875" style="33" customWidth="1"/>
    <col min="11016" max="11016" width="10.54296875" style="33" customWidth="1"/>
    <col min="11017" max="11017" width="11.54296875" style="33" customWidth="1"/>
    <col min="11018" max="11018" width="21.453125" style="33" customWidth="1"/>
    <col min="11019" max="11019" width="28.26953125" style="33" customWidth="1"/>
    <col min="11020" max="11020" width="11" style="33" customWidth="1"/>
    <col min="11021" max="11021" width="23" style="33" customWidth="1"/>
    <col min="11022" max="11022" width="18.81640625" style="33" customWidth="1"/>
    <col min="11023" max="11053" width="2.7265625" style="33" customWidth="1"/>
    <col min="11054" max="11267" width="9.1796875" style="33"/>
    <col min="11268" max="11268" width="3.453125" style="33" customWidth="1"/>
    <col min="11269" max="11269" width="27.1796875" style="33" customWidth="1"/>
    <col min="11270" max="11270" width="11.54296875" style="33" customWidth="1"/>
    <col min="11271" max="11271" width="12.1796875" style="33" customWidth="1"/>
    <col min="11272" max="11272" width="10.54296875" style="33" customWidth="1"/>
    <col min="11273" max="11273" width="11.54296875" style="33" customWidth="1"/>
    <col min="11274" max="11274" width="21.453125" style="33" customWidth="1"/>
    <col min="11275" max="11275" width="28.26953125" style="33" customWidth="1"/>
    <col min="11276" max="11276" width="11" style="33" customWidth="1"/>
    <col min="11277" max="11277" width="23" style="33" customWidth="1"/>
    <col min="11278" max="11278" width="18.81640625" style="33" customWidth="1"/>
    <col min="11279" max="11309" width="2.7265625" style="33" customWidth="1"/>
    <col min="11310" max="11523" width="9.1796875" style="33"/>
    <col min="11524" max="11524" width="3.453125" style="33" customWidth="1"/>
    <col min="11525" max="11525" width="27.1796875" style="33" customWidth="1"/>
    <col min="11526" max="11526" width="11.54296875" style="33" customWidth="1"/>
    <col min="11527" max="11527" width="12.1796875" style="33" customWidth="1"/>
    <col min="11528" max="11528" width="10.54296875" style="33" customWidth="1"/>
    <col min="11529" max="11529" width="11.54296875" style="33" customWidth="1"/>
    <col min="11530" max="11530" width="21.453125" style="33" customWidth="1"/>
    <col min="11531" max="11531" width="28.26953125" style="33" customWidth="1"/>
    <col min="11532" max="11532" width="11" style="33" customWidth="1"/>
    <col min="11533" max="11533" width="23" style="33" customWidth="1"/>
    <col min="11534" max="11534" width="18.81640625" style="33" customWidth="1"/>
    <col min="11535" max="11565" width="2.7265625" style="33" customWidth="1"/>
    <col min="11566" max="11779" width="9.1796875" style="33"/>
    <col min="11780" max="11780" width="3.453125" style="33" customWidth="1"/>
    <col min="11781" max="11781" width="27.1796875" style="33" customWidth="1"/>
    <col min="11782" max="11782" width="11.54296875" style="33" customWidth="1"/>
    <col min="11783" max="11783" width="12.1796875" style="33" customWidth="1"/>
    <col min="11784" max="11784" width="10.54296875" style="33" customWidth="1"/>
    <col min="11785" max="11785" width="11.54296875" style="33" customWidth="1"/>
    <col min="11786" max="11786" width="21.453125" style="33" customWidth="1"/>
    <col min="11787" max="11787" width="28.26953125" style="33" customWidth="1"/>
    <col min="11788" max="11788" width="11" style="33" customWidth="1"/>
    <col min="11789" max="11789" width="23" style="33" customWidth="1"/>
    <col min="11790" max="11790" width="18.81640625" style="33" customWidth="1"/>
    <col min="11791" max="11821" width="2.7265625" style="33" customWidth="1"/>
    <col min="11822" max="12035" width="9.1796875" style="33"/>
    <col min="12036" max="12036" width="3.453125" style="33" customWidth="1"/>
    <col min="12037" max="12037" width="27.1796875" style="33" customWidth="1"/>
    <col min="12038" max="12038" width="11.54296875" style="33" customWidth="1"/>
    <col min="12039" max="12039" width="12.1796875" style="33" customWidth="1"/>
    <col min="12040" max="12040" width="10.54296875" style="33" customWidth="1"/>
    <col min="12041" max="12041" width="11.54296875" style="33" customWidth="1"/>
    <col min="12042" max="12042" width="21.453125" style="33" customWidth="1"/>
    <col min="12043" max="12043" width="28.26953125" style="33" customWidth="1"/>
    <col min="12044" max="12044" width="11" style="33" customWidth="1"/>
    <col min="12045" max="12045" width="23" style="33" customWidth="1"/>
    <col min="12046" max="12046" width="18.81640625" style="33" customWidth="1"/>
    <col min="12047" max="12077" width="2.7265625" style="33" customWidth="1"/>
    <col min="12078" max="12291" width="9.1796875" style="33"/>
    <col min="12292" max="12292" width="3.453125" style="33" customWidth="1"/>
    <col min="12293" max="12293" width="27.1796875" style="33" customWidth="1"/>
    <col min="12294" max="12294" width="11.54296875" style="33" customWidth="1"/>
    <col min="12295" max="12295" width="12.1796875" style="33" customWidth="1"/>
    <col min="12296" max="12296" width="10.54296875" style="33" customWidth="1"/>
    <col min="12297" max="12297" width="11.54296875" style="33" customWidth="1"/>
    <col min="12298" max="12298" width="21.453125" style="33" customWidth="1"/>
    <col min="12299" max="12299" width="28.26953125" style="33" customWidth="1"/>
    <col min="12300" max="12300" width="11" style="33" customWidth="1"/>
    <col min="12301" max="12301" width="23" style="33" customWidth="1"/>
    <col min="12302" max="12302" width="18.81640625" style="33" customWidth="1"/>
    <col min="12303" max="12333" width="2.7265625" style="33" customWidth="1"/>
    <col min="12334" max="12547" width="9.1796875" style="33"/>
    <col min="12548" max="12548" width="3.453125" style="33" customWidth="1"/>
    <col min="12549" max="12549" width="27.1796875" style="33" customWidth="1"/>
    <col min="12550" max="12550" width="11.54296875" style="33" customWidth="1"/>
    <col min="12551" max="12551" width="12.1796875" style="33" customWidth="1"/>
    <col min="12552" max="12552" width="10.54296875" style="33" customWidth="1"/>
    <col min="12553" max="12553" width="11.54296875" style="33" customWidth="1"/>
    <col min="12554" max="12554" width="21.453125" style="33" customWidth="1"/>
    <col min="12555" max="12555" width="28.26953125" style="33" customWidth="1"/>
    <col min="12556" max="12556" width="11" style="33" customWidth="1"/>
    <col min="12557" max="12557" width="23" style="33" customWidth="1"/>
    <col min="12558" max="12558" width="18.81640625" style="33" customWidth="1"/>
    <col min="12559" max="12589" width="2.7265625" style="33" customWidth="1"/>
    <col min="12590" max="12803" width="9.1796875" style="33"/>
    <col min="12804" max="12804" width="3.453125" style="33" customWidth="1"/>
    <col min="12805" max="12805" width="27.1796875" style="33" customWidth="1"/>
    <col min="12806" max="12806" width="11.54296875" style="33" customWidth="1"/>
    <col min="12807" max="12807" width="12.1796875" style="33" customWidth="1"/>
    <col min="12808" max="12808" width="10.54296875" style="33" customWidth="1"/>
    <col min="12809" max="12809" width="11.54296875" style="33" customWidth="1"/>
    <col min="12810" max="12810" width="21.453125" style="33" customWidth="1"/>
    <col min="12811" max="12811" width="28.26953125" style="33" customWidth="1"/>
    <col min="12812" max="12812" width="11" style="33" customWidth="1"/>
    <col min="12813" max="12813" width="23" style="33" customWidth="1"/>
    <col min="12814" max="12814" width="18.81640625" style="33" customWidth="1"/>
    <col min="12815" max="12845" width="2.7265625" style="33" customWidth="1"/>
    <col min="12846" max="13059" width="9.1796875" style="33"/>
    <col min="13060" max="13060" width="3.453125" style="33" customWidth="1"/>
    <col min="13061" max="13061" width="27.1796875" style="33" customWidth="1"/>
    <col min="13062" max="13062" width="11.54296875" style="33" customWidth="1"/>
    <col min="13063" max="13063" width="12.1796875" style="33" customWidth="1"/>
    <col min="13064" max="13064" width="10.54296875" style="33" customWidth="1"/>
    <col min="13065" max="13065" width="11.54296875" style="33" customWidth="1"/>
    <col min="13066" max="13066" width="21.453125" style="33" customWidth="1"/>
    <col min="13067" max="13067" width="28.26953125" style="33" customWidth="1"/>
    <col min="13068" max="13068" width="11" style="33" customWidth="1"/>
    <col min="13069" max="13069" width="23" style="33" customWidth="1"/>
    <col min="13070" max="13070" width="18.81640625" style="33" customWidth="1"/>
    <col min="13071" max="13101" width="2.7265625" style="33" customWidth="1"/>
    <col min="13102" max="13315" width="9.1796875" style="33"/>
    <col min="13316" max="13316" width="3.453125" style="33" customWidth="1"/>
    <col min="13317" max="13317" width="27.1796875" style="33" customWidth="1"/>
    <col min="13318" max="13318" width="11.54296875" style="33" customWidth="1"/>
    <col min="13319" max="13319" width="12.1796875" style="33" customWidth="1"/>
    <col min="13320" max="13320" width="10.54296875" style="33" customWidth="1"/>
    <col min="13321" max="13321" width="11.54296875" style="33" customWidth="1"/>
    <col min="13322" max="13322" width="21.453125" style="33" customWidth="1"/>
    <col min="13323" max="13323" width="28.26953125" style="33" customWidth="1"/>
    <col min="13324" max="13324" width="11" style="33" customWidth="1"/>
    <col min="13325" max="13325" width="23" style="33" customWidth="1"/>
    <col min="13326" max="13326" width="18.81640625" style="33" customWidth="1"/>
    <col min="13327" max="13357" width="2.7265625" style="33" customWidth="1"/>
    <col min="13358" max="13571" width="9.1796875" style="33"/>
    <col min="13572" max="13572" width="3.453125" style="33" customWidth="1"/>
    <col min="13573" max="13573" width="27.1796875" style="33" customWidth="1"/>
    <col min="13574" max="13574" width="11.54296875" style="33" customWidth="1"/>
    <col min="13575" max="13575" width="12.1796875" style="33" customWidth="1"/>
    <col min="13576" max="13576" width="10.54296875" style="33" customWidth="1"/>
    <col min="13577" max="13577" width="11.54296875" style="33" customWidth="1"/>
    <col min="13578" max="13578" width="21.453125" style="33" customWidth="1"/>
    <col min="13579" max="13579" width="28.26953125" style="33" customWidth="1"/>
    <col min="13580" max="13580" width="11" style="33" customWidth="1"/>
    <col min="13581" max="13581" width="23" style="33" customWidth="1"/>
    <col min="13582" max="13582" width="18.81640625" style="33" customWidth="1"/>
    <col min="13583" max="13613" width="2.7265625" style="33" customWidth="1"/>
    <col min="13614" max="13827" width="9.1796875" style="33"/>
    <col min="13828" max="13828" width="3.453125" style="33" customWidth="1"/>
    <col min="13829" max="13829" width="27.1796875" style="33" customWidth="1"/>
    <col min="13830" max="13830" width="11.54296875" style="33" customWidth="1"/>
    <col min="13831" max="13831" width="12.1796875" style="33" customWidth="1"/>
    <col min="13832" max="13832" width="10.54296875" style="33" customWidth="1"/>
    <col min="13833" max="13833" width="11.54296875" style="33" customWidth="1"/>
    <col min="13834" max="13834" width="21.453125" style="33" customWidth="1"/>
    <col min="13835" max="13835" width="28.26953125" style="33" customWidth="1"/>
    <col min="13836" max="13836" width="11" style="33" customWidth="1"/>
    <col min="13837" max="13837" width="23" style="33" customWidth="1"/>
    <col min="13838" max="13838" width="18.81640625" style="33" customWidth="1"/>
    <col min="13839" max="13869" width="2.7265625" style="33" customWidth="1"/>
    <col min="13870" max="14083" width="9.1796875" style="33"/>
    <col min="14084" max="14084" width="3.453125" style="33" customWidth="1"/>
    <col min="14085" max="14085" width="27.1796875" style="33" customWidth="1"/>
    <col min="14086" max="14086" width="11.54296875" style="33" customWidth="1"/>
    <col min="14087" max="14087" width="12.1796875" style="33" customWidth="1"/>
    <col min="14088" max="14088" width="10.54296875" style="33" customWidth="1"/>
    <col min="14089" max="14089" width="11.54296875" style="33" customWidth="1"/>
    <col min="14090" max="14090" width="21.453125" style="33" customWidth="1"/>
    <col min="14091" max="14091" width="28.26953125" style="33" customWidth="1"/>
    <col min="14092" max="14092" width="11" style="33" customWidth="1"/>
    <col min="14093" max="14093" width="23" style="33" customWidth="1"/>
    <col min="14094" max="14094" width="18.81640625" style="33" customWidth="1"/>
    <col min="14095" max="14125" width="2.7265625" style="33" customWidth="1"/>
    <col min="14126" max="14339" width="9.1796875" style="33"/>
    <col min="14340" max="14340" width="3.453125" style="33" customWidth="1"/>
    <col min="14341" max="14341" width="27.1796875" style="33" customWidth="1"/>
    <col min="14342" max="14342" width="11.54296875" style="33" customWidth="1"/>
    <col min="14343" max="14343" width="12.1796875" style="33" customWidth="1"/>
    <col min="14344" max="14344" width="10.54296875" style="33" customWidth="1"/>
    <col min="14345" max="14345" width="11.54296875" style="33" customWidth="1"/>
    <col min="14346" max="14346" width="21.453125" style="33" customWidth="1"/>
    <col min="14347" max="14347" width="28.26953125" style="33" customWidth="1"/>
    <col min="14348" max="14348" width="11" style="33" customWidth="1"/>
    <col min="14349" max="14349" width="23" style="33" customWidth="1"/>
    <col min="14350" max="14350" width="18.81640625" style="33" customWidth="1"/>
    <col min="14351" max="14381" width="2.7265625" style="33" customWidth="1"/>
    <col min="14382" max="14595" width="9.1796875" style="33"/>
    <col min="14596" max="14596" width="3.453125" style="33" customWidth="1"/>
    <col min="14597" max="14597" width="27.1796875" style="33" customWidth="1"/>
    <col min="14598" max="14598" width="11.54296875" style="33" customWidth="1"/>
    <col min="14599" max="14599" width="12.1796875" style="33" customWidth="1"/>
    <col min="14600" max="14600" width="10.54296875" style="33" customWidth="1"/>
    <col min="14601" max="14601" width="11.54296875" style="33" customWidth="1"/>
    <col min="14602" max="14602" width="21.453125" style="33" customWidth="1"/>
    <col min="14603" max="14603" width="28.26953125" style="33" customWidth="1"/>
    <col min="14604" max="14604" width="11" style="33" customWidth="1"/>
    <col min="14605" max="14605" width="23" style="33" customWidth="1"/>
    <col min="14606" max="14606" width="18.81640625" style="33" customWidth="1"/>
    <col min="14607" max="14637" width="2.7265625" style="33" customWidth="1"/>
    <col min="14638" max="14851" width="9.1796875" style="33"/>
    <col min="14852" max="14852" width="3.453125" style="33" customWidth="1"/>
    <col min="14853" max="14853" width="27.1796875" style="33" customWidth="1"/>
    <col min="14854" max="14854" width="11.54296875" style="33" customWidth="1"/>
    <col min="14855" max="14855" width="12.1796875" style="33" customWidth="1"/>
    <col min="14856" max="14856" width="10.54296875" style="33" customWidth="1"/>
    <col min="14857" max="14857" width="11.54296875" style="33" customWidth="1"/>
    <col min="14858" max="14858" width="21.453125" style="33" customWidth="1"/>
    <col min="14859" max="14859" width="28.26953125" style="33" customWidth="1"/>
    <col min="14860" max="14860" width="11" style="33" customWidth="1"/>
    <col min="14861" max="14861" width="23" style="33" customWidth="1"/>
    <col min="14862" max="14862" width="18.81640625" style="33" customWidth="1"/>
    <col min="14863" max="14893" width="2.7265625" style="33" customWidth="1"/>
    <col min="14894" max="15107" width="9.1796875" style="33"/>
    <col min="15108" max="15108" width="3.453125" style="33" customWidth="1"/>
    <col min="15109" max="15109" width="27.1796875" style="33" customWidth="1"/>
    <col min="15110" max="15110" width="11.54296875" style="33" customWidth="1"/>
    <col min="15111" max="15111" width="12.1796875" style="33" customWidth="1"/>
    <col min="15112" max="15112" width="10.54296875" style="33" customWidth="1"/>
    <col min="15113" max="15113" width="11.54296875" style="33" customWidth="1"/>
    <col min="15114" max="15114" width="21.453125" style="33" customWidth="1"/>
    <col min="15115" max="15115" width="28.26953125" style="33" customWidth="1"/>
    <col min="15116" max="15116" width="11" style="33" customWidth="1"/>
    <col min="15117" max="15117" width="23" style="33" customWidth="1"/>
    <col min="15118" max="15118" width="18.81640625" style="33" customWidth="1"/>
    <col min="15119" max="15149" width="2.7265625" style="33" customWidth="1"/>
    <col min="15150" max="15363" width="9.1796875" style="33"/>
    <col min="15364" max="15364" width="3.453125" style="33" customWidth="1"/>
    <col min="15365" max="15365" width="27.1796875" style="33" customWidth="1"/>
    <col min="15366" max="15366" width="11.54296875" style="33" customWidth="1"/>
    <col min="15367" max="15367" width="12.1796875" style="33" customWidth="1"/>
    <col min="15368" max="15368" width="10.54296875" style="33" customWidth="1"/>
    <col min="15369" max="15369" width="11.54296875" style="33" customWidth="1"/>
    <col min="15370" max="15370" width="21.453125" style="33" customWidth="1"/>
    <col min="15371" max="15371" width="28.26953125" style="33" customWidth="1"/>
    <col min="15372" max="15372" width="11" style="33" customWidth="1"/>
    <col min="15373" max="15373" width="23" style="33" customWidth="1"/>
    <col min="15374" max="15374" width="18.81640625" style="33" customWidth="1"/>
    <col min="15375" max="15405" width="2.7265625" style="33" customWidth="1"/>
    <col min="15406" max="15619" width="9.1796875" style="33"/>
    <col min="15620" max="15620" width="3.453125" style="33" customWidth="1"/>
    <col min="15621" max="15621" width="27.1796875" style="33" customWidth="1"/>
    <col min="15622" max="15622" width="11.54296875" style="33" customWidth="1"/>
    <col min="15623" max="15623" width="12.1796875" style="33" customWidth="1"/>
    <col min="15624" max="15624" width="10.54296875" style="33" customWidth="1"/>
    <col min="15625" max="15625" width="11.54296875" style="33" customWidth="1"/>
    <col min="15626" max="15626" width="21.453125" style="33" customWidth="1"/>
    <col min="15627" max="15627" width="28.26953125" style="33" customWidth="1"/>
    <col min="15628" max="15628" width="11" style="33" customWidth="1"/>
    <col min="15629" max="15629" width="23" style="33" customWidth="1"/>
    <col min="15630" max="15630" width="18.81640625" style="33" customWidth="1"/>
    <col min="15631" max="15661" width="2.7265625" style="33" customWidth="1"/>
    <col min="15662" max="15875" width="9.1796875" style="33"/>
    <col min="15876" max="15876" width="3.453125" style="33" customWidth="1"/>
    <col min="15877" max="15877" width="27.1796875" style="33" customWidth="1"/>
    <col min="15878" max="15878" width="11.54296875" style="33" customWidth="1"/>
    <col min="15879" max="15879" width="12.1796875" style="33" customWidth="1"/>
    <col min="15880" max="15880" width="10.54296875" style="33" customWidth="1"/>
    <col min="15881" max="15881" width="11.54296875" style="33" customWidth="1"/>
    <col min="15882" max="15882" width="21.453125" style="33" customWidth="1"/>
    <col min="15883" max="15883" width="28.26953125" style="33" customWidth="1"/>
    <col min="15884" max="15884" width="11" style="33" customWidth="1"/>
    <col min="15885" max="15885" width="23" style="33" customWidth="1"/>
    <col min="15886" max="15886" width="18.81640625" style="33" customWidth="1"/>
    <col min="15887" max="15917" width="2.7265625" style="33" customWidth="1"/>
    <col min="15918" max="16131" width="9.1796875" style="33"/>
    <col min="16132" max="16132" width="3.453125" style="33" customWidth="1"/>
    <col min="16133" max="16133" width="27.1796875" style="33" customWidth="1"/>
    <col min="16134" max="16134" width="11.54296875" style="33" customWidth="1"/>
    <col min="16135" max="16135" width="12.1796875" style="33" customWidth="1"/>
    <col min="16136" max="16136" width="10.54296875" style="33" customWidth="1"/>
    <col min="16137" max="16137" width="11.54296875" style="33" customWidth="1"/>
    <col min="16138" max="16138" width="21.453125" style="33" customWidth="1"/>
    <col min="16139" max="16139" width="28.26953125" style="33" customWidth="1"/>
    <col min="16140" max="16140" width="11" style="33" customWidth="1"/>
    <col min="16141" max="16141" width="23" style="33" customWidth="1"/>
    <col min="16142" max="16142" width="18.81640625" style="33" customWidth="1"/>
    <col min="16143" max="16173" width="2.7265625" style="33" customWidth="1"/>
    <col min="16174" max="16384" width="9.1796875" style="33"/>
  </cols>
  <sheetData>
    <row r="1" spans="1:18" ht="25.5" customHeight="1">
      <c r="A1" s="130" t="s">
        <v>483</v>
      </c>
      <c r="B1" s="378" t="s">
        <v>19</v>
      </c>
      <c r="C1" s="378" t="s">
        <v>157</v>
      </c>
      <c r="D1" s="716" t="s">
        <v>158</v>
      </c>
      <c r="E1" s="717"/>
      <c r="F1" s="718"/>
      <c r="G1" s="716" t="s">
        <v>159</v>
      </c>
      <c r="H1" s="717"/>
      <c r="I1" s="718"/>
      <c r="J1" s="378" t="s">
        <v>163</v>
      </c>
      <c r="K1" s="378" t="s">
        <v>164</v>
      </c>
      <c r="L1" s="378" t="s">
        <v>160</v>
      </c>
      <c r="M1" s="378" t="s">
        <v>161</v>
      </c>
      <c r="N1" s="378" t="s">
        <v>87</v>
      </c>
      <c r="O1" s="414"/>
      <c r="P1" s="7"/>
      <c r="Q1" s="7"/>
      <c r="R1" s="7"/>
    </row>
    <row r="2" spans="1:18" ht="81" customHeight="1">
      <c r="A2" s="117" t="s">
        <v>484</v>
      </c>
      <c r="B2" s="354" t="s">
        <v>638</v>
      </c>
      <c r="C2" s="357" t="s">
        <v>557</v>
      </c>
      <c r="D2" s="366" t="s">
        <v>686</v>
      </c>
      <c r="E2" s="367" t="s">
        <v>1620</v>
      </c>
      <c r="F2" s="357">
        <v>2024</v>
      </c>
      <c r="G2" s="366" t="s">
        <v>686</v>
      </c>
      <c r="H2" s="367" t="s">
        <v>1620</v>
      </c>
      <c r="I2" s="357">
        <v>2024</v>
      </c>
      <c r="J2" s="357" t="s">
        <v>254</v>
      </c>
      <c r="K2" s="357" t="s">
        <v>1172</v>
      </c>
      <c r="L2" s="357" t="s">
        <v>670</v>
      </c>
      <c r="M2" s="355" t="str">
        <f>C3</f>
        <v>Установка опор</v>
      </c>
      <c r="N2" s="356" t="s">
        <v>65</v>
      </c>
      <c r="O2" s="356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02 ноября 2024г. Разработка котлована для установки стоек</v>
      </c>
    </row>
    <row r="3" spans="1:18" ht="50">
      <c r="A3" s="117" t="s">
        <v>485</v>
      </c>
      <c r="B3" s="354" t="s">
        <v>639</v>
      </c>
      <c r="C3" s="357" t="s">
        <v>558</v>
      </c>
      <c r="D3" s="366" t="s">
        <v>686</v>
      </c>
      <c r="E3" s="367" t="s">
        <v>1620</v>
      </c>
      <c r="F3" s="357">
        <v>2024</v>
      </c>
      <c r="G3" s="366" t="s">
        <v>686</v>
      </c>
      <c r="H3" s="367" t="s">
        <v>1620</v>
      </c>
      <c r="I3" s="357">
        <v>2024</v>
      </c>
      <c r="J3" s="357" t="str">
        <f>CONCATENATE("Стойка CВ95-3; ",N3)</f>
        <v>Стойка CВ95-3; Сертификат соответствия №РОСС RU.АБ23.Н00117 от 21.06.2021 сроком действия до 20.06.2024</v>
      </c>
      <c r="K3" s="357" t="s">
        <v>897</v>
      </c>
      <c r="L3" s="357" t="s">
        <v>669</v>
      </c>
      <c r="M3" s="357" t="str">
        <f>C4</f>
        <v>Обратная засыпка котлована ранее вырытым грунтом с послойным трамбованием</v>
      </c>
      <c r="N3" s="356" t="s">
        <v>753</v>
      </c>
      <c r="O3" s="356" t="s">
        <v>347</v>
      </c>
      <c r="P3" s="116" t="str">
        <f t="shared" ref="P3:P74" si="0">CONCATENATE("Акт освидетельствования скрытых работ №",B3," от ",G3," ",H3," ",I3,"г. ",C3)</f>
        <v>Акт освидетельствования скрытых работ №2-ОП от 02 ноября 2024г. Установка опор</v>
      </c>
    </row>
    <row r="4" spans="1:18" ht="50">
      <c r="A4" s="117" t="s">
        <v>486</v>
      </c>
      <c r="B4" s="362" t="s">
        <v>837</v>
      </c>
      <c r="C4" s="357" t="s">
        <v>750</v>
      </c>
      <c r="D4" s="366" t="s">
        <v>686</v>
      </c>
      <c r="E4" s="367" t="s">
        <v>1620</v>
      </c>
      <c r="F4" s="357">
        <v>2024</v>
      </c>
      <c r="G4" s="366" t="s">
        <v>686</v>
      </c>
      <c r="H4" s="367" t="s">
        <v>1620</v>
      </c>
      <c r="I4" s="357">
        <v>2024</v>
      </c>
      <c r="J4" s="357" t="s">
        <v>468</v>
      </c>
      <c r="K4" s="357" t="s">
        <v>898</v>
      </c>
      <c r="L4" s="357" t="s">
        <v>670</v>
      </c>
      <c r="M4" s="358" t="s">
        <v>589</v>
      </c>
      <c r="N4" s="356" t="s">
        <v>65</v>
      </c>
      <c r="O4" s="356" t="s">
        <v>347</v>
      </c>
      <c r="P4" s="116" t="str">
        <f t="shared" si="0"/>
        <v>Акт освидетельствования скрытых работ №3-ОП от 02 ноября 2024г. Обратная засыпка котлована ранее вырытым грунтом с послойным трамбованием</v>
      </c>
    </row>
    <row r="5" spans="1:18" ht="50">
      <c r="A5" s="117" t="s">
        <v>487</v>
      </c>
      <c r="B5" s="360" t="s">
        <v>644</v>
      </c>
      <c r="C5" s="363" t="s">
        <v>465</v>
      </c>
      <c r="D5" s="359" t="s">
        <v>686</v>
      </c>
      <c r="E5" s="364" t="s">
        <v>1620</v>
      </c>
      <c r="F5" s="360">
        <v>2024</v>
      </c>
      <c r="G5" s="359" t="s">
        <v>686</v>
      </c>
      <c r="H5" s="364" t="s">
        <v>1620</v>
      </c>
      <c r="I5" s="360">
        <v>2024</v>
      </c>
      <c r="J5" s="363" t="s">
        <v>254</v>
      </c>
      <c r="K5" s="360" t="s">
        <v>964</v>
      </c>
      <c r="L5" s="360" t="s">
        <v>670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969</v>
      </c>
      <c r="P5" s="116"/>
    </row>
    <row r="6" spans="1:18" ht="50">
      <c r="A6" s="117" t="s">
        <v>838</v>
      </c>
      <c r="B6" s="360" t="s">
        <v>645</v>
      </c>
      <c r="C6" s="360" t="s">
        <v>470</v>
      </c>
      <c r="D6" s="359" t="s">
        <v>686</v>
      </c>
      <c r="E6" s="364" t="s">
        <v>1620</v>
      </c>
      <c r="F6" s="360">
        <v>2024</v>
      </c>
      <c r="G6" s="359" t="s">
        <v>686</v>
      </c>
      <c r="H6" s="364" t="s">
        <v>1620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964</v>
      </c>
      <c r="L6" s="360" t="s">
        <v>669</v>
      </c>
      <c r="M6" s="360" t="str">
        <f>C7</f>
        <v>Монтаж горизонтального заземлителя</v>
      </c>
      <c r="N6" s="360" t="s">
        <v>963</v>
      </c>
      <c r="O6" s="360" t="s">
        <v>969</v>
      </c>
      <c r="P6" s="116"/>
    </row>
    <row r="7" spans="1:18" ht="62.5">
      <c r="A7" s="117" t="s">
        <v>488</v>
      </c>
      <c r="B7" s="360" t="s">
        <v>646</v>
      </c>
      <c r="C7" s="360" t="s">
        <v>471</v>
      </c>
      <c r="D7" s="359" t="s">
        <v>686</v>
      </c>
      <c r="E7" s="364" t="s">
        <v>1620</v>
      </c>
      <c r="F7" s="360">
        <v>2024</v>
      </c>
      <c r="G7" s="359" t="s">
        <v>686</v>
      </c>
      <c r="H7" s="364" t="s">
        <v>1620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964</v>
      </c>
      <c r="L7" s="360" t="s">
        <v>669</v>
      </c>
      <c r="M7" s="360" t="str">
        <f>C8</f>
        <v>Огрунтовка и окраска сварных соединений</v>
      </c>
      <c r="N7" s="360" t="s">
        <v>908</v>
      </c>
      <c r="O7" s="360" t="s">
        <v>969</v>
      </c>
      <c r="P7" s="116"/>
    </row>
    <row r="8" spans="1:18" ht="50">
      <c r="A8" s="117" t="s">
        <v>489</v>
      </c>
      <c r="B8" s="360" t="s">
        <v>647</v>
      </c>
      <c r="C8" s="360" t="s">
        <v>403</v>
      </c>
      <c r="D8" s="359" t="s">
        <v>686</v>
      </c>
      <c r="E8" s="364" t="s">
        <v>1620</v>
      </c>
      <c r="F8" s="360">
        <v>2024</v>
      </c>
      <c r="G8" s="359" t="s">
        <v>686</v>
      </c>
      <c r="H8" s="364" t="s">
        <v>1620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964</v>
      </c>
      <c r="L8" s="360" t="s">
        <v>669</v>
      </c>
      <c r="M8" s="360" t="str">
        <f>C9</f>
        <v>Обратная засыпка траншеи</v>
      </c>
      <c r="N8" s="361" t="s">
        <v>668</v>
      </c>
      <c r="O8" s="360" t="s">
        <v>969</v>
      </c>
      <c r="P8" s="116"/>
    </row>
    <row r="9" spans="1:18" ht="50">
      <c r="A9" s="117" t="s">
        <v>490</v>
      </c>
      <c r="B9" s="360" t="s">
        <v>648</v>
      </c>
      <c r="C9" s="360" t="s">
        <v>472</v>
      </c>
      <c r="D9" s="359" t="s">
        <v>686</v>
      </c>
      <c r="E9" s="364" t="s">
        <v>1620</v>
      </c>
      <c r="F9" s="360">
        <v>2024</v>
      </c>
      <c r="G9" s="359" t="s">
        <v>686</v>
      </c>
      <c r="H9" s="364" t="s">
        <v>1620</v>
      </c>
      <c r="I9" s="360">
        <v>2024</v>
      </c>
      <c r="J9" s="360" t="s">
        <v>468</v>
      </c>
      <c r="K9" s="360" t="s">
        <v>964</v>
      </c>
      <c r="L9" s="360" t="s">
        <v>670</v>
      </c>
      <c r="M9" s="360" t="s">
        <v>392</v>
      </c>
      <c r="N9" s="360" t="s">
        <v>65</v>
      </c>
      <c r="O9" s="360" t="s">
        <v>969</v>
      </c>
      <c r="P9" s="116"/>
    </row>
    <row r="10" spans="1:18" ht="50">
      <c r="A10" s="117" t="s">
        <v>491</v>
      </c>
      <c r="B10" s="360" t="s">
        <v>1621</v>
      </c>
      <c r="C10" s="363" t="s">
        <v>465</v>
      </c>
      <c r="D10" s="359" t="s">
        <v>913</v>
      </c>
      <c r="E10" s="364" t="s">
        <v>1620</v>
      </c>
      <c r="F10" s="360">
        <v>2024</v>
      </c>
      <c r="G10" s="359" t="s">
        <v>913</v>
      </c>
      <c r="H10" s="364" t="s">
        <v>1620</v>
      </c>
      <c r="I10" s="360">
        <v>2024</v>
      </c>
      <c r="J10" s="363" t="s">
        <v>254</v>
      </c>
      <c r="K10" s="360" t="s">
        <v>964</v>
      </c>
      <c r="L10" s="360" t="s">
        <v>670</v>
      </c>
      <c r="M10" s="360" t="str">
        <f>C11</f>
        <v>Монтаж вертикальных электродов контура заземления</v>
      </c>
      <c r="N10" s="365" t="s">
        <v>65</v>
      </c>
      <c r="O10" s="360" t="s">
        <v>969</v>
      </c>
      <c r="P10" s="116" t="str">
        <f t="shared" ref="P10:P19" si="1">CONCATENATE("Акт освидетельствования скрытых работ №",B10," от ",G10," ",H10," ",I10,"г. ",C10)</f>
        <v>Акт освидетельствования скрытых работ №1-КЗ_КК_1 от 05 ноября 2024г. Разработка грунта траншеи</v>
      </c>
    </row>
    <row r="11" spans="1:18" ht="50">
      <c r="A11" s="117" t="s">
        <v>492</v>
      </c>
      <c r="B11" s="360" t="s">
        <v>1622</v>
      </c>
      <c r="C11" s="360" t="s">
        <v>470</v>
      </c>
      <c r="D11" s="359" t="s">
        <v>913</v>
      </c>
      <c r="E11" s="364" t="s">
        <v>1620</v>
      </c>
      <c r="F11" s="360">
        <v>2024</v>
      </c>
      <c r="G11" s="359" t="s">
        <v>913</v>
      </c>
      <c r="H11" s="364" t="s">
        <v>1620</v>
      </c>
      <c r="I11" s="360">
        <v>2024</v>
      </c>
      <c r="J11" s="360" t="str">
        <f>CONCATENATE("Уголок г/к 63х63х5мм. ",N11)</f>
        <v>Уголок г/к 63х63х5мм. Информационное письмо №1157 от 26.10.2016 "Центр Декларирования Сертификации" (ООО "ЦДС)"</v>
      </c>
      <c r="K11" s="360" t="s">
        <v>964</v>
      </c>
      <c r="L11" s="360" t="s">
        <v>669</v>
      </c>
      <c r="M11" s="360" t="str">
        <f>C12</f>
        <v>Монтаж горизонтального заземлителя</v>
      </c>
      <c r="N11" s="360" t="s">
        <v>963</v>
      </c>
      <c r="O11" s="360" t="s">
        <v>969</v>
      </c>
      <c r="P11" s="116" t="str">
        <f t="shared" si="1"/>
        <v>Акт освидетельствования скрытых работ №2-КЗ_КК_1 от 05 ноября 2024г. Монтаж вертикальных электродов контура заземления</v>
      </c>
    </row>
    <row r="12" spans="1:18" ht="62.5">
      <c r="A12" s="117" t="s">
        <v>493</v>
      </c>
      <c r="B12" s="360" t="s">
        <v>1623</v>
      </c>
      <c r="C12" s="360" t="s">
        <v>471</v>
      </c>
      <c r="D12" s="359" t="s">
        <v>913</v>
      </c>
      <c r="E12" s="364" t="s">
        <v>1620</v>
      </c>
      <c r="F12" s="360">
        <v>2024</v>
      </c>
      <c r="G12" s="359" t="s">
        <v>913</v>
      </c>
      <c r="H12" s="364" t="s">
        <v>1620</v>
      </c>
      <c r="I12" s="360">
        <v>2024</v>
      </c>
      <c r="J12" s="360" t="str">
        <f>CONCATENATE("Полоса г/к 40х5 ",N12)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2" s="360" t="s">
        <v>964</v>
      </c>
      <c r="L12" s="360" t="s">
        <v>669</v>
      </c>
      <c r="M12" s="360" t="str">
        <f>C13</f>
        <v>Огрунтовка и окраска сварных соединений</v>
      </c>
      <c r="N12" s="360" t="s">
        <v>908</v>
      </c>
      <c r="O12" s="360" t="s">
        <v>969</v>
      </c>
      <c r="P12" s="116" t="str">
        <f t="shared" si="1"/>
        <v>Акт освидетельствования скрытых работ №3-КЗ_КК_1 от 05 ноября 2024г. Монтаж горизонтального заземлителя</v>
      </c>
    </row>
    <row r="13" spans="1:18" ht="50">
      <c r="A13" s="117" t="s">
        <v>494</v>
      </c>
      <c r="B13" s="360" t="s">
        <v>1624</v>
      </c>
      <c r="C13" s="360" t="s">
        <v>403</v>
      </c>
      <c r="D13" s="359" t="s">
        <v>913</v>
      </c>
      <c r="E13" s="364" t="s">
        <v>1620</v>
      </c>
      <c r="F13" s="360">
        <v>2024</v>
      </c>
      <c r="G13" s="359" t="s">
        <v>913</v>
      </c>
      <c r="H13" s="364" t="s">
        <v>1620</v>
      </c>
      <c r="I13" s="360">
        <v>2024</v>
      </c>
      <c r="J13" s="360" t="str">
        <f>CONCATENATE("Грунт ГФ-021. Эмаль ПФ-115. ",N13)</f>
        <v>Грунт ГФ-021. Эмаль ПФ-115. Отказное письмо исх. №60-12/2020 от 12.05.2020 ООО "Биквест-Центр"</v>
      </c>
      <c r="K13" s="360" t="s">
        <v>964</v>
      </c>
      <c r="L13" s="360" t="s">
        <v>669</v>
      </c>
      <c r="M13" s="360" t="str">
        <f>C14</f>
        <v>Обратная засыпка траншеи</v>
      </c>
      <c r="N13" s="361" t="s">
        <v>668</v>
      </c>
      <c r="O13" s="360" t="s">
        <v>969</v>
      </c>
      <c r="P13" s="116" t="str">
        <f t="shared" si="1"/>
        <v>Акт освидетельствования скрытых работ №4-КЗ_КК_1 от 05 ноября 2024г. Огрунтовка и окраска сварных соединений</v>
      </c>
    </row>
    <row r="14" spans="1:18" ht="50">
      <c r="A14" s="117" t="s">
        <v>495</v>
      </c>
      <c r="B14" s="360" t="s">
        <v>1625</v>
      </c>
      <c r="C14" s="360" t="s">
        <v>472</v>
      </c>
      <c r="D14" s="359" t="s">
        <v>913</v>
      </c>
      <c r="E14" s="364" t="s">
        <v>1620</v>
      </c>
      <c r="F14" s="360">
        <v>2024</v>
      </c>
      <c r="G14" s="359" t="s">
        <v>913</v>
      </c>
      <c r="H14" s="364" t="s">
        <v>1620</v>
      </c>
      <c r="I14" s="360">
        <v>2024</v>
      </c>
      <c r="J14" s="360" t="s">
        <v>468</v>
      </c>
      <c r="K14" s="360" t="s">
        <v>964</v>
      </c>
      <c r="L14" s="360" t="s">
        <v>670</v>
      </c>
      <c r="M14" s="360" t="s">
        <v>392</v>
      </c>
      <c r="N14" s="360" t="s">
        <v>65</v>
      </c>
      <c r="O14" s="360" t="s">
        <v>969</v>
      </c>
      <c r="P14" s="116" t="str">
        <f t="shared" si="1"/>
        <v>Акт освидетельствования скрытых работ №5-КЗ_КК_1 от 05 ноября 2024г. Обратная засыпка траншеи</v>
      </c>
    </row>
    <row r="15" spans="1:18" ht="50">
      <c r="A15" s="117" t="s">
        <v>578</v>
      </c>
      <c r="B15" s="360" t="s">
        <v>1626</v>
      </c>
      <c r="C15" s="363" t="s">
        <v>465</v>
      </c>
      <c r="D15" s="359" t="s">
        <v>913</v>
      </c>
      <c r="E15" s="364" t="s">
        <v>1620</v>
      </c>
      <c r="F15" s="360">
        <v>2024</v>
      </c>
      <c r="G15" s="359" t="s">
        <v>913</v>
      </c>
      <c r="H15" s="364" t="s">
        <v>1620</v>
      </c>
      <c r="I15" s="360">
        <v>2024</v>
      </c>
      <c r="J15" s="363" t="s">
        <v>254</v>
      </c>
      <c r="K15" s="360" t="s">
        <v>964</v>
      </c>
      <c r="L15" s="360" t="s">
        <v>670</v>
      </c>
      <c r="M15" s="360" t="str">
        <f>C16</f>
        <v>Монтаж вертикальных электродов контура заземления</v>
      </c>
      <c r="N15" s="365" t="s">
        <v>65</v>
      </c>
      <c r="O15" s="360" t="s">
        <v>969</v>
      </c>
      <c r="P15" s="116" t="str">
        <f t="shared" si="1"/>
        <v>Акт освидетельствования скрытых работ №1-КЗ_КК_2 от 05 ноября 2024г. Разработка грунта траншеи</v>
      </c>
    </row>
    <row r="16" spans="1:18" ht="50">
      <c r="A16" s="117" t="s">
        <v>579</v>
      </c>
      <c r="B16" s="360" t="s">
        <v>1627</v>
      </c>
      <c r="C16" s="360" t="s">
        <v>470</v>
      </c>
      <c r="D16" s="359" t="s">
        <v>913</v>
      </c>
      <c r="E16" s="364" t="s">
        <v>1620</v>
      </c>
      <c r="F16" s="360">
        <v>2024</v>
      </c>
      <c r="G16" s="359" t="s">
        <v>913</v>
      </c>
      <c r="H16" s="364" t="s">
        <v>1620</v>
      </c>
      <c r="I16" s="360">
        <v>2024</v>
      </c>
      <c r="J16" s="360" t="str">
        <f>CONCATENATE("Уголок г/к 63х63х5мм. ",N16)</f>
        <v>Уголок г/к 63х63х5мм. Информационное письмо №1157 от 26.10.2016 "Центр Декларирования Сертификации" (ООО "ЦДС)"</v>
      </c>
      <c r="K16" s="360" t="s">
        <v>964</v>
      </c>
      <c r="L16" s="360" t="s">
        <v>669</v>
      </c>
      <c r="M16" s="360" t="str">
        <f>C17</f>
        <v>Монтаж горизонтального заземлителя</v>
      </c>
      <c r="N16" s="360" t="s">
        <v>963</v>
      </c>
      <c r="O16" s="360" t="s">
        <v>969</v>
      </c>
      <c r="P16" s="116" t="str">
        <f t="shared" si="1"/>
        <v>Акт освидетельствования скрытых работ №2-КЗ_КК_2 от 05 ноября 2024г. Монтаж вертикальных электродов контура заземления</v>
      </c>
    </row>
    <row r="17" spans="1:16" ht="62.5">
      <c r="A17" s="117" t="s">
        <v>580</v>
      </c>
      <c r="B17" s="360" t="s">
        <v>1628</v>
      </c>
      <c r="C17" s="360" t="s">
        <v>471</v>
      </c>
      <c r="D17" s="359" t="s">
        <v>913</v>
      </c>
      <c r="E17" s="364" t="s">
        <v>1620</v>
      </c>
      <c r="F17" s="360">
        <v>2024</v>
      </c>
      <c r="G17" s="359" t="s">
        <v>913</v>
      </c>
      <c r="H17" s="364" t="s">
        <v>1620</v>
      </c>
      <c r="I17" s="360">
        <v>2024</v>
      </c>
      <c r="J17" s="360" t="str">
        <f>CONCATENATE("Полоса г/к 40х5 ",N17)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7" s="360" t="s">
        <v>964</v>
      </c>
      <c r="L17" s="360" t="s">
        <v>669</v>
      </c>
      <c r="M17" s="360" t="str">
        <f>C18</f>
        <v>Огрунтовка и окраска сварных соединений</v>
      </c>
      <c r="N17" s="360" t="s">
        <v>908</v>
      </c>
      <c r="O17" s="360" t="s">
        <v>969</v>
      </c>
      <c r="P17" s="116" t="str">
        <f t="shared" si="1"/>
        <v>Акт освидетельствования скрытых работ №3-КЗ_КК_2 от 05 ноября 2024г. Монтаж горизонтального заземлителя</v>
      </c>
    </row>
    <row r="18" spans="1:16" ht="50">
      <c r="A18" s="117" t="s">
        <v>581</v>
      </c>
      <c r="B18" s="360" t="s">
        <v>1629</v>
      </c>
      <c r="C18" s="360" t="s">
        <v>403</v>
      </c>
      <c r="D18" s="359" t="s">
        <v>913</v>
      </c>
      <c r="E18" s="364" t="s">
        <v>1620</v>
      </c>
      <c r="F18" s="360">
        <v>2024</v>
      </c>
      <c r="G18" s="359" t="s">
        <v>913</v>
      </c>
      <c r="H18" s="364" t="s">
        <v>1620</v>
      </c>
      <c r="I18" s="360">
        <v>2024</v>
      </c>
      <c r="J18" s="360" t="str">
        <f>CONCATENATE("Грунт ГФ-021. Эмаль ПФ-115. ",N18)</f>
        <v>Грунт ГФ-021. Эмаль ПФ-115. Отказное письмо исх. №60-12/2020 от 12.05.2020 ООО "Биквест-Центр"</v>
      </c>
      <c r="K18" s="360" t="s">
        <v>964</v>
      </c>
      <c r="L18" s="360" t="s">
        <v>669</v>
      </c>
      <c r="M18" s="360" t="str">
        <f>C19</f>
        <v>Обратная засыпка траншеи</v>
      </c>
      <c r="N18" s="361" t="s">
        <v>668</v>
      </c>
      <c r="O18" s="360" t="s">
        <v>969</v>
      </c>
      <c r="P18" s="116" t="str">
        <f t="shared" si="1"/>
        <v>Акт освидетельствования скрытых работ №4-КЗ_КК_2 от 05 ноября 2024г. Огрунтовка и окраска сварных соединений</v>
      </c>
    </row>
    <row r="19" spans="1:16" ht="50">
      <c r="A19" s="117" t="s">
        <v>582</v>
      </c>
      <c r="B19" s="360" t="s">
        <v>1630</v>
      </c>
      <c r="C19" s="360" t="s">
        <v>472</v>
      </c>
      <c r="D19" s="359" t="s">
        <v>913</v>
      </c>
      <c r="E19" s="364" t="s">
        <v>1620</v>
      </c>
      <c r="F19" s="360">
        <v>2024</v>
      </c>
      <c r="G19" s="359" t="s">
        <v>913</v>
      </c>
      <c r="H19" s="364" t="s">
        <v>1620</v>
      </c>
      <c r="I19" s="360">
        <v>2024</v>
      </c>
      <c r="J19" s="360" t="s">
        <v>468</v>
      </c>
      <c r="K19" s="360" t="s">
        <v>964</v>
      </c>
      <c r="L19" s="360" t="s">
        <v>670</v>
      </c>
      <c r="M19" s="360" t="s">
        <v>392</v>
      </c>
      <c r="N19" s="360" t="s">
        <v>65</v>
      </c>
      <c r="O19" s="360" t="s">
        <v>969</v>
      </c>
      <c r="P19" s="116" t="str">
        <f t="shared" si="1"/>
        <v>Акт освидетельствования скрытых работ №5-КЗ_КК_2 от 05 ноября 2024г. Обратная засыпка траншеи</v>
      </c>
    </row>
    <row r="20" spans="1:16" ht="50">
      <c r="A20" s="117" t="s">
        <v>583</v>
      </c>
      <c r="B20" s="360" t="s">
        <v>1631</v>
      </c>
      <c r="C20" s="363" t="s">
        <v>465</v>
      </c>
      <c r="D20" s="359" t="s">
        <v>1661</v>
      </c>
      <c r="E20" s="364" t="s">
        <v>1620</v>
      </c>
      <c r="F20" s="360">
        <v>2024</v>
      </c>
      <c r="G20" s="359" t="s">
        <v>1661</v>
      </c>
      <c r="H20" s="364" t="s">
        <v>1620</v>
      </c>
      <c r="I20" s="360">
        <v>2024</v>
      </c>
      <c r="J20" s="363" t="s">
        <v>254</v>
      </c>
      <c r="K20" s="360" t="s">
        <v>964</v>
      </c>
      <c r="L20" s="360" t="s">
        <v>670</v>
      </c>
      <c r="M20" s="360" t="str">
        <f>C21</f>
        <v>Монтаж вертикальных электродов контура заземления</v>
      </c>
      <c r="N20" s="365" t="s">
        <v>65</v>
      </c>
      <c r="O20" s="360" t="s">
        <v>969</v>
      </c>
      <c r="P20" s="116" t="str">
        <f t="shared" si="0"/>
        <v>Акт освидетельствования скрытых работ №1-КЗ_КК_3 от 06 ноября 2024г. Разработка грунта траншеи</v>
      </c>
    </row>
    <row r="21" spans="1:16" ht="50">
      <c r="A21" s="117" t="s">
        <v>584</v>
      </c>
      <c r="B21" s="360" t="s">
        <v>1632</v>
      </c>
      <c r="C21" s="360" t="s">
        <v>470</v>
      </c>
      <c r="D21" s="359" t="s">
        <v>1661</v>
      </c>
      <c r="E21" s="364" t="s">
        <v>1620</v>
      </c>
      <c r="F21" s="360">
        <v>2024</v>
      </c>
      <c r="G21" s="359" t="s">
        <v>1661</v>
      </c>
      <c r="H21" s="364" t="s">
        <v>1620</v>
      </c>
      <c r="I21" s="360">
        <v>2024</v>
      </c>
      <c r="J21" s="360" t="str">
        <f>CONCATENATE("Уголок г/к 63х63х5мм. ",N21)</f>
        <v>Уголок г/к 63х63х5мм. Информационное письмо №1157 от 26.10.2016 "Центр Декларирования Сертификации" (ООО "ЦДС)"</v>
      </c>
      <c r="K21" s="360" t="s">
        <v>964</v>
      </c>
      <c r="L21" s="360" t="s">
        <v>669</v>
      </c>
      <c r="M21" s="360" t="str">
        <f>C22</f>
        <v>Монтаж горизонтального заземлителя</v>
      </c>
      <c r="N21" s="360" t="s">
        <v>963</v>
      </c>
      <c r="O21" s="360" t="s">
        <v>969</v>
      </c>
      <c r="P21" s="116" t="str">
        <f t="shared" si="0"/>
        <v>Акт освидетельствования скрытых работ №2-КЗ_КК_3 от 06 ноября 2024г. Монтаж вертикальных электродов контура заземления</v>
      </c>
    </row>
    <row r="22" spans="1:16" ht="62.5">
      <c r="A22" s="117" t="s">
        <v>585</v>
      </c>
      <c r="B22" s="360" t="s">
        <v>1633</v>
      </c>
      <c r="C22" s="360" t="s">
        <v>471</v>
      </c>
      <c r="D22" s="359" t="s">
        <v>1661</v>
      </c>
      <c r="E22" s="364" t="s">
        <v>1620</v>
      </c>
      <c r="F22" s="360">
        <v>2024</v>
      </c>
      <c r="G22" s="359" t="s">
        <v>1661</v>
      </c>
      <c r="H22" s="364" t="s">
        <v>1620</v>
      </c>
      <c r="I22" s="360">
        <v>2024</v>
      </c>
      <c r="J22" s="360" t="str">
        <f>CONCATENATE("Полоса г/к 40х5 ",N22)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2" s="360" t="s">
        <v>964</v>
      </c>
      <c r="L22" s="360" t="s">
        <v>669</v>
      </c>
      <c r="M22" s="360" t="str">
        <f>C23</f>
        <v>Огрунтовка и окраска сварных соединений</v>
      </c>
      <c r="N22" s="360" t="s">
        <v>908</v>
      </c>
      <c r="O22" s="360" t="s">
        <v>969</v>
      </c>
      <c r="P22" s="116" t="str">
        <f t="shared" si="0"/>
        <v>Акт освидетельствования скрытых работ №3-КЗ_КК_3 от 06 ноября 2024г. Монтаж горизонтального заземлителя</v>
      </c>
    </row>
    <row r="23" spans="1:16" ht="50">
      <c r="A23" s="117" t="s">
        <v>586</v>
      </c>
      <c r="B23" s="360" t="s">
        <v>1634</v>
      </c>
      <c r="C23" s="360" t="s">
        <v>403</v>
      </c>
      <c r="D23" s="359" t="s">
        <v>1661</v>
      </c>
      <c r="E23" s="364" t="s">
        <v>1620</v>
      </c>
      <c r="F23" s="360">
        <v>2024</v>
      </c>
      <c r="G23" s="359" t="s">
        <v>1661</v>
      </c>
      <c r="H23" s="364" t="s">
        <v>1620</v>
      </c>
      <c r="I23" s="360">
        <v>2024</v>
      </c>
      <c r="J23" s="360" t="str">
        <f>CONCATENATE("Грунт ГФ-021. Эмаль ПФ-115. ",N23)</f>
        <v>Грунт ГФ-021. Эмаль ПФ-115. Отказное письмо исх. №60-12/2020 от 12.05.2020 ООО "Биквест-Центр"</v>
      </c>
      <c r="K23" s="360" t="s">
        <v>964</v>
      </c>
      <c r="L23" s="360" t="s">
        <v>669</v>
      </c>
      <c r="M23" s="360" t="str">
        <f>C24</f>
        <v>Обратная засыпка траншеи</v>
      </c>
      <c r="N23" s="361" t="s">
        <v>668</v>
      </c>
      <c r="O23" s="360" t="s">
        <v>969</v>
      </c>
      <c r="P23" s="116" t="str">
        <f t="shared" si="0"/>
        <v>Акт освидетельствования скрытых работ №4-КЗ_КК_3 от 06 ноября 2024г. Огрунтовка и окраска сварных соединений</v>
      </c>
    </row>
    <row r="24" spans="1:16" ht="50">
      <c r="A24" s="117" t="s">
        <v>587</v>
      </c>
      <c r="B24" s="360" t="s">
        <v>1635</v>
      </c>
      <c r="C24" s="360" t="s">
        <v>472</v>
      </c>
      <c r="D24" s="359" t="s">
        <v>1661</v>
      </c>
      <c r="E24" s="364" t="s">
        <v>1620</v>
      </c>
      <c r="F24" s="360">
        <v>2024</v>
      </c>
      <c r="G24" s="359" t="s">
        <v>1661</v>
      </c>
      <c r="H24" s="364" t="s">
        <v>1620</v>
      </c>
      <c r="I24" s="360">
        <v>2024</v>
      </c>
      <c r="J24" s="360" t="s">
        <v>468</v>
      </c>
      <c r="K24" s="360" t="s">
        <v>964</v>
      </c>
      <c r="L24" s="360" t="s">
        <v>670</v>
      </c>
      <c r="M24" s="360" t="s">
        <v>392</v>
      </c>
      <c r="N24" s="360" t="s">
        <v>65</v>
      </c>
      <c r="O24" s="360" t="s">
        <v>969</v>
      </c>
      <c r="P24" s="116" t="str">
        <f t="shared" si="0"/>
        <v>Акт освидетельствования скрытых работ №5-КЗ_КК_3 от 06 ноября 2024г. Обратная засыпка траншеи</v>
      </c>
    </row>
    <row r="25" spans="1:16" ht="50">
      <c r="A25" s="117" t="s">
        <v>588</v>
      </c>
      <c r="B25" s="360" t="s">
        <v>1636</v>
      </c>
      <c r="C25" s="363" t="s">
        <v>465</v>
      </c>
      <c r="D25" s="359" t="s">
        <v>1661</v>
      </c>
      <c r="E25" s="364" t="s">
        <v>1620</v>
      </c>
      <c r="F25" s="360">
        <v>2024</v>
      </c>
      <c r="G25" s="359" t="s">
        <v>1661</v>
      </c>
      <c r="H25" s="364" t="s">
        <v>1620</v>
      </c>
      <c r="I25" s="360">
        <v>2024</v>
      </c>
      <c r="J25" s="363" t="s">
        <v>254</v>
      </c>
      <c r="K25" s="360" t="s">
        <v>964</v>
      </c>
      <c r="L25" s="360" t="s">
        <v>670</v>
      </c>
      <c r="M25" s="360" t="str">
        <f>C26</f>
        <v>Монтаж вертикальных электродов контура заземления</v>
      </c>
      <c r="N25" s="365" t="s">
        <v>65</v>
      </c>
      <c r="O25" s="360" t="s">
        <v>969</v>
      </c>
      <c r="P25" s="116" t="str">
        <f t="shared" ref="P25:P34" si="2">CONCATENATE("Акт освидетельствования скрытых работ №",B25," от ",G25," ",H25," ",I25,"г. ",C25)</f>
        <v>Акт освидетельствования скрытых работ №1-КЗ_КК_4 от 06 ноября 2024г. Разработка грунта траншеи</v>
      </c>
    </row>
    <row r="26" spans="1:16" ht="50">
      <c r="A26" s="117" t="s">
        <v>649</v>
      </c>
      <c r="B26" s="360" t="s">
        <v>1637</v>
      </c>
      <c r="C26" s="360" t="s">
        <v>470</v>
      </c>
      <c r="D26" s="359" t="s">
        <v>1661</v>
      </c>
      <c r="E26" s="364" t="s">
        <v>1620</v>
      </c>
      <c r="F26" s="360">
        <v>2024</v>
      </c>
      <c r="G26" s="359" t="s">
        <v>1661</v>
      </c>
      <c r="H26" s="364" t="s">
        <v>1620</v>
      </c>
      <c r="I26" s="360">
        <v>2024</v>
      </c>
      <c r="J26" s="360" t="str">
        <f>CONCATENATE("Уголок г/к 63х63х5мм. ",N26)</f>
        <v>Уголок г/к 63х63х5мм. Информационное письмо №1157 от 26.10.2016 "Центр Декларирования Сертификации" (ООО "ЦДС)"</v>
      </c>
      <c r="K26" s="360" t="s">
        <v>964</v>
      </c>
      <c r="L26" s="360" t="s">
        <v>669</v>
      </c>
      <c r="M26" s="360" t="str">
        <f>C27</f>
        <v>Монтаж горизонтального заземлителя</v>
      </c>
      <c r="N26" s="360" t="s">
        <v>963</v>
      </c>
      <c r="O26" s="360" t="s">
        <v>969</v>
      </c>
      <c r="P26" s="116" t="str">
        <f t="shared" si="2"/>
        <v>Акт освидетельствования скрытых работ №2-КЗ_КК_4 от 06 ноября 2024г. Монтаж вертикальных электродов контура заземления</v>
      </c>
    </row>
    <row r="27" spans="1:16" ht="62.5">
      <c r="A27" s="117" t="s">
        <v>650</v>
      </c>
      <c r="B27" s="360" t="s">
        <v>1638</v>
      </c>
      <c r="C27" s="360" t="s">
        <v>471</v>
      </c>
      <c r="D27" s="359" t="s">
        <v>1661</v>
      </c>
      <c r="E27" s="364" t="s">
        <v>1620</v>
      </c>
      <c r="F27" s="360">
        <v>2024</v>
      </c>
      <c r="G27" s="359" t="s">
        <v>1661</v>
      </c>
      <c r="H27" s="364" t="s">
        <v>1620</v>
      </c>
      <c r="I27" s="360">
        <v>2024</v>
      </c>
      <c r="J27" s="360" t="str">
        <f>CONCATENATE("Полоса г/к 40х5 ",N27)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7" s="360" t="s">
        <v>964</v>
      </c>
      <c r="L27" s="360" t="s">
        <v>669</v>
      </c>
      <c r="M27" s="360" t="str">
        <f>C28</f>
        <v>Огрунтовка и окраска сварных соединений</v>
      </c>
      <c r="N27" s="360" t="s">
        <v>908</v>
      </c>
      <c r="O27" s="360" t="s">
        <v>969</v>
      </c>
      <c r="P27" s="116" t="str">
        <f t="shared" si="2"/>
        <v>Акт освидетельствования скрытых работ №3-КЗ_КК_4 от 06 ноября 2024г. Монтаж горизонтального заземлителя</v>
      </c>
    </row>
    <row r="28" spans="1:16" ht="50">
      <c r="A28" s="117" t="s">
        <v>659</v>
      </c>
      <c r="B28" s="360" t="s">
        <v>1639</v>
      </c>
      <c r="C28" s="360" t="s">
        <v>403</v>
      </c>
      <c r="D28" s="359" t="s">
        <v>1661</v>
      </c>
      <c r="E28" s="364" t="s">
        <v>1620</v>
      </c>
      <c r="F28" s="360">
        <v>2024</v>
      </c>
      <c r="G28" s="359" t="s">
        <v>1661</v>
      </c>
      <c r="H28" s="364" t="s">
        <v>1620</v>
      </c>
      <c r="I28" s="360">
        <v>2024</v>
      </c>
      <c r="J28" s="360" t="str">
        <f>CONCATENATE("Грунт ГФ-021. Эмаль ПФ-115. ",N28)</f>
        <v>Грунт ГФ-021. Эмаль ПФ-115. Отказное письмо исх. №60-12/2020 от 12.05.2020 ООО "Биквест-Центр"</v>
      </c>
      <c r="K28" s="360" t="s">
        <v>964</v>
      </c>
      <c r="L28" s="360" t="s">
        <v>669</v>
      </c>
      <c r="M28" s="360" t="str">
        <f>C29</f>
        <v>Обратная засыпка траншеи</v>
      </c>
      <c r="N28" s="361" t="s">
        <v>668</v>
      </c>
      <c r="O28" s="360" t="s">
        <v>969</v>
      </c>
      <c r="P28" s="116" t="str">
        <f t="shared" si="2"/>
        <v>Акт освидетельствования скрытых работ №4-КЗ_КК_4 от 06 ноября 2024г. Огрунтовка и окраска сварных соединений</v>
      </c>
    </row>
    <row r="29" spans="1:16" ht="50">
      <c r="A29" s="117" t="s">
        <v>660</v>
      </c>
      <c r="B29" s="360" t="s">
        <v>1640</v>
      </c>
      <c r="C29" s="360" t="s">
        <v>472</v>
      </c>
      <c r="D29" s="359" t="s">
        <v>1661</v>
      </c>
      <c r="E29" s="364" t="s">
        <v>1620</v>
      </c>
      <c r="F29" s="360">
        <v>2024</v>
      </c>
      <c r="G29" s="359" t="s">
        <v>1661</v>
      </c>
      <c r="H29" s="364" t="s">
        <v>1620</v>
      </c>
      <c r="I29" s="360">
        <v>2024</v>
      </c>
      <c r="J29" s="360" t="s">
        <v>468</v>
      </c>
      <c r="K29" s="360" t="s">
        <v>964</v>
      </c>
      <c r="L29" s="360" t="s">
        <v>670</v>
      </c>
      <c r="M29" s="360" t="s">
        <v>392</v>
      </c>
      <c r="N29" s="360" t="s">
        <v>65</v>
      </c>
      <c r="O29" s="360" t="s">
        <v>969</v>
      </c>
      <c r="P29" s="116" t="str">
        <f t="shared" si="2"/>
        <v>Акт освидетельствования скрытых работ №5-КЗ_КК_4 от 06 ноября 2024г. Обратная засыпка траншеи</v>
      </c>
    </row>
    <row r="30" spans="1:16" ht="50">
      <c r="A30" s="117" t="s">
        <v>661</v>
      </c>
      <c r="B30" s="360" t="s">
        <v>1641</v>
      </c>
      <c r="C30" s="363" t="s">
        <v>465</v>
      </c>
      <c r="D30" s="359" t="s">
        <v>1662</v>
      </c>
      <c r="E30" s="364" t="s">
        <v>1620</v>
      </c>
      <c r="F30" s="360">
        <v>2024</v>
      </c>
      <c r="G30" s="359" t="s">
        <v>1662</v>
      </c>
      <c r="H30" s="364" t="s">
        <v>1620</v>
      </c>
      <c r="I30" s="360">
        <v>2024</v>
      </c>
      <c r="J30" s="363" t="s">
        <v>254</v>
      </c>
      <c r="K30" s="360" t="s">
        <v>964</v>
      </c>
      <c r="L30" s="360" t="s">
        <v>670</v>
      </c>
      <c r="M30" s="360" t="str">
        <f>C31</f>
        <v>Монтаж вертикальных электродов контура заземления</v>
      </c>
      <c r="N30" s="365" t="s">
        <v>65</v>
      </c>
      <c r="O30" s="360" t="s">
        <v>969</v>
      </c>
      <c r="P30" s="116" t="str">
        <f t="shared" si="2"/>
        <v>Акт освидетельствования скрытых работ №1-КЗ_КК_5 от 07 ноября 2024г. Разработка грунта траншеи</v>
      </c>
    </row>
    <row r="31" spans="1:16" ht="50">
      <c r="A31" s="117" t="s">
        <v>662</v>
      </c>
      <c r="B31" s="360" t="s">
        <v>1642</v>
      </c>
      <c r="C31" s="360" t="s">
        <v>470</v>
      </c>
      <c r="D31" s="359" t="s">
        <v>1662</v>
      </c>
      <c r="E31" s="364" t="s">
        <v>1620</v>
      </c>
      <c r="F31" s="360">
        <v>2024</v>
      </c>
      <c r="G31" s="359" t="s">
        <v>1662</v>
      </c>
      <c r="H31" s="364" t="s">
        <v>1620</v>
      </c>
      <c r="I31" s="360">
        <v>2024</v>
      </c>
      <c r="J31" s="360" t="str">
        <f>CONCATENATE("Уголок г/к 63х63х5мм. ",N31)</f>
        <v>Уголок г/к 63х63х5мм. Информационное письмо №1157 от 26.10.2016 "Центр Декларирования Сертификации" (ООО "ЦДС)"</v>
      </c>
      <c r="K31" s="360" t="s">
        <v>964</v>
      </c>
      <c r="L31" s="360" t="s">
        <v>669</v>
      </c>
      <c r="M31" s="360" t="str">
        <f>C32</f>
        <v>Монтаж горизонтального заземлителя</v>
      </c>
      <c r="N31" s="360" t="s">
        <v>963</v>
      </c>
      <c r="O31" s="360" t="s">
        <v>969</v>
      </c>
      <c r="P31" s="116" t="str">
        <f t="shared" si="2"/>
        <v>Акт освидетельствования скрытых работ №2-КЗ_КК_5 от 07 ноября 2024г. Монтаж вертикальных электродов контура заземления</v>
      </c>
    </row>
    <row r="32" spans="1:16" ht="62.5">
      <c r="A32" s="117" t="s">
        <v>663</v>
      </c>
      <c r="B32" s="360" t="s">
        <v>1643</v>
      </c>
      <c r="C32" s="360" t="s">
        <v>471</v>
      </c>
      <c r="D32" s="359" t="s">
        <v>1662</v>
      </c>
      <c r="E32" s="364" t="s">
        <v>1620</v>
      </c>
      <c r="F32" s="360">
        <v>2024</v>
      </c>
      <c r="G32" s="359" t="s">
        <v>1662</v>
      </c>
      <c r="H32" s="364" t="s">
        <v>1620</v>
      </c>
      <c r="I32" s="360">
        <v>2024</v>
      </c>
      <c r="J32" s="360" t="str">
        <f>CONCATENATE("Полоса г/к 40х5 ",N32)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32" s="360" t="s">
        <v>964</v>
      </c>
      <c r="L32" s="360" t="s">
        <v>669</v>
      </c>
      <c r="M32" s="360" t="str">
        <f>C33</f>
        <v>Огрунтовка и окраска сварных соединений</v>
      </c>
      <c r="N32" s="360" t="s">
        <v>908</v>
      </c>
      <c r="O32" s="360" t="s">
        <v>969</v>
      </c>
      <c r="P32" s="116" t="str">
        <f t="shared" si="2"/>
        <v>Акт освидетельствования скрытых работ №3-КЗ_КК_5 от 07 ноября 2024г. Монтаж горизонтального заземлителя</v>
      </c>
    </row>
    <row r="33" spans="1:16" ht="50">
      <c r="A33" s="117" t="s">
        <v>664</v>
      </c>
      <c r="B33" s="360" t="s">
        <v>1644</v>
      </c>
      <c r="C33" s="360" t="s">
        <v>403</v>
      </c>
      <c r="D33" s="359" t="s">
        <v>1662</v>
      </c>
      <c r="E33" s="364" t="s">
        <v>1620</v>
      </c>
      <c r="F33" s="360">
        <v>2024</v>
      </c>
      <c r="G33" s="359" t="s">
        <v>1662</v>
      </c>
      <c r="H33" s="364" t="s">
        <v>1620</v>
      </c>
      <c r="I33" s="360">
        <v>2024</v>
      </c>
      <c r="J33" s="360" t="str">
        <f>CONCATENATE("Грунт ГФ-021. Эмаль ПФ-115. ",N33)</f>
        <v>Грунт ГФ-021. Эмаль ПФ-115. Отказное письмо исх. №60-12/2020 от 12.05.2020 ООО "Биквест-Центр"</v>
      </c>
      <c r="K33" s="360" t="s">
        <v>964</v>
      </c>
      <c r="L33" s="360" t="s">
        <v>669</v>
      </c>
      <c r="M33" s="360" t="str">
        <f>C34</f>
        <v>Обратная засыпка траншеи</v>
      </c>
      <c r="N33" s="361" t="s">
        <v>668</v>
      </c>
      <c r="O33" s="360" t="s">
        <v>969</v>
      </c>
      <c r="P33" s="116" t="str">
        <f t="shared" si="2"/>
        <v>Акт освидетельствования скрытых работ №4-КЗ_КК_5 от 07 ноября 2024г. Огрунтовка и окраска сварных соединений</v>
      </c>
    </row>
    <row r="34" spans="1:16" ht="50">
      <c r="A34" s="117" t="s">
        <v>673</v>
      </c>
      <c r="B34" s="360" t="s">
        <v>1645</v>
      </c>
      <c r="C34" s="360" t="s">
        <v>472</v>
      </c>
      <c r="D34" s="359" t="s">
        <v>1662</v>
      </c>
      <c r="E34" s="364" t="s">
        <v>1620</v>
      </c>
      <c r="F34" s="360">
        <v>2024</v>
      </c>
      <c r="G34" s="359" t="s">
        <v>1662</v>
      </c>
      <c r="H34" s="364" t="s">
        <v>1620</v>
      </c>
      <c r="I34" s="360">
        <v>2024</v>
      </c>
      <c r="J34" s="360" t="s">
        <v>468</v>
      </c>
      <c r="K34" s="360" t="s">
        <v>964</v>
      </c>
      <c r="L34" s="360" t="s">
        <v>670</v>
      </c>
      <c r="M34" s="360" t="s">
        <v>392</v>
      </c>
      <c r="N34" s="360" t="s">
        <v>65</v>
      </c>
      <c r="O34" s="360" t="s">
        <v>969</v>
      </c>
      <c r="P34" s="116" t="str">
        <f t="shared" si="2"/>
        <v>Акт освидетельствования скрытых работ №5-КЗ_КК_5 от 07 ноября 2024г. Обратная засыпка траншеи</v>
      </c>
    </row>
    <row r="35" spans="1:16" ht="50">
      <c r="A35" s="117" t="s">
        <v>674</v>
      </c>
      <c r="B35" s="360" t="s">
        <v>1646</v>
      </c>
      <c r="C35" s="363" t="s">
        <v>465</v>
      </c>
      <c r="D35" s="359" t="s">
        <v>1662</v>
      </c>
      <c r="E35" s="364" t="s">
        <v>1620</v>
      </c>
      <c r="F35" s="360">
        <v>2024</v>
      </c>
      <c r="G35" s="359" t="s">
        <v>1662</v>
      </c>
      <c r="H35" s="364" t="s">
        <v>1620</v>
      </c>
      <c r="I35" s="360">
        <v>2024</v>
      </c>
      <c r="J35" s="363" t="s">
        <v>254</v>
      </c>
      <c r="K35" s="360" t="s">
        <v>964</v>
      </c>
      <c r="L35" s="360" t="s">
        <v>670</v>
      </c>
      <c r="M35" s="360" t="str">
        <f>C36</f>
        <v>Монтаж вертикальных электродов контура заземления</v>
      </c>
      <c r="N35" s="365" t="s">
        <v>65</v>
      </c>
      <c r="O35" s="360" t="s">
        <v>969</v>
      </c>
      <c r="P35" s="116" t="str">
        <f t="shared" ref="P35:P54" si="3">CONCATENATE("Акт освидетельствования скрытых работ №",B35," от ",G35," ",H35," ",I35,"г. ",C35)</f>
        <v>Акт освидетельствования скрытых работ №1-КЗ_КК_6 от 07 ноября 2024г. Разработка грунта траншеи</v>
      </c>
    </row>
    <row r="36" spans="1:16" ht="50">
      <c r="A36" s="117" t="s">
        <v>675</v>
      </c>
      <c r="B36" s="360" t="s">
        <v>1647</v>
      </c>
      <c r="C36" s="360" t="s">
        <v>470</v>
      </c>
      <c r="D36" s="359" t="s">
        <v>1662</v>
      </c>
      <c r="E36" s="364" t="s">
        <v>1620</v>
      </c>
      <c r="F36" s="360">
        <v>2024</v>
      </c>
      <c r="G36" s="359" t="s">
        <v>1662</v>
      </c>
      <c r="H36" s="364" t="s">
        <v>1620</v>
      </c>
      <c r="I36" s="360">
        <v>2024</v>
      </c>
      <c r="J36" s="360" t="str">
        <f>CONCATENATE("Уголок г/к 63х63х5мм. ",N36)</f>
        <v>Уголок г/к 63х63х5мм. Информационное письмо №1157 от 26.10.2016 "Центр Декларирования Сертификации" (ООО "ЦДС)"</v>
      </c>
      <c r="K36" s="360" t="s">
        <v>964</v>
      </c>
      <c r="L36" s="360" t="s">
        <v>669</v>
      </c>
      <c r="M36" s="360" t="str">
        <f>C37</f>
        <v>Монтаж горизонтального заземлителя</v>
      </c>
      <c r="N36" s="360" t="s">
        <v>963</v>
      </c>
      <c r="O36" s="360" t="s">
        <v>969</v>
      </c>
      <c r="P36" s="116" t="str">
        <f t="shared" si="3"/>
        <v>Акт освидетельствования скрытых работ №2-КЗ_КК_6 от 07 ноября 2024г. Монтаж вертикальных электродов контура заземления</v>
      </c>
    </row>
    <row r="37" spans="1:16" ht="62.5">
      <c r="A37" s="117" t="s">
        <v>676</v>
      </c>
      <c r="B37" s="360" t="s">
        <v>1648</v>
      </c>
      <c r="C37" s="360" t="s">
        <v>471</v>
      </c>
      <c r="D37" s="359" t="s">
        <v>1662</v>
      </c>
      <c r="E37" s="364" t="s">
        <v>1620</v>
      </c>
      <c r="F37" s="360">
        <v>2024</v>
      </c>
      <c r="G37" s="359" t="s">
        <v>1662</v>
      </c>
      <c r="H37" s="364" t="s">
        <v>1620</v>
      </c>
      <c r="I37" s="360">
        <v>2024</v>
      </c>
      <c r="J37" s="360" t="str">
        <f>CONCATENATE("Полоса г/к 40х5 ",N37)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37" s="360" t="s">
        <v>964</v>
      </c>
      <c r="L37" s="360" t="s">
        <v>669</v>
      </c>
      <c r="M37" s="360" t="str">
        <f>C38</f>
        <v>Огрунтовка и окраска сварных соединений</v>
      </c>
      <c r="N37" s="360" t="s">
        <v>908</v>
      </c>
      <c r="O37" s="360" t="s">
        <v>969</v>
      </c>
      <c r="P37" s="116" t="str">
        <f t="shared" si="3"/>
        <v>Акт освидетельствования скрытых работ №3-КЗ_КК_6 от 07 ноября 2024г. Монтаж горизонтального заземлителя</v>
      </c>
    </row>
    <row r="38" spans="1:16" ht="50">
      <c r="A38" s="117" t="s">
        <v>677</v>
      </c>
      <c r="B38" s="360" t="s">
        <v>1649</v>
      </c>
      <c r="C38" s="360" t="s">
        <v>403</v>
      </c>
      <c r="D38" s="359" t="s">
        <v>1662</v>
      </c>
      <c r="E38" s="364" t="s">
        <v>1620</v>
      </c>
      <c r="F38" s="360">
        <v>2024</v>
      </c>
      <c r="G38" s="359" t="s">
        <v>1662</v>
      </c>
      <c r="H38" s="364" t="s">
        <v>1620</v>
      </c>
      <c r="I38" s="360">
        <v>2024</v>
      </c>
      <c r="J38" s="360" t="str">
        <f>CONCATENATE("Грунт ГФ-021. Эмаль ПФ-115. ",N38)</f>
        <v>Грунт ГФ-021. Эмаль ПФ-115. Отказное письмо исх. №60-12/2020 от 12.05.2020 ООО "Биквест-Центр"</v>
      </c>
      <c r="K38" s="360" t="s">
        <v>964</v>
      </c>
      <c r="L38" s="360" t="s">
        <v>669</v>
      </c>
      <c r="M38" s="360" t="str">
        <f>C39</f>
        <v>Обратная засыпка траншеи</v>
      </c>
      <c r="N38" s="361" t="s">
        <v>668</v>
      </c>
      <c r="O38" s="360" t="s">
        <v>969</v>
      </c>
      <c r="P38" s="116" t="str">
        <f t="shared" si="3"/>
        <v>Акт освидетельствования скрытых работ №4-КЗ_КК_6 от 07 ноября 2024г. Огрунтовка и окраска сварных соединений</v>
      </c>
    </row>
    <row r="39" spans="1:16" ht="50">
      <c r="A39" s="117" t="s">
        <v>684</v>
      </c>
      <c r="B39" s="360" t="s">
        <v>1650</v>
      </c>
      <c r="C39" s="360" t="s">
        <v>472</v>
      </c>
      <c r="D39" s="359" t="s">
        <v>1662</v>
      </c>
      <c r="E39" s="364" t="s">
        <v>1620</v>
      </c>
      <c r="F39" s="360">
        <v>2024</v>
      </c>
      <c r="G39" s="359" t="s">
        <v>1662</v>
      </c>
      <c r="H39" s="364" t="s">
        <v>1620</v>
      </c>
      <c r="I39" s="360">
        <v>2024</v>
      </c>
      <c r="J39" s="360" t="s">
        <v>468</v>
      </c>
      <c r="K39" s="360" t="s">
        <v>964</v>
      </c>
      <c r="L39" s="360" t="s">
        <v>670</v>
      </c>
      <c r="M39" s="360" t="s">
        <v>392</v>
      </c>
      <c r="N39" s="360" t="s">
        <v>65</v>
      </c>
      <c r="O39" s="360" t="s">
        <v>969</v>
      </c>
      <c r="P39" s="116" t="str">
        <f t="shared" si="3"/>
        <v>Акт освидетельствования скрытых работ №5-КЗ_КК_6 от 07 ноября 2024г. Обратная засыпка траншеи</v>
      </c>
    </row>
    <row r="40" spans="1:16" ht="50">
      <c r="A40" s="117" t="s">
        <v>1664</v>
      </c>
      <c r="B40" s="360" t="s">
        <v>1651</v>
      </c>
      <c r="C40" s="363" t="s">
        <v>465</v>
      </c>
      <c r="D40" s="359" t="s">
        <v>1663</v>
      </c>
      <c r="E40" s="364" t="s">
        <v>1620</v>
      </c>
      <c r="F40" s="360">
        <v>2024</v>
      </c>
      <c r="G40" s="359" t="s">
        <v>1663</v>
      </c>
      <c r="H40" s="364" t="s">
        <v>1620</v>
      </c>
      <c r="I40" s="360">
        <v>2024</v>
      </c>
      <c r="J40" s="363" t="s">
        <v>254</v>
      </c>
      <c r="K40" s="360" t="s">
        <v>964</v>
      </c>
      <c r="L40" s="360" t="s">
        <v>670</v>
      </c>
      <c r="M40" s="360" t="str">
        <f>C41</f>
        <v>Монтаж вертикальных электродов контура заземления</v>
      </c>
      <c r="N40" s="365" t="s">
        <v>65</v>
      </c>
      <c r="O40" s="360" t="s">
        <v>969</v>
      </c>
      <c r="P40" s="116" t="str">
        <f t="shared" si="3"/>
        <v>Акт освидетельствования скрытых работ №1-КЗ_КК_7 от 08 ноября 2024г. Разработка грунта траншеи</v>
      </c>
    </row>
    <row r="41" spans="1:16" ht="50">
      <c r="A41" s="117" t="s">
        <v>1665</v>
      </c>
      <c r="B41" s="360" t="s">
        <v>1652</v>
      </c>
      <c r="C41" s="360" t="s">
        <v>470</v>
      </c>
      <c r="D41" s="359" t="s">
        <v>1663</v>
      </c>
      <c r="E41" s="364" t="s">
        <v>1620</v>
      </c>
      <c r="F41" s="360">
        <v>2024</v>
      </c>
      <c r="G41" s="359" t="s">
        <v>1663</v>
      </c>
      <c r="H41" s="364" t="s">
        <v>1620</v>
      </c>
      <c r="I41" s="360">
        <v>2024</v>
      </c>
      <c r="J41" s="360" t="str">
        <f>CONCATENATE("Уголок г/к 63х63х5мм. ",N41)</f>
        <v>Уголок г/к 63х63х5мм. Информационное письмо №1157 от 26.10.2016 "Центр Декларирования Сертификации" (ООО "ЦДС)"</v>
      </c>
      <c r="K41" s="360" t="s">
        <v>964</v>
      </c>
      <c r="L41" s="360" t="s">
        <v>669</v>
      </c>
      <c r="M41" s="360" t="str">
        <f>C42</f>
        <v>Монтаж горизонтального заземлителя</v>
      </c>
      <c r="N41" s="360" t="s">
        <v>963</v>
      </c>
      <c r="O41" s="360" t="s">
        <v>969</v>
      </c>
      <c r="P41" s="116" t="str">
        <f t="shared" si="3"/>
        <v>Акт освидетельствования скрытых работ №2-КЗ_КК_7 от 08 ноября 2024г. Монтаж вертикальных электродов контура заземления</v>
      </c>
    </row>
    <row r="42" spans="1:16" ht="62.5">
      <c r="A42" s="117" t="s">
        <v>1666</v>
      </c>
      <c r="B42" s="360" t="s">
        <v>1653</v>
      </c>
      <c r="C42" s="360" t="s">
        <v>471</v>
      </c>
      <c r="D42" s="359" t="s">
        <v>1663</v>
      </c>
      <c r="E42" s="364" t="s">
        <v>1620</v>
      </c>
      <c r="F42" s="360">
        <v>2024</v>
      </c>
      <c r="G42" s="359" t="s">
        <v>1663</v>
      </c>
      <c r="H42" s="364" t="s">
        <v>1620</v>
      </c>
      <c r="I42" s="360">
        <v>2024</v>
      </c>
      <c r="J42" s="360" t="str">
        <f>CONCATENATE("Полоса г/к 40х5 ",N42)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42" s="360" t="s">
        <v>964</v>
      </c>
      <c r="L42" s="360" t="s">
        <v>669</v>
      </c>
      <c r="M42" s="360" t="str">
        <f>C43</f>
        <v>Огрунтовка и окраска сварных соединений</v>
      </c>
      <c r="N42" s="360" t="s">
        <v>908</v>
      </c>
      <c r="O42" s="360" t="s">
        <v>969</v>
      </c>
      <c r="P42" s="116" t="str">
        <f t="shared" si="3"/>
        <v>Акт освидетельствования скрытых работ №3-КЗ_КК_7 от 08 ноября 2024г. Монтаж горизонтального заземлителя</v>
      </c>
    </row>
    <row r="43" spans="1:16" ht="50">
      <c r="A43" s="117" t="s">
        <v>1667</v>
      </c>
      <c r="B43" s="360" t="s">
        <v>1654</v>
      </c>
      <c r="C43" s="360" t="s">
        <v>403</v>
      </c>
      <c r="D43" s="359" t="s">
        <v>1663</v>
      </c>
      <c r="E43" s="364" t="s">
        <v>1620</v>
      </c>
      <c r="F43" s="360">
        <v>2024</v>
      </c>
      <c r="G43" s="359" t="s">
        <v>1663</v>
      </c>
      <c r="H43" s="364" t="s">
        <v>1620</v>
      </c>
      <c r="I43" s="360">
        <v>2024</v>
      </c>
      <c r="J43" s="360" t="str">
        <f>CONCATENATE("Грунт ГФ-021. Эмаль ПФ-115. ",N43)</f>
        <v>Грунт ГФ-021. Эмаль ПФ-115. Отказное письмо исх. №60-12/2020 от 12.05.2020 ООО "Биквест-Центр"</v>
      </c>
      <c r="K43" s="360" t="s">
        <v>964</v>
      </c>
      <c r="L43" s="360" t="s">
        <v>669</v>
      </c>
      <c r="M43" s="360" t="str">
        <f>C44</f>
        <v>Обратная засыпка траншеи</v>
      </c>
      <c r="N43" s="361" t="s">
        <v>668</v>
      </c>
      <c r="O43" s="360" t="s">
        <v>969</v>
      </c>
      <c r="P43" s="116" t="str">
        <f t="shared" si="3"/>
        <v>Акт освидетельствования скрытых работ №4-КЗ_КК_7 от 08 ноября 2024г. Огрунтовка и окраска сварных соединений</v>
      </c>
    </row>
    <row r="44" spans="1:16" ht="50">
      <c r="A44" s="117" t="s">
        <v>1668</v>
      </c>
      <c r="B44" s="360" t="s">
        <v>1655</v>
      </c>
      <c r="C44" s="360" t="s">
        <v>472</v>
      </c>
      <c r="D44" s="359" t="s">
        <v>1663</v>
      </c>
      <c r="E44" s="364" t="s">
        <v>1620</v>
      </c>
      <c r="F44" s="360">
        <v>2024</v>
      </c>
      <c r="G44" s="359" t="s">
        <v>1663</v>
      </c>
      <c r="H44" s="364" t="s">
        <v>1620</v>
      </c>
      <c r="I44" s="360">
        <v>2024</v>
      </c>
      <c r="J44" s="360" t="s">
        <v>468</v>
      </c>
      <c r="K44" s="360" t="s">
        <v>964</v>
      </c>
      <c r="L44" s="360" t="s">
        <v>670</v>
      </c>
      <c r="M44" s="360" t="s">
        <v>392</v>
      </c>
      <c r="N44" s="360" t="s">
        <v>65</v>
      </c>
      <c r="O44" s="360" t="s">
        <v>969</v>
      </c>
      <c r="P44" s="116" t="str">
        <f t="shared" si="3"/>
        <v>Акт освидетельствования скрытых работ №5-КЗ_КК_7 от 08 ноября 2024г. Обратная засыпка траншеи</v>
      </c>
    </row>
    <row r="45" spans="1:16" ht="50">
      <c r="A45" s="117" t="s">
        <v>1669</v>
      </c>
      <c r="B45" s="360" t="s">
        <v>1656</v>
      </c>
      <c r="C45" s="363" t="s">
        <v>465</v>
      </c>
      <c r="D45" s="359" t="s">
        <v>1663</v>
      </c>
      <c r="E45" s="364" t="s">
        <v>1620</v>
      </c>
      <c r="F45" s="360">
        <v>2024</v>
      </c>
      <c r="G45" s="359" t="s">
        <v>1663</v>
      </c>
      <c r="H45" s="364" t="s">
        <v>1620</v>
      </c>
      <c r="I45" s="360">
        <v>2024</v>
      </c>
      <c r="J45" s="363" t="s">
        <v>254</v>
      </c>
      <c r="K45" s="360" t="s">
        <v>964</v>
      </c>
      <c r="L45" s="360" t="s">
        <v>670</v>
      </c>
      <c r="M45" s="360" t="str">
        <f>C46</f>
        <v>Монтаж вертикальных электродов контура заземления</v>
      </c>
      <c r="N45" s="365" t="s">
        <v>65</v>
      </c>
      <c r="O45" s="360" t="s">
        <v>969</v>
      </c>
      <c r="P45" s="116" t="str">
        <f t="shared" ref="P45:P49" si="4">CONCATENATE("Акт освидетельствования скрытых работ №",B45," от ",G45," ",H45," ",I45,"г. ",C45)</f>
        <v>Акт освидетельствования скрытых работ №1-КЗ_КК_8 от 08 ноября 2024г. Разработка грунта траншеи</v>
      </c>
    </row>
    <row r="46" spans="1:16" ht="50">
      <c r="A46" s="117" t="s">
        <v>1670</v>
      </c>
      <c r="B46" s="360" t="s">
        <v>1657</v>
      </c>
      <c r="C46" s="360" t="s">
        <v>470</v>
      </c>
      <c r="D46" s="359" t="s">
        <v>1663</v>
      </c>
      <c r="E46" s="364" t="s">
        <v>1620</v>
      </c>
      <c r="F46" s="360">
        <v>2024</v>
      </c>
      <c r="G46" s="359" t="s">
        <v>1663</v>
      </c>
      <c r="H46" s="364" t="s">
        <v>1620</v>
      </c>
      <c r="I46" s="360">
        <v>2024</v>
      </c>
      <c r="J46" s="360" t="str">
        <f>CONCATENATE("Уголок г/к 63х63х5мм. ",N46)</f>
        <v>Уголок г/к 63х63х5мм. Информационное письмо №1157 от 26.10.2016 "Центр Декларирования Сертификации" (ООО "ЦДС)"</v>
      </c>
      <c r="K46" s="360" t="s">
        <v>964</v>
      </c>
      <c r="L46" s="360" t="s">
        <v>669</v>
      </c>
      <c r="M46" s="360" t="str">
        <f>C47</f>
        <v>Монтаж горизонтального заземлителя</v>
      </c>
      <c r="N46" s="360" t="s">
        <v>963</v>
      </c>
      <c r="O46" s="360" t="s">
        <v>969</v>
      </c>
      <c r="P46" s="116" t="str">
        <f t="shared" si="4"/>
        <v>Акт освидетельствования скрытых работ №2-КЗ_КК_8 от 08 ноября 2024г. Монтаж вертикальных электродов контура заземления</v>
      </c>
    </row>
    <row r="47" spans="1:16" ht="62.5">
      <c r="A47" s="117" t="s">
        <v>1671</v>
      </c>
      <c r="B47" s="360" t="s">
        <v>1658</v>
      </c>
      <c r="C47" s="360" t="s">
        <v>471</v>
      </c>
      <c r="D47" s="359" t="s">
        <v>1663</v>
      </c>
      <c r="E47" s="364" t="s">
        <v>1620</v>
      </c>
      <c r="F47" s="360">
        <v>2024</v>
      </c>
      <c r="G47" s="359" t="s">
        <v>1663</v>
      </c>
      <c r="H47" s="364" t="s">
        <v>1620</v>
      </c>
      <c r="I47" s="360">
        <v>2024</v>
      </c>
      <c r="J47" s="360" t="str">
        <f>CONCATENATE("Полоса г/к 40х5 ",N47)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47" s="360" t="s">
        <v>964</v>
      </c>
      <c r="L47" s="360" t="s">
        <v>669</v>
      </c>
      <c r="M47" s="360" t="str">
        <f>C48</f>
        <v>Огрунтовка и окраска сварных соединений</v>
      </c>
      <c r="N47" s="360" t="s">
        <v>908</v>
      </c>
      <c r="O47" s="360" t="s">
        <v>969</v>
      </c>
      <c r="P47" s="116" t="str">
        <f t="shared" si="4"/>
        <v>Акт освидетельствования скрытых работ №3-КЗ_КК_8 от 08 ноября 2024г. Монтаж горизонтального заземлителя</v>
      </c>
    </row>
    <row r="48" spans="1:16" ht="50">
      <c r="A48" s="117" t="s">
        <v>1672</v>
      </c>
      <c r="B48" s="360" t="s">
        <v>1659</v>
      </c>
      <c r="C48" s="360" t="s">
        <v>403</v>
      </c>
      <c r="D48" s="359" t="s">
        <v>1663</v>
      </c>
      <c r="E48" s="364" t="s">
        <v>1620</v>
      </c>
      <c r="F48" s="360">
        <v>2024</v>
      </c>
      <c r="G48" s="359" t="s">
        <v>1663</v>
      </c>
      <c r="H48" s="364" t="s">
        <v>1620</v>
      </c>
      <c r="I48" s="360">
        <v>2024</v>
      </c>
      <c r="J48" s="360" t="str">
        <f>CONCATENATE("Грунт ГФ-021. Эмаль ПФ-115. ",N48)</f>
        <v>Грунт ГФ-021. Эмаль ПФ-115. Отказное письмо исх. №60-12/2020 от 12.05.2020 ООО "Биквест-Центр"</v>
      </c>
      <c r="K48" s="360" t="s">
        <v>964</v>
      </c>
      <c r="L48" s="360" t="s">
        <v>669</v>
      </c>
      <c r="M48" s="360" t="str">
        <f>C49</f>
        <v>Обратная засыпка траншеи</v>
      </c>
      <c r="N48" s="361" t="s">
        <v>668</v>
      </c>
      <c r="O48" s="360" t="s">
        <v>969</v>
      </c>
      <c r="P48" s="116" t="str">
        <f t="shared" si="4"/>
        <v>Акт освидетельствования скрытых работ №4-КЗ_КК_8 от 08 ноября 2024г. Огрунтовка и окраска сварных соединений</v>
      </c>
    </row>
    <row r="49" spans="1:21" ht="50">
      <c r="A49" s="117" t="s">
        <v>1673</v>
      </c>
      <c r="B49" s="360" t="s">
        <v>1660</v>
      </c>
      <c r="C49" s="360" t="s">
        <v>472</v>
      </c>
      <c r="D49" s="359" t="s">
        <v>1663</v>
      </c>
      <c r="E49" s="364" t="s">
        <v>1620</v>
      </c>
      <c r="F49" s="360">
        <v>2024</v>
      </c>
      <c r="G49" s="359" t="s">
        <v>1663</v>
      </c>
      <c r="H49" s="364" t="s">
        <v>1620</v>
      </c>
      <c r="I49" s="360">
        <v>2024</v>
      </c>
      <c r="J49" s="360" t="s">
        <v>468</v>
      </c>
      <c r="K49" s="360" t="s">
        <v>964</v>
      </c>
      <c r="L49" s="360" t="s">
        <v>670</v>
      </c>
      <c r="M49" s="360" t="s">
        <v>392</v>
      </c>
      <c r="N49" s="360" t="s">
        <v>65</v>
      </c>
      <c r="O49" s="360" t="s">
        <v>969</v>
      </c>
      <c r="P49" s="116" t="str">
        <f t="shared" si="4"/>
        <v>Акт освидетельствования скрытых работ №5-КЗ_КК_8 от 08 ноября 2024г. Обратная засыпка траншеи</v>
      </c>
    </row>
    <row r="50" spans="1:21" ht="133.5" customHeight="1">
      <c r="A50" s="117" t="s">
        <v>1674</v>
      </c>
      <c r="B50" s="368" t="s">
        <v>652</v>
      </c>
      <c r="C50" s="368" t="s">
        <v>1459</v>
      </c>
      <c r="D50" s="652">
        <v>10</v>
      </c>
      <c r="E50" s="652" t="s">
        <v>1620</v>
      </c>
      <c r="F50" s="652">
        <v>2024</v>
      </c>
      <c r="G50" s="652">
        <v>10</v>
      </c>
      <c r="H50" s="652" t="s">
        <v>1620</v>
      </c>
      <c r="I50" s="652">
        <v>2024</v>
      </c>
      <c r="J50" s="368" t="s">
        <v>254</v>
      </c>
      <c r="K50" s="368" t="s">
        <v>1463</v>
      </c>
      <c r="L50" s="368" t="s">
        <v>670</v>
      </c>
      <c r="M50" s="368" t="e">
        <f>#REF!</f>
        <v>#REF!</v>
      </c>
      <c r="N50" s="368" t="s">
        <v>65</v>
      </c>
      <c r="O50" s="368" t="s">
        <v>970</v>
      </c>
      <c r="P50" s="116" t="str">
        <f t="shared" si="0"/>
        <v>Акт освидетельствования скрытых работ №1-КЛ0,4 от 10 ноября 2024г. Разработка грунта приемных и стартовых котлованов</v>
      </c>
    </row>
    <row r="51" spans="1:21" s="40" customFormat="1" ht="197.25" customHeight="1">
      <c r="A51" s="117" t="s">
        <v>1675</v>
      </c>
      <c r="B51" s="368" t="s">
        <v>653</v>
      </c>
      <c r="C51" s="368" t="s">
        <v>1461</v>
      </c>
      <c r="D51" s="652">
        <v>27</v>
      </c>
      <c r="E51" s="652" t="s">
        <v>727</v>
      </c>
      <c r="F51" s="652">
        <v>2024</v>
      </c>
      <c r="G51" s="652">
        <v>28</v>
      </c>
      <c r="H51" s="652" t="s">
        <v>727</v>
      </c>
      <c r="I51" s="652">
        <v>2024</v>
      </c>
      <c r="J51" s="368" t="str">
        <f>CONCATENATE("Труба термостойкая двухслойная ТЗК Энергопласт. ",N51)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1" s="368" t="s">
        <v>1464</v>
      </c>
      <c r="L51" s="368" t="s">
        <v>669</v>
      </c>
      <c r="M51" s="368" t="str">
        <f>C56</f>
        <v>Прокладка КЛ-0,4 кВ с нанесением огнезащитного покрытия Огракс В1</v>
      </c>
      <c r="N51" s="368" t="s">
        <v>1740</v>
      </c>
      <c r="O51" s="368" t="s">
        <v>970</v>
      </c>
      <c r="P51" s="116" t="str">
        <f t="shared" si="0"/>
        <v>Акт освидетельствования скрытых работ №2-КЛ0,4 от 28 января 2024г. Устройство ГНБ №2 перехода</v>
      </c>
      <c r="Q51" s="139"/>
    </row>
    <row r="52" spans="1:21" s="40" customFormat="1" ht="197.25" customHeight="1">
      <c r="A52" s="117" t="s">
        <v>1676</v>
      </c>
      <c r="B52" s="368" t="s">
        <v>654</v>
      </c>
      <c r="C52" s="368" t="s">
        <v>1460</v>
      </c>
      <c r="D52" s="652">
        <v>27</v>
      </c>
      <c r="E52" s="652" t="s">
        <v>727</v>
      </c>
      <c r="F52" s="652">
        <v>2024</v>
      </c>
      <c r="G52" s="652">
        <v>28</v>
      </c>
      <c r="H52" s="652" t="s">
        <v>727</v>
      </c>
      <c r="I52" s="652">
        <v>2024</v>
      </c>
      <c r="J52" s="368" t="str">
        <f>CONCATENATE("Труба термостойкая двухслойная ТЗК Энергопласт. ",N52)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2" s="368" t="s">
        <v>1464</v>
      </c>
      <c r="L52" s="368" t="s">
        <v>669</v>
      </c>
      <c r="M52" s="368" t="str">
        <f>C57</f>
        <v>Засыпка кабеля песком</v>
      </c>
      <c r="N52" s="368" t="s">
        <v>1740</v>
      </c>
      <c r="O52" s="368" t="s">
        <v>970</v>
      </c>
      <c r="P52" s="116"/>
      <c r="Q52" s="139"/>
    </row>
    <row r="53" spans="1:21" s="40" customFormat="1" ht="50">
      <c r="A53" s="117" t="s">
        <v>1677</v>
      </c>
      <c r="B53" s="368" t="s">
        <v>655</v>
      </c>
      <c r="C53" s="368" t="s">
        <v>465</v>
      </c>
      <c r="D53" s="652">
        <v>10</v>
      </c>
      <c r="E53" s="652" t="s">
        <v>1620</v>
      </c>
      <c r="F53" s="652">
        <v>2024</v>
      </c>
      <c r="G53" s="652">
        <v>12</v>
      </c>
      <c r="H53" s="652" t="s">
        <v>1620</v>
      </c>
      <c r="I53" s="652">
        <v>2024</v>
      </c>
      <c r="J53" s="368" t="s">
        <v>254</v>
      </c>
      <c r="K53" s="368" t="s">
        <v>1465</v>
      </c>
      <c r="L53" s="368" t="s">
        <v>670</v>
      </c>
      <c r="M53" s="368" t="str">
        <f>C54</f>
        <v>Устройство песчанного основания</v>
      </c>
      <c r="N53" s="368" t="s">
        <v>65</v>
      </c>
      <c r="O53" s="368" t="s">
        <v>970</v>
      </c>
      <c r="P53" s="116"/>
      <c r="Q53" s="139"/>
    </row>
    <row r="54" spans="1:21" s="40" customFormat="1" ht="65.25" customHeight="1">
      <c r="A54" s="117" t="s">
        <v>1678</v>
      </c>
      <c r="B54" s="368" t="s">
        <v>656</v>
      </c>
      <c r="C54" s="368" t="s">
        <v>958</v>
      </c>
      <c r="D54" s="652">
        <v>10</v>
      </c>
      <c r="E54" s="652" t="s">
        <v>1620</v>
      </c>
      <c r="F54" s="652">
        <v>2024</v>
      </c>
      <c r="G54" s="652">
        <v>12</v>
      </c>
      <c r="H54" s="652" t="s">
        <v>1620</v>
      </c>
      <c r="I54" s="652">
        <v>2024</v>
      </c>
      <c r="J54" s="368" t="str">
        <f>CONCATENATE("Песок для строительных работ. ",N54)</f>
        <v>Песок для строительных работ. Паспорт №31/08/22 от 31.08.2022 ООО "ДК "Горизонт"</v>
      </c>
      <c r="K54" s="368" t="s">
        <v>1466</v>
      </c>
      <c r="L54" s="368" t="s">
        <v>670</v>
      </c>
      <c r="M54" s="368" t="str">
        <f>C64</f>
        <v>Огрунтовка и окраска сварных соединений</v>
      </c>
      <c r="N54" s="368" t="s">
        <v>959</v>
      </c>
      <c r="O54" s="368" t="s">
        <v>970</v>
      </c>
      <c r="P54" s="116"/>
      <c r="Q54" s="139"/>
    </row>
    <row r="55" spans="1:21" s="40" customFormat="1" ht="65.25" customHeight="1">
      <c r="A55" s="117" t="s">
        <v>1679</v>
      </c>
      <c r="B55" s="368" t="s">
        <v>657</v>
      </c>
      <c r="C55" s="368" t="s">
        <v>965</v>
      </c>
      <c r="D55" s="652">
        <v>11</v>
      </c>
      <c r="E55" s="652" t="s">
        <v>1620</v>
      </c>
      <c r="F55" s="652">
        <v>2024</v>
      </c>
      <c r="G55" s="652">
        <v>12</v>
      </c>
      <c r="H55" s="652" t="s">
        <v>1620</v>
      </c>
      <c r="I55" s="652">
        <v>2024</v>
      </c>
      <c r="J55" s="368" t="str">
        <f>CONCATENATE("Трубы ПНД. ",N55)</f>
        <v xml:space="preserve">Трубы ПНД. Сертификат соответсвия №РОСС.RU.HX37.H02706 с 07.07.2020 по 06.07.2023 </v>
      </c>
      <c r="K55" s="368" t="s">
        <v>1467</v>
      </c>
      <c r="L55" s="368" t="s">
        <v>670</v>
      </c>
      <c r="M55" s="368" t="str">
        <f>C22</f>
        <v>Монтаж горизонтального заземлителя</v>
      </c>
      <c r="N55" s="368" t="s">
        <v>966</v>
      </c>
      <c r="O55" s="368" t="s">
        <v>970</v>
      </c>
      <c r="P55" s="116"/>
      <c r="Q55" s="139"/>
    </row>
    <row r="56" spans="1:21" s="40" customFormat="1" ht="75">
      <c r="A56" s="117" t="s">
        <v>1680</v>
      </c>
      <c r="B56" s="368" t="s">
        <v>657</v>
      </c>
      <c r="C56" s="368" t="s">
        <v>666</v>
      </c>
      <c r="D56" s="653" t="s">
        <v>606</v>
      </c>
      <c r="E56" s="652" t="s">
        <v>1620</v>
      </c>
      <c r="F56" s="652">
        <v>2024</v>
      </c>
      <c r="G56" s="653" t="s">
        <v>1694</v>
      </c>
      <c r="H56" s="652" t="s">
        <v>1620</v>
      </c>
      <c r="I56" s="652">
        <v>2024</v>
      </c>
      <c r="J56" s="368" t="s">
        <v>960</v>
      </c>
      <c r="K56" s="368" t="s">
        <v>1468</v>
      </c>
      <c r="L56" s="368" t="s">
        <v>669</v>
      </c>
      <c r="M56" s="368" t="s">
        <v>961</v>
      </c>
      <c r="N56" s="368" t="s">
        <v>962</v>
      </c>
      <c r="O56" s="368" t="s">
        <v>970</v>
      </c>
      <c r="P56" s="116" t="str">
        <f t="shared" si="0"/>
        <v>Акт освидетельствования скрытых работ №6-КЛ0,4 от 14 ноября 2024г. Прокладка КЛ-0,4 кВ с нанесением огнезащитного покрытия Огракс В1</v>
      </c>
      <c r="Q56" s="139"/>
    </row>
    <row r="57" spans="1:21" s="40" customFormat="1" ht="50">
      <c r="A57" s="117" t="s">
        <v>1681</v>
      </c>
      <c r="B57" s="368" t="s">
        <v>658</v>
      </c>
      <c r="C57" s="368" t="s">
        <v>961</v>
      </c>
      <c r="D57" s="652">
        <v>14</v>
      </c>
      <c r="E57" s="652" t="s">
        <v>1620</v>
      </c>
      <c r="F57" s="652">
        <v>2024</v>
      </c>
      <c r="G57" s="652">
        <v>16</v>
      </c>
      <c r="H57" s="652" t="s">
        <v>1620</v>
      </c>
      <c r="I57" s="652">
        <v>2024</v>
      </c>
      <c r="J57" s="368" t="str">
        <f>CONCATENATE("Песок для строительных работ. ",N57)</f>
        <v>Песок для строительных работ. Паспорт №31/08/22 от 31.08.2022 ООО "ДК "Горизонт"</v>
      </c>
      <c r="K57" s="368" t="s">
        <v>1469</v>
      </c>
      <c r="L57" s="368" t="s">
        <v>669</v>
      </c>
      <c r="M57" s="368" t="str">
        <f>C58</f>
        <v>Укладка плитки ПЗК</v>
      </c>
      <c r="N57" s="368" t="s">
        <v>959</v>
      </c>
      <c r="O57" s="368" t="s">
        <v>970</v>
      </c>
      <c r="P57" s="116" t="str">
        <f t="shared" si="0"/>
        <v>Акт освидетельствования скрытых работ №7-КЛ0,4 от 16 ноября 2024г. Засыпка кабеля песком</v>
      </c>
      <c r="Q57" s="101"/>
    </row>
    <row r="58" spans="1:21" s="40" customFormat="1" ht="50">
      <c r="A58" s="117" t="s">
        <v>1682</v>
      </c>
      <c r="B58" s="368" t="s">
        <v>685</v>
      </c>
      <c r="C58" s="368" t="s">
        <v>467</v>
      </c>
      <c r="D58" s="652">
        <v>14</v>
      </c>
      <c r="E58" s="652" t="s">
        <v>1620</v>
      </c>
      <c r="F58" s="652">
        <v>2024</v>
      </c>
      <c r="G58" s="652">
        <v>16</v>
      </c>
      <c r="H58" s="652" t="s">
        <v>1620</v>
      </c>
      <c r="I58" s="652">
        <v>2024</v>
      </c>
      <c r="J58" s="368" t="str">
        <f>CONCATENATE("Плитка ПЗК. ",N58)</f>
        <v>Плитка ПЗК. Технический паспорт б/н от 12.03.2021</v>
      </c>
      <c r="K58" s="368" t="s">
        <v>1470</v>
      </c>
      <c r="L58" s="368" t="s">
        <v>669</v>
      </c>
      <c r="M58" s="368" t="str">
        <f>C59</f>
        <v>Засыпка кабеля песком</v>
      </c>
      <c r="N58" s="368" t="s">
        <v>1472</v>
      </c>
      <c r="O58" s="368" t="s">
        <v>970</v>
      </c>
      <c r="P58" s="116"/>
      <c r="Q58" s="101"/>
    </row>
    <row r="59" spans="1:21" s="40" customFormat="1" ht="87.5">
      <c r="A59" s="117" t="s">
        <v>1683</v>
      </c>
      <c r="B59" s="368" t="s">
        <v>1462</v>
      </c>
      <c r="C59" s="368" t="s">
        <v>961</v>
      </c>
      <c r="D59" s="652">
        <v>14</v>
      </c>
      <c r="E59" s="652" t="s">
        <v>1620</v>
      </c>
      <c r="F59" s="652">
        <v>2024</v>
      </c>
      <c r="G59" s="652">
        <v>17</v>
      </c>
      <c r="H59" s="652" t="s">
        <v>1620</v>
      </c>
      <c r="I59" s="652">
        <v>2024</v>
      </c>
      <c r="J59" s="368" t="str">
        <f>CONCATENATE("Песок для строительных работ. ",N59)</f>
        <v>Песок для строительных работ. Паспорт №31/08/22 от 31.08.2022 ООО "ДК "Горизонт"</v>
      </c>
      <c r="K59" s="368" t="s">
        <v>1471</v>
      </c>
      <c r="L59" s="368" t="s">
        <v>669</v>
      </c>
      <c r="M59" s="368" t="str">
        <f>C61</f>
        <v>Разработка грунта траншеи</v>
      </c>
      <c r="N59" s="368" t="s">
        <v>959</v>
      </c>
      <c r="O59" s="368" t="s">
        <v>970</v>
      </c>
      <c r="P59" s="116" t="str">
        <f t="shared" si="0"/>
        <v>Акт освидетельствования скрытых работ №9-КЛ0,4 от 17 ноября 2024г. Засыпка кабеля песком</v>
      </c>
    </row>
    <row r="60" spans="1:21" s="41" customFormat="1" ht="50">
      <c r="A60" s="117" t="s">
        <v>1684</v>
      </c>
      <c r="B60" s="413" t="s">
        <v>654</v>
      </c>
      <c r="C60" s="413" t="s">
        <v>965</v>
      </c>
      <c r="D60" s="413">
        <v>27</v>
      </c>
      <c r="E60" s="413" t="s">
        <v>727</v>
      </c>
      <c r="F60" s="413">
        <v>2024</v>
      </c>
      <c r="G60" s="413">
        <v>28</v>
      </c>
      <c r="H60" s="413" t="s">
        <v>727</v>
      </c>
      <c r="I60" s="413">
        <v>2024</v>
      </c>
      <c r="J60" s="413" t="str">
        <f>CONCATENATE("Трубы ПНД. ",N60)</f>
        <v xml:space="preserve">Трубы ПНД. Сертификат соответсвия №РОСС.RU.HX37.H02706 с 07.07.2020 по 06.07.2023 </v>
      </c>
      <c r="K60" s="413" t="s">
        <v>1173</v>
      </c>
      <c r="L60" s="413" t="s">
        <v>670</v>
      </c>
      <c r="M60" s="413" t="str">
        <f>C51</f>
        <v>Устройство ГНБ №2 перехода</v>
      </c>
      <c r="N60" s="413" t="s">
        <v>966</v>
      </c>
      <c r="O60" s="413" t="s">
        <v>970</v>
      </c>
      <c r="P60" s="116" t="str">
        <f t="shared" si="0"/>
        <v>Акт освидетельствования скрытых работ №3-КЛ0,4 от 28 января 2024г. Прокладка труб в траншее</v>
      </c>
    </row>
    <row r="61" spans="1:21" ht="75">
      <c r="A61" s="117" t="s">
        <v>1685</v>
      </c>
      <c r="B61" s="497" t="s">
        <v>644</v>
      </c>
      <c r="C61" s="498" t="s">
        <v>465</v>
      </c>
      <c r="D61" s="499" t="s">
        <v>690</v>
      </c>
      <c r="E61" s="500" t="s">
        <v>739</v>
      </c>
      <c r="F61" s="501">
        <v>2024</v>
      </c>
      <c r="G61" s="499" t="s">
        <v>691</v>
      </c>
      <c r="H61" s="500" t="s">
        <v>739</v>
      </c>
      <c r="I61" s="501">
        <v>2024</v>
      </c>
      <c r="J61" s="498" t="s">
        <v>254</v>
      </c>
      <c r="K61" s="501" t="s">
        <v>751</v>
      </c>
      <c r="L61" s="501" t="s">
        <v>670</v>
      </c>
      <c r="M61" s="502" t="str">
        <f>C62</f>
        <v>Монтаж вертикальных электродов контура заземления</v>
      </c>
      <c r="N61" s="503" t="s">
        <v>65</v>
      </c>
      <c r="O61" s="501" t="s">
        <v>347</v>
      </c>
      <c r="P61" s="116" t="str">
        <f t="shared" si="0"/>
        <v>Акт освидетельствования скрытых работ №1-КЗ_ОП от 29 февраля 2024г. Разработка грунта траншеи</v>
      </c>
    </row>
    <row r="62" spans="1:21" ht="62.5">
      <c r="A62" s="117" t="s">
        <v>1686</v>
      </c>
      <c r="B62" s="504" t="s">
        <v>645</v>
      </c>
      <c r="C62" s="501" t="s">
        <v>470</v>
      </c>
      <c r="D62" s="499" t="s">
        <v>690</v>
      </c>
      <c r="E62" s="500" t="s">
        <v>739</v>
      </c>
      <c r="F62" s="501">
        <v>2024</v>
      </c>
      <c r="G62" s="499" t="s">
        <v>691</v>
      </c>
      <c r="H62" s="500" t="s">
        <v>739</v>
      </c>
      <c r="I62" s="501">
        <v>2024</v>
      </c>
      <c r="J62" s="501" t="str">
        <f>CONCATENATE("Уголок г/к 50х50х5мм. ",N62)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62" s="501" t="s">
        <v>1171</v>
      </c>
      <c r="L62" s="501" t="s">
        <v>669</v>
      </c>
      <c r="M62" s="501" t="str">
        <f>C63</f>
        <v>Монтаж горизонтального заземлителя</v>
      </c>
      <c r="N62" s="501" t="s">
        <v>907</v>
      </c>
      <c r="O62" s="501" t="s">
        <v>347</v>
      </c>
      <c r="P6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62" s="101"/>
      <c r="R62" s="101"/>
      <c r="S62" s="239"/>
      <c r="T62" s="101"/>
      <c r="U62" s="101"/>
    </row>
    <row r="63" spans="1:21" ht="62.5">
      <c r="A63" s="117" t="s">
        <v>1687</v>
      </c>
      <c r="B63" s="504" t="s">
        <v>646</v>
      </c>
      <c r="C63" s="501" t="s">
        <v>471</v>
      </c>
      <c r="D63" s="499" t="s">
        <v>690</v>
      </c>
      <c r="E63" s="500" t="s">
        <v>739</v>
      </c>
      <c r="F63" s="501">
        <v>2024</v>
      </c>
      <c r="G63" s="499" t="s">
        <v>691</v>
      </c>
      <c r="H63" s="500" t="s">
        <v>739</v>
      </c>
      <c r="I63" s="501">
        <v>2024</v>
      </c>
      <c r="J63" s="501" t="str">
        <f>CONCATENATE("Полоса г/к 40х5 ",N63)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63" s="501" t="s">
        <v>1170</v>
      </c>
      <c r="L63" s="501" t="s">
        <v>669</v>
      </c>
      <c r="M63" s="501" t="str">
        <f>C64</f>
        <v>Огрунтовка и окраска сварных соединений</v>
      </c>
      <c r="N63" s="501" t="s">
        <v>908</v>
      </c>
      <c r="O63" s="501" t="s">
        <v>347</v>
      </c>
      <c r="P6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64" spans="1:21" ht="75.5" thickBot="1">
      <c r="A64" s="117" t="s">
        <v>1688</v>
      </c>
      <c r="B64" s="505" t="s">
        <v>647</v>
      </c>
      <c r="C64" s="501" t="s">
        <v>403</v>
      </c>
      <c r="D64" s="499" t="s">
        <v>690</v>
      </c>
      <c r="E64" s="500" t="s">
        <v>739</v>
      </c>
      <c r="F64" s="501">
        <v>2024</v>
      </c>
      <c r="G64" s="499" t="s">
        <v>691</v>
      </c>
      <c r="H64" s="500" t="s">
        <v>739</v>
      </c>
      <c r="I64" s="501">
        <v>2024</v>
      </c>
      <c r="J64" s="501" t="str">
        <f>CONCATENATE("Грунт ГФ-021. Эмаль ПФ-115. ",N64)</f>
        <v>Грунт ГФ-021. Эмаль ПФ-115. Отказное письмо исх. №60-12/2020 от 12.05.2020 ООО "Биквест-Центр"</v>
      </c>
      <c r="K64" s="501" t="s">
        <v>1169</v>
      </c>
      <c r="L64" s="501" t="s">
        <v>669</v>
      </c>
      <c r="M64" s="501" t="str">
        <f>C65</f>
        <v>Обратная засыпка траншеи</v>
      </c>
      <c r="N64" s="506" t="s">
        <v>668</v>
      </c>
      <c r="O64" s="501" t="s">
        <v>347</v>
      </c>
      <c r="P6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65" spans="1:16" ht="67.5" customHeight="1" thickBot="1">
      <c r="A65" s="117" t="s">
        <v>1689</v>
      </c>
      <c r="B65" s="505" t="s">
        <v>648</v>
      </c>
      <c r="C65" s="501" t="s">
        <v>472</v>
      </c>
      <c r="D65" s="499" t="s">
        <v>690</v>
      </c>
      <c r="E65" s="500" t="s">
        <v>739</v>
      </c>
      <c r="F65" s="501">
        <v>2024</v>
      </c>
      <c r="G65" s="499" t="s">
        <v>691</v>
      </c>
      <c r="H65" s="500" t="s">
        <v>739</v>
      </c>
      <c r="I65" s="501">
        <v>2024</v>
      </c>
      <c r="J65" s="501" t="s">
        <v>468</v>
      </c>
      <c r="K65" s="501" t="s">
        <v>752</v>
      </c>
      <c r="L65" s="501" t="s">
        <v>670</v>
      </c>
      <c r="M65" s="507" t="s">
        <v>392</v>
      </c>
      <c r="N65" s="508" t="s">
        <v>65</v>
      </c>
      <c r="O65" s="501" t="s">
        <v>347</v>
      </c>
      <c r="P65" s="116" t="str">
        <f t="shared" si="0"/>
        <v>Акт освидетельствования скрытых работ №5-КЗ_ОП от 29 февраля 2024г. Обратная засыпка траншеи</v>
      </c>
    </row>
    <row r="66" spans="1:16" ht="83.25" customHeight="1">
      <c r="A66" s="117" t="s">
        <v>1690</v>
      </c>
      <c r="B66" s="509" t="s">
        <v>915</v>
      </c>
      <c r="C66" s="510" t="s">
        <v>572</v>
      </c>
      <c r="D66" s="511" t="s">
        <v>643</v>
      </c>
      <c r="E66" s="512" t="s">
        <v>758</v>
      </c>
      <c r="F66" s="510">
        <f>$F$2</f>
        <v>2024</v>
      </c>
      <c r="G66" s="511" t="s">
        <v>643</v>
      </c>
      <c r="H66" s="512" t="s">
        <v>758</v>
      </c>
      <c r="I66" s="510">
        <f>$F$2</f>
        <v>2024</v>
      </c>
      <c r="J66" s="513" t="s">
        <v>254</v>
      </c>
      <c r="K66" s="510" t="s">
        <v>899</v>
      </c>
      <c r="L66" s="510" t="s">
        <v>670</v>
      </c>
      <c r="M66" s="514" t="str">
        <f>C67</f>
        <v>Укладка геотекстиля «ДОРНИТ» на дно котлована в 1 слой</v>
      </c>
      <c r="N66" s="515" t="s">
        <v>65</v>
      </c>
      <c r="O66" s="515" t="s">
        <v>969</v>
      </c>
      <c r="P66" s="116" t="str">
        <f t="shared" si="0"/>
        <v>Акт освидетельствования скрытых работ №1-Ф_КТП от 04 марта 2024г. Разработка грунта котлована</v>
      </c>
    </row>
    <row r="67" spans="1:16" ht="78" customHeight="1">
      <c r="A67" s="117" t="s">
        <v>1691</v>
      </c>
      <c r="B67" s="509" t="s">
        <v>916</v>
      </c>
      <c r="C67" s="510" t="s">
        <v>896</v>
      </c>
      <c r="D67" s="511" t="s">
        <v>643</v>
      </c>
      <c r="E67" s="512" t="s">
        <v>758</v>
      </c>
      <c r="F67" s="510">
        <f>$F$2</f>
        <v>2024</v>
      </c>
      <c r="G67" s="511" t="s">
        <v>643</v>
      </c>
      <c r="H67" s="512" t="s">
        <v>758</v>
      </c>
      <c r="I67" s="510">
        <f>$F$2</f>
        <v>2024</v>
      </c>
      <c r="J67" s="516" t="str">
        <f>CONCATENATE("Полотно геотекстильное Дорнит. ",N67)</f>
        <v>Полотно геотекстильное Дорнит. Сертификат соответствия №РОСС RU.АМ05.Н26589 от 28.04.2023 сроком действия до 27.04.2026</v>
      </c>
      <c r="K67" s="510" t="s">
        <v>894</v>
      </c>
      <c r="L67" s="510" t="s">
        <v>670</v>
      </c>
      <c r="M67" s="514" t="str">
        <f>C68</f>
        <v>Устройство песчанного основания с послойным трамбованием</v>
      </c>
      <c r="N67" s="514" t="s">
        <v>909</v>
      </c>
      <c r="O67" s="515" t="s">
        <v>969</v>
      </c>
      <c r="P6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68" spans="1:16" ht="58.5" customHeight="1">
      <c r="A68" s="117" t="s">
        <v>1692</v>
      </c>
      <c r="B68" s="509" t="s">
        <v>917</v>
      </c>
      <c r="C68" s="510" t="s">
        <v>466</v>
      </c>
      <c r="D68" s="511" t="s">
        <v>913</v>
      </c>
      <c r="E68" s="512" t="s">
        <v>758</v>
      </c>
      <c r="F68" s="510">
        <f>$F$2</f>
        <v>2024</v>
      </c>
      <c r="G68" s="511" t="s">
        <v>913</v>
      </c>
      <c r="H68" s="512" t="s">
        <v>758</v>
      </c>
      <c r="I68" s="510">
        <f>$F$2</f>
        <v>2024</v>
      </c>
      <c r="J68" s="516" t="str">
        <f>CONCATENATE("Песок для строительных работ. ",N68)</f>
        <v>Песок для строительных работ. Сертификат соответствия №RU.МСС.183.355.36995 от 28.03.2022 сроком действия до 28.03.2025</v>
      </c>
      <c r="K68" s="510" t="s">
        <v>900</v>
      </c>
      <c r="L68" s="510" t="s">
        <v>670</v>
      </c>
      <c r="M68" s="510" t="str">
        <f>C69</f>
        <v>Устройство щебеночного основания с послойным трамбованием</v>
      </c>
      <c r="N68" s="514" t="s">
        <v>910</v>
      </c>
      <c r="O68" s="515" t="s">
        <v>969</v>
      </c>
      <c r="P6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69" spans="1:16" ht="59.25" customHeight="1">
      <c r="A69" s="117" t="s">
        <v>1693</v>
      </c>
      <c r="B69" s="509" t="s">
        <v>918</v>
      </c>
      <c r="C69" s="510" t="s">
        <v>573</v>
      </c>
      <c r="D69" s="511" t="s">
        <v>913</v>
      </c>
      <c r="E69" s="512" t="s">
        <v>758</v>
      </c>
      <c r="F69" s="510">
        <f>$F$2</f>
        <v>2024</v>
      </c>
      <c r="G69" s="511" t="s">
        <v>913</v>
      </c>
      <c r="H69" s="512" t="s">
        <v>758</v>
      </c>
      <c r="I69" s="510">
        <f>$F$2</f>
        <v>2024</v>
      </c>
      <c r="J69" s="510" t="str">
        <f>CONCATENATE("Щебень. ",N69)</f>
        <v>Щебень. Декларация о соответствии ЕАЭС №RU Д-RU.РА01.В.11071/21 от 03.06.2021 сроком действия до 02.06.2026</v>
      </c>
      <c r="K69" s="510" t="s">
        <v>901</v>
      </c>
      <c r="L69" s="510" t="s">
        <v>670</v>
      </c>
      <c r="M69" s="510" t="str">
        <f>C70</f>
        <v>Монтаж блоков ФБС</v>
      </c>
      <c r="N69" s="514" t="s">
        <v>911</v>
      </c>
      <c r="O69" s="515" t="s">
        <v>969</v>
      </c>
      <c r="P6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70" spans="1:16" ht="54.75" customHeight="1">
      <c r="A70" s="117" t="s">
        <v>674</v>
      </c>
      <c r="B70" s="509" t="s">
        <v>919</v>
      </c>
      <c r="C70" s="510" t="s">
        <v>912</v>
      </c>
      <c r="D70" s="511" t="s">
        <v>913</v>
      </c>
      <c r="E70" s="512" t="s">
        <v>758</v>
      </c>
      <c r="F70" s="510">
        <f>$F$2</f>
        <v>2024</v>
      </c>
      <c r="G70" s="511" t="s">
        <v>913</v>
      </c>
      <c r="H70" s="512" t="s">
        <v>758</v>
      </c>
      <c r="I70" s="510">
        <f>$F$2</f>
        <v>2024</v>
      </c>
      <c r="J70" s="510" t="str">
        <f>CONCATENATE("Блоки ФБС. ",N70)</f>
        <v>Блоки ФБС. Отказное письмо исх. №3358 от 04.07.2014 ООО "АБЛОК ЖБИ"</v>
      </c>
      <c r="K70" s="510" t="s">
        <v>895</v>
      </c>
      <c r="L70" s="510" t="s">
        <v>670</v>
      </c>
      <c r="M70" s="510" t="s">
        <v>574</v>
      </c>
      <c r="N70" s="517" t="s">
        <v>730</v>
      </c>
      <c r="O70" s="515" t="s">
        <v>969</v>
      </c>
      <c r="P70" s="116" t="str">
        <f t="shared" si="0"/>
        <v>Акт освидетельствования скрытых работ №5-Ф_КТП от 05 марта 2024г. Монтаж блоков ФБС</v>
      </c>
    </row>
    <row r="71" spans="1:16" ht="54.75" customHeight="1">
      <c r="A71" s="117" t="s">
        <v>675</v>
      </c>
      <c r="B71" s="370" t="s">
        <v>759</v>
      </c>
      <c r="C71" s="375" t="s">
        <v>763</v>
      </c>
      <c r="D71" s="371" t="s">
        <v>913</v>
      </c>
      <c r="E71" s="376" t="s">
        <v>758</v>
      </c>
      <c r="F71" s="373">
        <v>2024</v>
      </c>
      <c r="G71" s="371" t="s">
        <v>913</v>
      </c>
      <c r="H71" s="376" t="s">
        <v>758</v>
      </c>
      <c r="I71" s="373">
        <v>2024</v>
      </c>
      <c r="J71" s="377" t="s">
        <v>254</v>
      </c>
      <c r="K71" s="373" t="s">
        <v>902</v>
      </c>
      <c r="L71" s="373" t="s">
        <v>670</v>
      </c>
      <c r="M71" s="372" t="str">
        <f>C72</f>
        <v>Монтаж вертикальных электродов контура заземления</v>
      </c>
      <c r="N71" s="373" t="s">
        <v>65</v>
      </c>
      <c r="O71" s="372" t="s">
        <v>969</v>
      </c>
      <c r="P7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72" spans="1:16" ht="55.5" customHeight="1">
      <c r="A72" s="117" t="s">
        <v>676</v>
      </c>
      <c r="B72" s="370" t="s">
        <v>760</v>
      </c>
      <c r="C72" s="373" t="s">
        <v>470</v>
      </c>
      <c r="D72" s="371" t="s">
        <v>913</v>
      </c>
      <c r="E72" s="376" t="s">
        <v>758</v>
      </c>
      <c r="F72" s="373">
        <v>2024</v>
      </c>
      <c r="G72" s="371" t="s">
        <v>913</v>
      </c>
      <c r="H72" s="376" t="s">
        <v>758</v>
      </c>
      <c r="I72" s="373">
        <v>2024</v>
      </c>
      <c r="J72" s="373" t="str">
        <f>CONCATENATE("Уголок стальной г/к 50х50х5мм. ",N72)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72" s="373" t="s">
        <v>903</v>
      </c>
      <c r="L72" s="373" t="s">
        <v>669</v>
      </c>
      <c r="M72" s="373" t="str">
        <f>C73</f>
        <v>Монтаж горизонтального заземлителя</v>
      </c>
      <c r="N72" s="373" t="s">
        <v>907</v>
      </c>
      <c r="O72" s="372" t="s">
        <v>969</v>
      </c>
      <c r="P7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73" spans="1:16" ht="51" customHeight="1">
      <c r="A73" s="117" t="s">
        <v>677</v>
      </c>
      <c r="B73" s="370" t="s">
        <v>761</v>
      </c>
      <c r="C73" s="373" t="s">
        <v>471</v>
      </c>
      <c r="D73" s="371" t="s">
        <v>913</v>
      </c>
      <c r="E73" s="376" t="s">
        <v>758</v>
      </c>
      <c r="F73" s="373">
        <v>2024</v>
      </c>
      <c r="G73" s="371" t="s">
        <v>913</v>
      </c>
      <c r="H73" s="376" t="s">
        <v>758</v>
      </c>
      <c r="I73" s="373">
        <v>2024</v>
      </c>
      <c r="J73" s="373" t="str">
        <f>CONCATENATE("Полоса г/к 40х5. ",N73)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73" s="372" t="s">
        <v>904</v>
      </c>
      <c r="L73" s="373" t="s">
        <v>669</v>
      </c>
      <c r="M73" s="373" t="str">
        <f>C74</f>
        <v>Обратная засыпка траншеи</v>
      </c>
      <c r="N73" s="373" t="s">
        <v>908</v>
      </c>
      <c r="O73" s="372" t="s">
        <v>969</v>
      </c>
      <c r="P7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74" spans="1:16" ht="54" customHeight="1">
      <c r="A74" s="117" t="s">
        <v>684</v>
      </c>
      <c r="B74" s="421" t="s">
        <v>762</v>
      </c>
      <c r="C74" s="374" t="s">
        <v>472</v>
      </c>
      <c r="D74" s="422" t="s">
        <v>913</v>
      </c>
      <c r="E74" s="376" t="s">
        <v>758</v>
      </c>
      <c r="F74" s="373">
        <v>2024</v>
      </c>
      <c r="G74" s="371" t="s">
        <v>913</v>
      </c>
      <c r="H74" s="376" t="s">
        <v>758</v>
      </c>
      <c r="I74" s="373">
        <v>2024</v>
      </c>
      <c r="J74" s="373" t="s">
        <v>468</v>
      </c>
      <c r="K74" s="373" t="s">
        <v>905</v>
      </c>
      <c r="L74" s="373" t="s">
        <v>670</v>
      </c>
      <c r="M74" s="373" t="s">
        <v>392</v>
      </c>
      <c r="N74" s="373" t="s">
        <v>65</v>
      </c>
      <c r="O74" s="373" t="s">
        <v>969</v>
      </c>
      <c r="P74" s="116" t="str">
        <f t="shared" si="0"/>
        <v>Акт освидетельствования скрытых работ №4-КЗ_КТП от 05 марта 2024г. Обратная засыпка траншеи</v>
      </c>
    </row>
    <row r="75" spans="1:16" ht="54" customHeight="1">
      <c r="A75" s="117" t="s">
        <v>973</v>
      </c>
      <c r="B75" s="345" t="s">
        <v>974</v>
      </c>
      <c r="C75" s="345" t="s">
        <v>755</v>
      </c>
      <c r="D75" s="345" t="s">
        <v>605</v>
      </c>
      <c r="E75" s="345" t="s">
        <v>975</v>
      </c>
      <c r="F75" s="345">
        <v>2024</v>
      </c>
      <c r="G75" s="345" t="s">
        <v>914</v>
      </c>
      <c r="H75" s="345" t="s">
        <v>975</v>
      </c>
      <c r="I75" s="345">
        <v>2024</v>
      </c>
      <c r="J75" s="345" t="str">
        <f>CONCATENATE("Стойка CВ95-3, СВ110-5. ",N75)</f>
        <v>Стойка CВ95-3, СВ110-5. Сертификат соответствия №РОСС RU.АБ23.Н00117 от 21.06.2021 сроком действия до 20.06.2024</v>
      </c>
      <c r="K75" s="345" t="s">
        <v>897</v>
      </c>
      <c r="L75" s="345" t="s">
        <v>669</v>
      </c>
      <c r="M75" s="345" t="str">
        <f>M71</f>
        <v>Монтаж вертикальных электродов контура заземления</v>
      </c>
      <c r="N75" s="345" t="s">
        <v>753</v>
      </c>
      <c r="O75" s="345" t="s">
        <v>347</v>
      </c>
      <c r="P75" s="116"/>
    </row>
    <row r="76" spans="1:16" ht="54" customHeight="1">
      <c r="A76" s="117" t="s">
        <v>978</v>
      </c>
      <c r="B76" s="345" t="s">
        <v>977</v>
      </c>
      <c r="C76" s="345" t="s">
        <v>755</v>
      </c>
      <c r="D76" s="345" t="s">
        <v>605</v>
      </c>
      <c r="E76" s="345" t="s">
        <v>975</v>
      </c>
      <c r="F76" s="345">
        <v>2024</v>
      </c>
      <c r="G76" s="345" t="s">
        <v>914</v>
      </c>
      <c r="H76" s="345" t="s">
        <v>975</v>
      </c>
      <c r="I76" s="345">
        <v>2024</v>
      </c>
      <c r="J76" s="345" t="str">
        <f>CONCATENATE("Стойка CВ95-3, СВ110-5. ",N76)</f>
        <v>Стойка CВ95-3, СВ110-5. Сертификат соответствия №РОСС RU.АБ23.Н00117 от 21.06.2021 сроком действия до 20.06.2024</v>
      </c>
      <c r="K76" s="345" t="s">
        <v>897</v>
      </c>
      <c r="L76" s="345" t="s">
        <v>669</v>
      </c>
      <c r="M76" s="345" t="str">
        <f>M72</f>
        <v>Монтаж горизонтального заземлителя</v>
      </c>
      <c r="N76" s="345" t="s">
        <v>753</v>
      </c>
      <c r="O76" s="345" t="s">
        <v>347</v>
      </c>
    </row>
    <row r="77" spans="1:16" ht="54" customHeight="1">
      <c r="A77" s="117" t="s">
        <v>1167</v>
      </c>
      <c r="B77" s="345" t="s">
        <v>1165</v>
      </c>
      <c r="C77" s="345" t="s">
        <v>755</v>
      </c>
      <c r="D77" s="345" t="s">
        <v>605</v>
      </c>
      <c r="E77" s="345" t="s">
        <v>975</v>
      </c>
      <c r="F77" s="345">
        <v>2024</v>
      </c>
      <c r="G77" s="345" t="s">
        <v>914</v>
      </c>
      <c r="H77" s="345" t="s">
        <v>975</v>
      </c>
      <c r="I77" s="345">
        <v>2024</v>
      </c>
      <c r="J77" s="345" t="str">
        <f>CONCATENATE("Стойка CВ95-3, СВ110-5. ",N77)</f>
        <v>Стойка CВ95-3, СВ110-5. Сертификат соответствия №РОСС RU.АБ23.Н00117 от 21.06.2021 сроком действия до 20.06.2024</v>
      </c>
      <c r="K77" s="345" t="s">
        <v>897</v>
      </c>
      <c r="L77" s="345" t="s">
        <v>669</v>
      </c>
      <c r="M77" s="345" t="str">
        <f>M73</f>
        <v>Обратная засыпка траншеи</v>
      </c>
      <c r="N77" s="345" t="s">
        <v>753</v>
      </c>
      <c r="O77" s="345" t="s">
        <v>347</v>
      </c>
    </row>
    <row r="78" spans="1:16" ht="54" customHeight="1">
      <c r="A78" s="117" t="s">
        <v>1168</v>
      </c>
      <c r="B78" s="345" t="s">
        <v>1166</v>
      </c>
      <c r="C78" s="345" t="s">
        <v>755</v>
      </c>
      <c r="D78" s="345" t="s">
        <v>605</v>
      </c>
      <c r="E78" s="345" t="s">
        <v>975</v>
      </c>
      <c r="F78" s="345">
        <v>2024</v>
      </c>
      <c r="G78" s="345" t="s">
        <v>914</v>
      </c>
      <c r="H78" s="345" t="s">
        <v>975</v>
      </c>
      <c r="I78" s="345">
        <v>2024</v>
      </c>
      <c r="J78" s="345" t="str">
        <f>CONCATENATE("Стойка CВ95-3, СВ110-5. ",N78)</f>
        <v>Стойка CВ95-3, СВ110-5. Сертификат соответствия №РОСС RU.АБ23.Н00117 от 21.06.2021 сроком действия до 20.06.2024</v>
      </c>
      <c r="K78" s="345" t="s">
        <v>897</v>
      </c>
      <c r="L78" s="345" t="s">
        <v>669</v>
      </c>
      <c r="M78" s="345" t="str">
        <f>M74</f>
        <v xml:space="preserve"> -</v>
      </c>
      <c r="N78" s="345" t="s">
        <v>753</v>
      </c>
      <c r="O78" s="345" t="s">
        <v>347</v>
      </c>
    </row>
    <row r="79" spans="1:16" ht="43.5" customHeight="1">
      <c r="A79" s="117" t="s">
        <v>659</v>
      </c>
      <c r="B79" s="423"/>
      <c r="C79" s="424" t="s">
        <v>575</v>
      </c>
      <c r="D79" s="425"/>
      <c r="E79" s="426"/>
      <c r="F79" s="426"/>
      <c r="G79" s="425"/>
      <c r="H79" s="132" t="s">
        <v>727</v>
      </c>
      <c r="I79" s="426"/>
      <c r="J79" s="427"/>
      <c r="K79" s="427"/>
      <c r="L79" s="427"/>
      <c r="M79" s="427"/>
      <c r="N79" s="428"/>
      <c r="O79" s="131" t="s">
        <v>969</v>
      </c>
    </row>
    <row r="80" spans="1:16" ht="84.75" customHeight="1">
      <c r="A80" s="117" t="s">
        <v>660</v>
      </c>
      <c r="B80" s="211">
        <v>23</v>
      </c>
      <c r="C80" s="115" t="s">
        <v>576</v>
      </c>
      <c r="D80" s="268">
        <v>5</v>
      </c>
      <c r="E80" s="266">
        <v>44287</v>
      </c>
      <c r="F80" s="265">
        <v>2022</v>
      </c>
      <c r="G80" s="268">
        <v>5</v>
      </c>
      <c r="H80" s="132" t="s">
        <v>727</v>
      </c>
      <c r="I80" s="265">
        <v>2022</v>
      </c>
      <c r="J80" s="267" t="s">
        <v>254</v>
      </c>
      <c r="K80" s="265" t="s">
        <v>620</v>
      </c>
      <c r="L80" s="265" t="s">
        <v>448</v>
      </c>
      <c r="M80" s="265" t="str">
        <f>C81</f>
        <v>Установка и бетонирование столбов сетчатого ограждения</v>
      </c>
      <c r="N80" s="264"/>
      <c r="O80" s="131" t="s">
        <v>969</v>
      </c>
    </row>
    <row r="81" spans="1:15" ht="51.75" customHeight="1" thickBot="1">
      <c r="A81" s="117" t="s">
        <v>661</v>
      </c>
      <c r="B81" s="211">
        <v>24</v>
      </c>
      <c r="C81" s="115" t="s">
        <v>577</v>
      </c>
      <c r="D81" s="268">
        <v>6</v>
      </c>
      <c r="E81" s="266">
        <v>44287</v>
      </c>
      <c r="F81" s="265">
        <v>2022</v>
      </c>
      <c r="G81" s="268">
        <v>6</v>
      </c>
      <c r="H81" s="132" t="s">
        <v>727</v>
      </c>
      <c r="I81" s="265">
        <v>2022</v>
      </c>
      <c r="J81" s="265" t="str">
        <f>CONCATENATE("ЦПС М-150. ",N81)</f>
        <v>ЦПС М-150. Декларация о соответствии РОСС RU Д-RU.РА01.В.12845/18 (до 21.12.23)</v>
      </c>
      <c r="K81" s="265" t="s">
        <v>621</v>
      </c>
      <c r="L81" s="265" t="s">
        <v>448</v>
      </c>
      <c r="M81" s="265" t="s">
        <v>590</v>
      </c>
      <c r="N81" s="264" t="s">
        <v>591</v>
      </c>
      <c r="O81" s="131" t="s">
        <v>969</v>
      </c>
    </row>
    <row r="82" spans="1:15" ht="44.25" customHeight="1">
      <c r="A82" s="117"/>
      <c r="B82" s="133"/>
      <c r="C82" s="133" t="s">
        <v>651</v>
      </c>
      <c r="D82" s="133"/>
      <c r="E82" s="133"/>
      <c r="F82" s="133"/>
      <c r="G82" s="133"/>
      <c r="H82" s="132" t="s">
        <v>727</v>
      </c>
      <c r="I82" s="133"/>
      <c r="J82" s="133"/>
      <c r="K82" s="133"/>
      <c r="L82" s="133"/>
      <c r="M82" s="133"/>
      <c r="N82" s="133"/>
      <c r="O82" s="131" t="s">
        <v>969</v>
      </c>
    </row>
    <row r="83" spans="1:15" ht="60.75" customHeight="1">
      <c r="A83" s="117" t="s">
        <v>662</v>
      </c>
      <c r="B83" s="211" t="s">
        <v>652</v>
      </c>
      <c r="C83" s="210" t="s">
        <v>465</v>
      </c>
      <c r="D83" s="270" t="s">
        <v>609</v>
      </c>
      <c r="E83" s="134" t="s">
        <v>641</v>
      </c>
      <c r="F83" s="99">
        <v>2022</v>
      </c>
      <c r="G83" s="270" t="s">
        <v>680</v>
      </c>
      <c r="H83" s="132" t="s">
        <v>727</v>
      </c>
      <c r="I83" s="99">
        <v>2022</v>
      </c>
      <c r="J83" s="136" t="s">
        <v>254</v>
      </c>
      <c r="K83" s="131" t="s">
        <v>678</v>
      </c>
      <c r="L83" s="131" t="s">
        <v>670</v>
      </c>
      <c r="M83" s="99" t="str">
        <f>C84</f>
        <v>Устройство песчанного основания с послойным трамбованием</v>
      </c>
      <c r="N83" s="118" t="s">
        <v>65</v>
      </c>
      <c r="O83" s="131" t="s">
        <v>969</v>
      </c>
    </row>
    <row r="84" spans="1:15" ht="28.5" customHeight="1">
      <c r="A84" s="117" t="s">
        <v>663</v>
      </c>
      <c r="B84" s="211" t="s">
        <v>653</v>
      </c>
      <c r="C84" s="115" t="s">
        <v>466</v>
      </c>
      <c r="D84" s="270" t="s">
        <v>680</v>
      </c>
      <c r="E84" s="134" t="s">
        <v>641</v>
      </c>
      <c r="F84" s="99">
        <v>2022</v>
      </c>
      <c r="G84" s="270" t="s">
        <v>681</v>
      </c>
      <c r="H84" s="132" t="s">
        <v>727</v>
      </c>
      <c r="I84" s="99">
        <v>2022</v>
      </c>
      <c r="J84" s="99" t="str">
        <f>CONCATENATE("Песок для строительных работ. ",N84)</f>
        <v>Песок для строительных работ. Паспорт на партию готовой продукции №19582-20/21 от 13.10.2021</v>
      </c>
      <c r="K84" s="99" t="s">
        <v>679</v>
      </c>
      <c r="L84" s="99" t="s">
        <v>669</v>
      </c>
      <c r="M84" s="99" t="str">
        <f>C85</f>
        <v>Закладка х/ц труб БНТ-100 на вводе в кабельные помещения ТП и ГРЩ с последующей заделкой и герметизацией труб</v>
      </c>
      <c r="N84" s="118" t="s">
        <v>665</v>
      </c>
      <c r="O84" s="131" t="s">
        <v>969</v>
      </c>
    </row>
    <row r="85" spans="1:15" ht="57.75" customHeight="1">
      <c r="A85" s="117" t="s">
        <v>664</v>
      </c>
      <c r="B85" s="211" t="s">
        <v>654</v>
      </c>
      <c r="C85" s="115" t="s">
        <v>702</v>
      </c>
      <c r="D85" s="270" t="s">
        <v>682</v>
      </c>
      <c r="E85" s="134" t="s">
        <v>641</v>
      </c>
      <c r="F85" s="99">
        <v>2022</v>
      </c>
      <c r="G85" s="270" t="s">
        <v>682</v>
      </c>
      <c r="H85" s="132" t="s">
        <v>727</v>
      </c>
      <c r="I85" s="99">
        <v>2022</v>
      </c>
      <c r="J85" s="99" t="str">
        <f>CONCATENATE("Трубы хризотилцементные БНТ-100. ",N85)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85" s="272" t="s">
        <v>695</v>
      </c>
      <c r="L85" s="99" t="s">
        <v>669</v>
      </c>
      <c r="M85" s="99" t="str">
        <f>C86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85" s="118" t="s">
        <v>703</v>
      </c>
      <c r="O85" s="131" t="s">
        <v>969</v>
      </c>
    </row>
    <row r="86" spans="1:15" ht="29.25" customHeight="1">
      <c r="A86" s="117" t="s">
        <v>673</v>
      </c>
      <c r="B86" s="211" t="s">
        <v>655</v>
      </c>
      <c r="C86" s="115" t="s">
        <v>704</v>
      </c>
      <c r="D86" s="270" t="s">
        <v>682</v>
      </c>
      <c r="E86" s="134" t="s">
        <v>641</v>
      </c>
      <c r="F86" s="99">
        <v>2022</v>
      </c>
      <c r="G86" s="270" t="s">
        <v>682</v>
      </c>
      <c r="H86" s="132" t="s">
        <v>727</v>
      </c>
      <c r="I86" s="99">
        <v>2022</v>
      </c>
      <c r="J86" s="99" t="str">
        <f>CONCATENATE("Трубы ТЗК 110. ",N86)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86" s="99" t="s">
        <v>696</v>
      </c>
      <c r="L86" s="99" t="s">
        <v>669</v>
      </c>
      <c r="M86" s="99" t="str">
        <f>C87</f>
        <v>Прокладка КЛ-0,4 кВ с нанесением огнезащитного покрытия Огракс В1</v>
      </c>
      <c r="N86" s="271" t="s">
        <v>705</v>
      </c>
      <c r="O86" s="131" t="s">
        <v>969</v>
      </c>
    </row>
    <row r="87" spans="1:15" ht="42.75" customHeight="1">
      <c r="A87" s="117" t="s">
        <v>674</v>
      </c>
      <c r="B87" s="211" t="s">
        <v>656</v>
      </c>
      <c r="C87" s="115" t="s">
        <v>666</v>
      </c>
      <c r="D87" s="270" t="s">
        <v>683</v>
      </c>
      <c r="E87" s="134" t="s">
        <v>641</v>
      </c>
      <c r="F87" s="99">
        <v>2022</v>
      </c>
      <c r="G87" s="270" t="s">
        <v>688</v>
      </c>
      <c r="H87" s="132" t="s">
        <v>727</v>
      </c>
      <c r="I87" s="99">
        <v>2022</v>
      </c>
      <c r="J87" s="99" t="str">
        <f>CONCATENATE("Кабель силовой АПвБШп-1 4х240. ",N87)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87" s="99" t="s">
        <v>697</v>
      </c>
      <c r="L87" s="99" t="s">
        <v>669</v>
      </c>
      <c r="M87" s="99" t="str">
        <f>C89</f>
        <v>Засыпка кабеля песком с послойным трамбованием</v>
      </c>
      <c r="N87" s="118" t="s">
        <v>672</v>
      </c>
      <c r="O87" s="131" t="s">
        <v>969</v>
      </c>
    </row>
    <row r="88" spans="1:15" ht="51.75" customHeight="1">
      <c r="A88" s="117" t="s">
        <v>675</v>
      </c>
      <c r="B88" s="211" t="s">
        <v>656</v>
      </c>
      <c r="C88" s="115" t="s">
        <v>608</v>
      </c>
      <c r="D88" s="268">
        <v>6</v>
      </c>
      <c r="E88" s="266">
        <v>44287</v>
      </c>
      <c r="F88" s="99">
        <v>2022</v>
      </c>
      <c r="G88" s="268">
        <v>6</v>
      </c>
      <c r="H88" s="132" t="s">
        <v>727</v>
      </c>
      <c r="I88" s="99">
        <v>2022</v>
      </c>
      <c r="J88" s="265" t="str">
        <f>CONCATENATE("Соединительная муфта POLJ-12/1x120-240-CEE01 ",N88)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88" s="265" t="s">
        <v>618</v>
      </c>
      <c r="L88" s="99" t="s">
        <v>448</v>
      </c>
      <c r="M88" s="99" t="s">
        <v>590</v>
      </c>
      <c r="N88" s="264" t="s">
        <v>619</v>
      </c>
      <c r="O88" s="131" t="s">
        <v>969</v>
      </c>
    </row>
    <row r="89" spans="1:15" ht="44.25" customHeight="1">
      <c r="A89" s="117" t="s">
        <v>676</v>
      </c>
      <c r="B89" s="211" t="s">
        <v>657</v>
      </c>
      <c r="C89" s="115" t="s">
        <v>469</v>
      </c>
      <c r="D89" s="270" t="s">
        <v>687</v>
      </c>
      <c r="E89" s="134" t="s">
        <v>641</v>
      </c>
      <c r="F89" s="99">
        <v>2022</v>
      </c>
      <c r="G89" s="270" t="s">
        <v>689</v>
      </c>
      <c r="H89" s="132" t="s">
        <v>727</v>
      </c>
      <c r="I89" s="99">
        <v>2022</v>
      </c>
      <c r="J89" s="99" t="str">
        <f>CONCATENATE("Песок для строительных работ. ",N89)</f>
        <v>Песок для строительных работ. Паспорт на партию готовой продукции №19582-20/21 от 13.10.2021</v>
      </c>
      <c r="K89" s="99" t="s">
        <v>698</v>
      </c>
      <c r="L89" s="99" t="s">
        <v>669</v>
      </c>
      <c r="M89" s="99" t="str">
        <f>C90</f>
        <v>Укладка плитки ПЗК</v>
      </c>
      <c r="N89" s="118" t="s">
        <v>665</v>
      </c>
      <c r="O89" s="131" t="s">
        <v>969</v>
      </c>
    </row>
    <row r="90" spans="1:15" ht="51" customHeight="1">
      <c r="A90" s="117" t="s">
        <v>677</v>
      </c>
      <c r="B90" s="211" t="s">
        <v>658</v>
      </c>
      <c r="C90" s="115" t="s">
        <v>467</v>
      </c>
      <c r="D90" s="270" t="s">
        <v>688</v>
      </c>
      <c r="E90" s="134" t="s">
        <v>641</v>
      </c>
      <c r="F90" s="99">
        <v>2022</v>
      </c>
      <c r="G90" s="270" t="s">
        <v>689</v>
      </c>
      <c r="H90" s="132" t="s">
        <v>727</v>
      </c>
      <c r="I90" s="99">
        <v>2022</v>
      </c>
      <c r="J90" s="99" t="str">
        <f>CONCATENATE("Плитка ПЗК. ",N90)</f>
        <v>Плитка ПЗК. Технический паспорт б/н от 12.03.2021, отказное письмо исх. №074/р-п от 08.07.2011 ООО "Севзапстройтрест"</v>
      </c>
      <c r="K90" s="99" t="s">
        <v>699</v>
      </c>
      <c r="L90" s="99" t="s">
        <v>669</v>
      </c>
      <c r="M90" s="99" t="str">
        <f>C91</f>
        <v>Обратная засыпка траншеи вырытым грунтом с послойным трамбованием</v>
      </c>
      <c r="N90" s="118" t="s">
        <v>667</v>
      </c>
      <c r="O90" s="131" t="s">
        <v>969</v>
      </c>
    </row>
    <row r="91" spans="1:15" ht="54.75" customHeight="1">
      <c r="A91" s="117" t="s">
        <v>684</v>
      </c>
      <c r="B91" s="211" t="s">
        <v>685</v>
      </c>
      <c r="C91" s="212" t="s">
        <v>642</v>
      </c>
      <c r="D91" s="270" t="s">
        <v>690</v>
      </c>
      <c r="E91" s="134" t="s">
        <v>641</v>
      </c>
      <c r="F91" s="99">
        <v>2022</v>
      </c>
      <c r="G91" s="270" t="s">
        <v>691</v>
      </c>
      <c r="H91" s="132" t="s">
        <v>727</v>
      </c>
      <c r="I91" s="99">
        <v>2022</v>
      </c>
      <c r="J91" s="136" t="s">
        <v>65</v>
      </c>
      <c r="K91" s="273" t="s">
        <v>700</v>
      </c>
      <c r="L91" s="135" t="s">
        <v>671</v>
      </c>
      <c r="M91" s="99" t="s">
        <v>65</v>
      </c>
      <c r="N91" s="118" t="s">
        <v>65</v>
      </c>
      <c r="O91" s="415" t="s">
        <v>969</v>
      </c>
    </row>
    <row r="92" spans="1:15">
      <c r="O92" s="101"/>
    </row>
    <row r="93" spans="1:15">
      <c r="O93" s="101"/>
    </row>
    <row r="102" spans="2:14" ht="50.5" thickBot="1">
      <c r="B102" s="280" t="s">
        <v>729</v>
      </c>
      <c r="C102" s="279" t="s">
        <v>731</v>
      </c>
      <c r="D102" s="269" t="s">
        <v>692</v>
      </c>
      <c r="E102" s="132" t="s">
        <v>727</v>
      </c>
      <c r="F102" s="131">
        <f>$F$2</f>
        <v>2024</v>
      </c>
      <c r="G102" s="269" t="s">
        <v>692</v>
      </c>
      <c r="H102" s="278" t="s">
        <v>727</v>
      </c>
      <c r="I102" s="131">
        <f>$I$2</f>
        <v>2024</v>
      </c>
      <c r="J102" s="281" t="str">
        <f>CONCATENATE("Двустенная гофрированная труба d160мм.",N102)</f>
        <v>Двустенная гофрированная труба d160мм.Сертификат соответствия №РОСС RU.32001.04ИБФ1.ОСП09.05292 от 21.10.2020 сроком действия до 20.10.2023</v>
      </c>
      <c r="K102" s="279" t="s">
        <v>732</v>
      </c>
      <c r="L102" s="282" t="s">
        <v>670</v>
      </c>
      <c r="M102" s="279">
        <f>C103</f>
        <v>0</v>
      </c>
      <c r="N102" s="283" t="s">
        <v>728</v>
      </c>
    </row>
    <row r="110" spans="2:14" ht="50">
      <c r="B110" s="211" t="s">
        <v>762</v>
      </c>
      <c r="C110" s="115" t="s">
        <v>403</v>
      </c>
      <c r="D110" s="270" t="s">
        <v>640</v>
      </c>
      <c r="E110" s="132" t="s">
        <v>758</v>
      </c>
      <c r="F110" s="131">
        <v>2024</v>
      </c>
      <c r="G110" s="270" t="s">
        <v>686</v>
      </c>
      <c r="H110" s="132" t="s">
        <v>758</v>
      </c>
      <c r="I110" s="131">
        <v>2024</v>
      </c>
      <c r="J110" s="99" t="str">
        <f>CONCATENATE("Грунт ГФ-021, Эмаль ПФ-115. ",N110)</f>
        <v>Грунт ГФ-021, Эмаль ПФ-115. Отказное письмо исх. №60-12/2020 от 12.05.2020 ООО "Биквест-Центр"</v>
      </c>
      <c r="K110" s="131" t="s">
        <v>754</v>
      </c>
      <c r="L110" s="99" t="s">
        <v>669</v>
      </c>
      <c r="M110" s="99">
        <f>C111</f>
        <v>0</v>
      </c>
      <c r="N110" s="271" t="s">
        <v>668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5" location="'АОСР 1'!A1" display="АОСР_1" xr:uid="{333632CD-88C1-4A31-9195-EFC24482D7D3}"/>
    <hyperlink ref="A8" location="'АОСР 1'!A1" display="АОСР_1" xr:uid="{1389E8AE-2C23-4B98-BB90-EF61365DD6CB}"/>
    <hyperlink ref="A11" location="'АОСР 1'!A1" display="АОСР_1" xr:uid="{577BC0B4-D171-4FCB-AA33-568BF4416F46}"/>
    <hyperlink ref="A14" location="'АОСР 1'!A1" display="АОСР_1" xr:uid="{5CBEFB07-61A8-4B1A-ACFC-56C3EF75FCCE}"/>
    <hyperlink ref="A17" location="'АОСР 1'!A1" display="АОСР_1" xr:uid="{3F47B8DD-9973-46E7-BDDE-25F83F91CC23}"/>
    <hyperlink ref="A20" location="'АОСР 1'!A1" display="АОСР_1" xr:uid="{E5198A4A-9A38-4779-9F8B-97041311546E}"/>
    <hyperlink ref="A23" location="'АОСР 1'!A1" display="АОСР_1" xr:uid="{C0B41F41-8A9E-4751-B800-5DC2830A2D2A}"/>
    <hyperlink ref="A26" location="'АОСР 1'!A1" display="АОСР_1" xr:uid="{0335E671-5209-433F-B2E4-70F3EC513539}"/>
    <hyperlink ref="A29" location="'АОСР 1'!A1" display="АОСР_1" xr:uid="{58011212-FC82-42F0-8630-6F346DFAD265}"/>
    <hyperlink ref="A32" location="'АОСР 1'!A1" display="АОСР_1" xr:uid="{4C40D41E-F21D-4699-A5F1-52817216DFD1}"/>
    <hyperlink ref="A35" location="'АОСР 1'!A1" display="АОСР_1" xr:uid="{D3C33836-3D98-4DD2-9883-87C1561A7F89}"/>
    <hyperlink ref="A38" location="'АОСР 1'!A1" display="АОСР_1" xr:uid="{23A5BBE2-D70A-42B6-8179-E57291EE8393}"/>
    <hyperlink ref="A41" location="'АОСР 1'!A1" display="АОСР_1" xr:uid="{1D70630E-9BF1-4DB9-BC67-68DB408E0BC4}"/>
    <hyperlink ref="A44" location="'АОСР 1'!A1" display="АОСР_1" xr:uid="{C91A7F7D-C93B-47C1-B4FD-6EA2C97CA0BE}"/>
    <hyperlink ref="A47" location="'АОСР 1'!A1" display="АОСР_1" xr:uid="{9EEEA951-0A4B-495F-985C-67FF43CB3DA5}"/>
    <hyperlink ref="A50" location="'АОСР 1'!A1" display="АОСР_1" xr:uid="{0AC63858-2FBD-4929-B8C6-166DEBD5B888}"/>
    <hyperlink ref="A53" location="'АОСР 1'!A1" display="АОСР_1" xr:uid="{5D2E37B6-402E-4337-B592-8A0793248ADD}"/>
    <hyperlink ref="A56" location="'АОСР 1'!A1" display="АОСР_1" xr:uid="{4448FBBC-D08B-4C09-BCCB-45EE1A15D27E}"/>
    <hyperlink ref="A59" location="'АОСР 1'!A1" display="АОСР_1" xr:uid="{103212B5-3EFC-4714-889F-391F2B7410D9}"/>
    <hyperlink ref="A62" location="'АОСР 1'!A1" display="АОСР_1" xr:uid="{64F7DF92-4C46-4B7A-A913-9DD009DC3EE9}"/>
    <hyperlink ref="A65" location="'АОСР 1'!A1" display="АОСР_1" xr:uid="{FBD009DA-9E78-4291-92E6-1DB163535627}"/>
    <hyperlink ref="A68" location="'АОСР 1'!A1" display="АОСР_1" xr:uid="{EAE97360-E2DA-44F0-970C-6A36572F9918}"/>
  </hyperlinks>
  <pageMargins left="0.23622047244094491" right="0.23622047244094491" top="0.74803149606299213" bottom="0.74803149606299213" header="0.31496062992125984" footer="0.31496062992125984"/>
  <pageSetup paperSize="9" scale="15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A4" sqref="A4:I4"/>
    </sheetView>
  </sheetViews>
  <sheetFormatPr defaultRowHeight="14.5"/>
  <cols>
    <col min="1" max="1" width="11.54296875" customWidth="1"/>
    <col min="8" max="8" width="13.81640625" customWidth="1"/>
    <col min="9" max="9" width="8.54296875" customWidth="1"/>
    <col min="11" max="13" width="15.7265625" customWidth="1"/>
  </cols>
  <sheetData>
    <row r="1" spans="1:60" ht="18">
      <c r="A1" s="3"/>
      <c r="B1" s="4"/>
    </row>
    <row r="2" spans="1:60" ht="30">
      <c r="A2" s="719"/>
      <c r="B2" s="719"/>
      <c r="C2" s="719"/>
      <c r="D2" s="719"/>
      <c r="E2" s="719"/>
      <c r="F2" s="719"/>
      <c r="G2" s="719"/>
      <c r="H2" s="719"/>
      <c r="I2" s="719"/>
    </row>
    <row r="3" spans="1:60">
      <c r="A3" s="720"/>
      <c r="B3" s="720"/>
      <c r="C3" s="720"/>
      <c r="D3" s="720"/>
      <c r="E3" s="720"/>
      <c r="F3" s="720"/>
      <c r="G3" s="720"/>
      <c r="H3" s="720"/>
      <c r="I3" s="720"/>
    </row>
    <row r="4" spans="1:60" ht="59.25" customHeight="1">
      <c r="A4" s="1299" t="s">
        <v>1697</v>
      </c>
      <c r="B4" s="1300"/>
      <c r="C4" s="1300"/>
      <c r="D4" s="1300"/>
      <c r="E4" s="1300"/>
      <c r="F4" s="1300"/>
      <c r="G4" s="1300"/>
      <c r="H4" s="1300"/>
      <c r="I4" s="1300"/>
    </row>
    <row r="5" spans="1:60" ht="1.5" customHeight="1">
      <c r="A5" s="5"/>
      <c r="B5" s="6"/>
    </row>
    <row r="6" spans="1:60" ht="18" hidden="1">
      <c r="A6" s="5"/>
      <c r="B6" s="6"/>
    </row>
    <row r="7" spans="1:60" ht="18">
      <c r="A7" s="5"/>
      <c r="B7" s="6"/>
    </row>
    <row r="8" spans="1:60" ht="18">
      <c r="A8" s="5"/>
      <c r="B8" s="6"/>
    </row>
    <row r="9" spans="1:60" ht="18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">
      <c r="A11" s="722" t="s">
        <v>68</v>
      </c>
      <c r="B11" s="722"/>
      <c r="C11" s="722"/>
      <c r="D11" s="722"/>
      <c r="E11" s="722"/>
      <c r="F11" s="722"/>
      <c r="G11" s="722"/>
      <c r="H11" s="722"/>
      <c r="I11" s="722"/>
    </row>
    <row r="12" spans="1:60" ht="18">
      <c r="A12" s="721" t="s">
        <v>69</v>
      </c>
      <c r="B12" s="721"/>
      <c r="C12" s="721"/>
      <c r="D12" s="721"/>
      <c r="E12" s="721"/>
      <c r="F12" s="721"/>
      <c r="G12" s="721"/>
      <c r="H12" s="721"/>
      <c r="I12" s="721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3"/>
      <c r="C14" s="723"/>
      <c r="D14" s="723"/>
      <c r="E14" s="723"/>
      <c r="F14" s="723"/>
      <c r="G14" s="723"/>
      <c r="H14" s="723"/>
      <c r="I14" s="723"/>
    </row>
    <row r="15" spans="1:60" ht="2.25" customHeight="1">
      <c r="A15" s="723"/>
      <c r="B15" s="723"/>
      <c r="C15" s="723"/>
      <c r="D15" s="723"/>
      <c r="E15" s="723"/>
      <c r="F15" s="723"/>
      <c r="G15" s="723"/>
      <c r="H15" s="723"/>
      <c r="I15" s="723"/>
    </row>
    <row r="16" spans="1:60" ht="2.25" customHeight="1">
      <c r="A16" s="724"/>
      <c r="B16" s="724"/>
      <c r="C16" s="724"/>
      <c r="D16" s="724"/>
      <c r="E16" s="724"/>
      <c r="F16" s="724"/>
      <c r="G16" s="724"/>
      <c r="H16" s="724"/>
      <c r="I16" s="724"/>
    </row>
    <row r="17" spans="1:9" ht="60" customHeight="1">
      <c r="A17" s="5"/>
      <c r="B17" s="6"/>
    </row>
    <row r="18" spans="1:9" ht="44.5" customHeight="1">
      <c r="A18" s="725" t="str">
        <f>ФОРМА!B2</f>
        <v>ПАО "Россети Ленэнерго"</v>
      </c>
      <c r="B18" s="725"/>
      <c r="C18" s="725"/>
      <c r="D18" s="725"/>
    </row>
    <row r="19" spans="1:9">
      <c r="A19" s="720" t="s">
        <v>70</v>
      </c>
      <c r="B19" s="720"/>
      <c r="C19" s="720"/>
      <c r="D19" s="720"/>
    </row>
    <row r="20" spans="1:9" ht="142.15" customHeight="1">
      <c r="A20" s="5"/>
      <c r="B20" s="6"/>
    </row>
    <row r="21" spans="1:9" ht="18">
      <c r="A21" s="721" t="str">
        <f>ФОРМА!G2</f>
        <v>Санкт-Петербург</v>
      </c>
      <c r="B21" s="721"/>
      <c r="C21" s="721"/>
      <c r="D21" s="721"/>
      <c r="E21" s="721"/>
      <c r="F21" s="721"/>
      <c r="G21" s="721"/>
      <c r="H21" s="721"/>
      <c r="I21" s="721"/>
    </row>
    <row r="22" spans="1:9" ht="18">
      <c r="A22" s="721">
        <f>ФОРМА!G3</f>
        <v>2024</v>
      </c>
      <c r="B22" s="721"/>
      <c r="C22" s="721"/>
      <c r="D22" s="721"/>
      <c r="E22" s="721"/>
      <c r="F22" s="721"/>
      <c r="G22" s="721"/>
      <c r="H22" s="721"/>
      <c r="I22" s="721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40"/>
  <sheetViews>
    <sheetView view="pageBreakPreview" topLeftCell="A64" zoomScale="60" zoomScaleNormal="100" workbookViewId="0">
      <selection activeCell="Z55" sqref="Z55:AP55"/>
    </sheetView>
  </sheetViews>
  <sheetFormatPr defaultColWidth="9.1796875" defaultRowHeight="14" outlineLevelRow="1"/>
  <cols>
    <col min="1" max="1" width="9.453125" style="19" customWidth="1"/>
    <col min="2" max="2" width="45.453125" style="19" customWidth="1"/>
    <col min="3" max="37" width="0.81640625" style="19" customWidth="1"/>
    <col min="38" max="38" width="0.54296875" style="19" customWidth="1"/>
    <col min="39" max="39" width="0.81640625" style="19" hidden="1" customWidth="1"/>
    <col min="40" max="40" width="0.26953125" style="19" hidden="1" customWidth="1"/>
    <col min="41" max="41" width="1.54296875" style="19" customWidth="1"/>
    <col min="42" max="68" width="0.81640625" style="19" customWidth="1"/>
    <col min="69" max="69" width="9.26953125" style="19" bestFit="1" customWidth="1"/>
    <col min="70" max="71" width="15.7265625" style="19" customWidth="1"/>
    <col min="72" max="72" width="17.7265625" style="19" customWidth="1"/>
    <col min="73" max="73" width="19.7265625" style="19" customWidth="1"/>
    <col min="74" max="16384" width="9.1796875" style="19"/>
  </cols>
  <sheetData>
    <row r="1" spans="1:74" ht="14.5" outlineLevel="1">
      <c r="BP1" s="20" t="s">
        <v>24</v>
      </c>
      <c r="BQ1"/>
    </row>
    <row r="2" spans="1:74" ht="14.5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1"/>
      <c r="AB4" s="381"/>
      <c r="AC4" s="381"/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735">
        <f>ФОРМА!B13</f>
        <v>45625</v>
      </c>
      <c r="AT4" s="735"/>
      <c r="AU4" s="735"/>
      <c r="AV4" s="735"/>
      <c r="AW4" s="735"/>
      <c r="AX4" s="735"/>
      <c r="AY4" s="735"/>
      <c r="AZ4" s="735"/>
      <c r="BA4" s="735"/>
      <c r="BB4" s="735"/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36" t="s">
        <v>3</v>
      </c>
      <c r="AT5" s="736"/>
      <c r="AU5" s="736"/>
      <c r="AV5" s="736"/>
      <c r="AW5" s="736"/>
      <c r="AX5" s="736"/>
      <c r="AY5" s="736"/>
      <c r="AZ5" s="736"/>
      <c r="BA5" s="736"/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</row>
    <row r="6" spans="1:74" ht="14.5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37" t="s">
        <v>1037</v>
      </c>
      <c r="B7" s="738"/>
      <c r="C7" s="738"/>
      <c r="D7" s="738"/>
      <c r="E7" s="738"/>
      <c r="F7" s="738"/>
      <c r="G7" s="738"/>
      <c r="H7" s="738"/>
      <c r="I7" s="738"/>
      <c r="J7" s="738"/>
      <c r="K7" s="738"/>
      <c r="L7" s="738"/>
      <c r="M7" s="738"/>
      <c r="N7" s="738"/>
      <c r="O7" s="738"/>
      <c r="P7" s="738"/>
      <c r="Q7" s="738"/>
      <c r="R7" s="738"/>
      <c r="S7" s="738"/>
      <c r="T7" s="738"/>
      <c r="U7" s="738"/>
      <c r="V7" s="738"/>
      <c r="W7" s="738"/>
      <c r="X7" s="738"/>
      <c r="Y7" s="738"/>
      <c r="Z7" s="738"/>
      <c r="AA7" s="738"/>
      <c r="AB7" s="738"/>
      <c r="AC7" s="738"/>
      <c r="AD7" s="738"/>
      <c r="AE7" s="738"/>
      <c r="AF7" s="738"/>
      <c r="AG7" s="738"/>
      <c r="AH7" s="738"/>
      <c r="AI7" s="738"/>
      <c r="AJ7" s="738"/>
      <c r="AK7" s="738"/>
      <c r="AL7" s="738"/>
      <c r="AM7" s="738"/>
      <c r="AN7" s="738"/>
      <c r="AO7" s="738"/>
      <c r="AP7" s="738"/>
      <c r="AQ7" s="738"/>
      <c r="AR7" s="738"/>
      <c r="AS7" s="738"/>
      <c r="AT7" s="738"/>
      <c r="AU7" s="738"/>
      <c r="AV7" s="738"/>
      <c r="AW7" s="738"/>
      <c r="AX7" s="738"/>
      <c r="AY7" s="738"/>
      <c r="AZ7" s="738"/>
      <c r="BA7" s="738"/>
      <c r="BB7" s="738"/>
      <c r="BC7" s="738"/>
      <c r="BD7" s="738"/>
      <c r="BE7" s="738"/>
      <c r="BF7" s="738"/>
      <c r="BG7" s="738"/>
      <c r="BH7" s="738"/>
      <c r="BI7" s="738"/>
      <c r="BJ7" s="738"/>
      <c r="BK7" s="738"/>
      <c r="BL7" s="738"/>
      <c r="BM7" s="738"/>
      <c r="BN7" s="738"/>
      <c r="BO7" s="738"/>
      <c r="BP7" s="738"/>
      <c r="BR7" s="59" t="s">
        <v>1154</v>
      </c>
      <c r="BS7" s="654" t="b">
        <v>1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2" t="s">
        <v>25</v>
      </c>
      <c r="B9" s="382" t="s">
        <v>26</v>
      </c>
      <c r="C9" s="739" t="s">
        <v>37</v>
      </c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40" t="s">
        <v>478</v>
      </c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 t="s">
        <v>27</v>
      </c>
      <c r="AR9" s="739"/>
      <c r="AS9" s="739"/>
      <c r="AT9" s="739"/>
      <c r="AU9" s="739"/>
      <c r="AV9" s="739"/>
      <c r="AW9" s="739"/>
      <c r="AX9" s="739"/>
      <c r="AY9" s="739"/>
      <c r="AZ9" s="739"/>
      <c r="BA9" s="739"/>
      <c r="BB9" s="739"/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</row>
    <row r="10" spans="1:74" ht="39">
      <c r="A10" s="542">
        <f>SUBTOTAL(9,$BQ$9:BQ10)</f>
        <v>1</v>
      </c>
      <c r="B10" s="544" t="s">
        <v>922</v>
      </c>
      <c r="C10" s="727" t="s">
        <v>24</v>
      </c>
      <c r="D10" s="727"/>
      <c r="E10" s="727"/>
      <c r="F10" s="727"/>
      <c r="G10" s="727"/>
      <c r="H10" s="727"/>
      <c r="I10" s="727"/>
      <c r="J10" s="727"/>
      <c r="K10" s="727"/>
      <c r="L10" s="727"/>
      <c r="M10" s="727"/>
      <c r="N10" s="727"/>
      <c r="O10" s="727"/>
      <c r="P10" s="727"/>
      <c r="Q10" s="727"/>
      <c r="R10" s="727"/>
      <c r="S10" s="727"/>
      <c r="T10" s="727"/>
      <c r="U10" s="727"/>
      <c r="V10" s="727"/>
      <c r="W10" s="727"/>
      <c r="X10" s="727"/>
      <c r="Y10" s="727"/>
      <c r="Z10" s="728">
        <v>2</v>
      </c>
      <c r="AA10" s="728"/>
      <c r="AB10" s="728"/>
      <c r="AC10" s="728"/>
      <c r="AD10" s="728"/>
      <c r="AE10" s="728"/>
      <c r="AF10" s="728"/>
      <c r="AG10" s="728"/>
      <c r="AH10" s="728"/>
      <c r="AI10" s="728"/>
      <c r="AJ10" s="728"/>
      <c r="AK10" s="728"/>
      <c r="AL10" s="728"/>
      <c r="AM10" s="734"/>
      <c r="AN10" s="734"/>
      <c r="AO10" s="728"/>
      <c r="AP10" s="728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19">
        <f>IF(Z10&gt;0,1,0)</f>
        <v>1</v>
      </c>
    </row>
    <row r="11" spans="1:74">
      <c r="A11" s="542">
        <f>SUBTOTAL(9,$BQ$9:BQ11)</f>
        <v>2</v>
      </c>
      <c r="B11" s="544" t="s">
        <v>968</v>
      </c>
      <c r="C11" s="727" t="s">
        <v>332</v>
      </c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8">
        <v>3</v>
      </c>
      <c r="AA11" s="728"/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19">
        <f t="shared" ref="BQ11:BQ54" si="0">IF(Z11&gt;0,1,0)</f>
        <v>1</v>
      </c>
    </row>
    <row r="12" spans="1:74" ht="26">
      <c r="A12" s="542">
        <f>SUBTOTAL(9,$BQ$9:BQ12)</f>
        <v>3</v>
      </c>
      <c r="B12" s="544" t="s">
        <v>94</v>
      </c>
      <c r="C12" s="727" t="s">
        <v>55</v>
      </c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8">
        <v>1</v>
      </c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19">
        <f t="shared" si="0"/>
        <v>1</v>
      </c>
    </row>
    <row r="13" spans="1:74" hidden="1">
      <c r="A13" s="542">
        <f>SUBTOTAL(9,$BQ$9:BQ13)</f>
        <v>3</v>
      </c>
      <c r="B13" s="544" t="s">
        <v>1132</v>
      </c>
      <c r="C13" s="727" t="s">
        <v>332</v>
      </c>
      <c r="D13" s="727"/>
      <c r="E13" s="727"/>
      <c r="F13" s="727"/>
      <c r="G13" s="727"/>
      <c r="H13" s="727"/>
      <c r="I13" s="727"/>
      <c r="J13" s="727"/>
      <c r="K13" s="727"/>
      <c r="L13" s="727"/>
      <c r="M13" s="727"/>
      <c r="N13" s="727"/>
      <c r="O13" s="727"/>
      <c r="P13" s="727"/>
      <c r="Q13" s="727"/>
      <c r="R13" s="727"/>
      <c r="S13" s="727"/>
      <c r="T13" s="727"/>
      <c r="U13" s="727"/>
      <c r="V13" s="727"/>
      <c r="W13" s="727"/>
      <c r="X13" s="727"/>
      <c r="Y13" s="727"/>
      <c r="Z13" s="728">
        <v>0</v>
      </c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19">
        <f t="shared" si="0"/>
        <v>0</v>
      </c>
    </row>
    <row r="14" spans="1:74">
      <c r="A14" s="542">
        <f>SUBTOTAL(9,$BQ$9:BQ14)</f>
        <v>4</v>
      </c>
      <c r="B14" s="544" t="s">
        <v>95</v>
      </c>
      <c r="C14" s="727" t="s">
        <v>30</v>
      </c>
      <c r="D14" s="727"/>
      <c r="E14" s="727"/>
      <c r="F14" s="727"/>
      <c r="G14" s="727"/>
      <c r="H14" s="727"/>
      <c r="I14" s="727"/>
      <c r="J14" s="727"/>
      <c r="K14" s="727"/>
      <c r="L14" s="727"/>
      <c r="M14" s="727"/>
      <c r="N14" s="727"/>
      <c r="O14" s="727"/>
      <c r="P14" s="727"/>
      <c r="Q14" s="727"/>
      <c r="R14" s="727"/>
      <c r="S14" s="727"/>
      <c r="T14" s="727"/>
      <c r="U14" s="727"/>
      <c r="V14" s="727"/>
      <c r="W14" s="727"/>
      <c r="X14" s="727"/>
      <c r="Y14" s="727"/>
      <c r="Z14" s="728">
        <v>1</v>
      </c>
      <c r="AA14" s="728"/>
      <c r="AB14" s="728"/>
      <c r="AC14" s="728"/>
      <c r="AD14" s="728"/>
      <c r="AE14" s="728"/>
      <c r="AF14" s="728"/>
      <c r="AG14" s="728"/>
      <c r="AH14" s="728"/>
      <c r="AI14" s="728"/>
      <c r="AJ14" s="728"/>
      <c r="AK14" s="728"/>
      <c r="AL14" s="728"/>
      <c r="AM14" s="728"/>
      <c r="AN14" s="728"/>
      <c r="AO14" s="728"/>
      <c r="AP14" s="728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19">
        <f t="shared" si="0"/>
        <v>1</v>
      </c>
    </row>
    <row r="15" spans="1:74" ht="26">
      <c r="A15" s="542">
        <f>SUBTOTAL(9,$BQ$9:BQ15)</f>
        <v>5</v>
      </c>
      <c r="B15" s="544" t="s">
        <v>63</v>
      </c>
      <c r="C15" s="727" t="s">
        <v>57</v>
      </c>
      <c r="D15" s="727"/>
      <c r="E15" s="727"/>
      <c r="F15" s="727"/>
      <c r="G15" s="727"/>
      <c r="H15" s="727"/>
      <c r="I15" s="727"/>
      <c r="J15" s="727"/>
      <c r="K15" s="727"/>
      <c r="L15" s="727"/>
      <c r="M15" s="727"/>
      <c r="N15" s="727"/>
      <c r="O15" s="727"/>
      <c r="P15" s="727"/>
      <c r="Q15" s="727"/>
      <c r="R15" s="727"/>
      <c r="S15" s="727"/>
      <c r="T15" s="727"/>
      <c r="U15" s="727"/>
      <c r="V15" s="727"/>
      <c r="W15" s="727"/>
      <c r="X15" s="727"/>
      <c r="Y15" s="727"/>
      <c r="Z15" s="728">
        <v>1</v>
      </c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19">
        <f t="shared" si="0"/>
        <v>1</v>
      </c>
    </row>
    <row r="16" spans="1:74">
      <c r="A16" s="542">
        <f>SUBTOTAL(9,$BQ$9:BQ16)</f>
        <v>6</v>
      </c>
      <c r="B16" s="544" t="s">
        <v>62</v>
      </c>
      <c r="C16" s="727" t="s">
        <v>58</v>
      </c>
      <c r="D16" s="727"/>
      <c r="E16" s="727"/>
      <c r="F16" s="727"/>
      <c r="G16" s="727"/>
      <c r="H16" s="727"/>
      <c r="I16" s="727"/>
      <c r="J16" s="727"/>
      <c r="K16" s="727"/>
      <c r="L16" s="727"/>
      <c r="M16" s="727"/>
      <c r="N16" s="727"/>
      <c r="O16" s="727"/>
      <c r="P16" s="727"/>
      <c r="Q16" s="727"/>
      <c r="R16" s="727"/>
      <c r="S16" s="727"/>
      <c r="T16" s="727"/>
      <c r="U16" s="727"/>
      <c r="V16" s="727"/>
      <c r="W16" s="727"/>
      <c r="X16" s="727"/>
      <c r="Y16" s="727"/>
      <c r="Z16" s="728">
        <v>1</v>
      </c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19">
        <f t="shared" si="0"/>
        <v>1</v>
      </c>
    </row>
    <row r="17" spans="1:69" hidden="1">
      <c r="A17" s="542">
        <f>SUBTOTAL(9,$BQ$9:BQ17)</f>
        <v>6</v>
      </c>
      <c r="B17" s="544" t="s">
        <v>513</v>
      </c>
      <c r="C17" s="727" t="s">
        <v>58</v>
      </c>
      <c r="D17" s="727"/>
      <c r="E17" s="727"/>
      <c r="F17" s="727"/>
      <c r="G17" s="727"/>
      <c r="H17" s="727"/>
      <c r="I17" s="727"/>
      <c r="J17" s="727"/>
      <c r="K17" s="727"/>
      <c r="L17" s="727"/>
      <c r="M17" s="727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8">
        <v>0</v>
      </c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19">
        <f t="shared" si="0"/>
        <v>0</v>
      </c>
    </row>
    <row r="18" spans="1:69" ht="39">
      <c r="A18" s="542">
        <f>SUBTOTAL(9,$BQ$9:BQ18)</f>
        <v>7</v>
      </c>
      <c r="B18" s="544" t="s">
        <v>1133</v>
      </c>
      <c r="C18" s="727" t="s">
        <v>452</v>
      </c>
      <c r="D18" s="727"/>
      <c r="E18" s="727"/>
      <c r="F18" s="727"/>
      <c r="G18" s="727"/>
      <c r="H18" s="727"/>
      <c r="I18" s="727"/>
      <c r="J18" s="727"/>
      <c r="K18" s="727"/>
      <c r="L18" s="727"/>
      <c r="M18" s="727"/>
      <c r="N18" s="727"/>
      <c r="O18" s="727"/>
      <c r="P18" s="727"/>
      <c r="Q18" s="727"/>
      <c r="R18" s="727"/>
      <c r="S18" s="727"/>
      <c r="T18" s="727"/>
      <c r="U18" s="727"/>
      <c r="V18" s="727"/>
      <c r="W18" s="727"/>
      <c r="X18" s="727"/>
      <c r="Y18" s="727"/>
      <c r="Z18" s="728">
        <v>1</v>
      </c>
      <c r="AA18" s="728"/>
      <c r="AB18" s="728"/>
      <c r="AC18" s="728"/>
      <c r="AD18" s="728"/>
      <c r="AE18" s="728"/>
      <c r="AF18" s="728"/>
      <c r="AG18" s="728"/>
      <c r="AH18" s="728"/>
      <c r="AI18" s="728"/>
      <c r="AJ18" s="728"/>
      <c r="AK18" s="728"/>
      <c r="AL18" s="728"/>
      <c r="AM18" s="728"/>
      <c r="AN18" s="728"/>
      <c r="AO18" s="728"/>
      <c r="AP18" s="728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19">
        <f t="shared" si="0"/>
        <v>1</v>
      </c>
    </row>
    <row r="19" spans="1:69" hidden="1">
      <c r="A19" s="542">
        <f>SUBTOTAL(9,$BQ$9:BQ19)</f>
        <v>7</v>
      </c>
      <c r="B19" s="544" t="s">
        <v>1134</v>
      </c>
      <c r="C19" s="727" t="s">
        <v>168</v>
      </c>
      <c r="D19" s="727"/>
      <c r="E19" s="727"/>
      <c r="F19" s="727"/>
      <c r="G19" s="727"/>
      <c r="H19" s="727"/>
      <c r="I19" s="727"/>
      <c r="J19" s="727"/>
      <c r="K19" s="727"/>
      <c r="L19" s="727"/>
      <c r="M19" s="727"/>
      <c r="N19" s="727"/>
      <c r="O19" s="727"/>
      <c r="P19" s="727"/>
      <c r="Q19" s="727"/>
      <c r="R19" s="727"/>
      <c r="S19" s="727"/>
      <c r="T19" s="727"/>
      <c r="U19" s="727"/>
      <c r="V19" s="727"/>
      <c r="W19" s="727"/>
      <c r="X19" s="727"/>
      <c r="Y19" s="727"/>
      <c r="Z19" s="728">
        <v>0</v>
      </c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19">
        <f t="shared" si="0"/>
        <v>0</v>
      </c>
    </row>
    <row r="20" spans="1:69" ht="26">
      <c r="A20" s="542">
        <f>SUBTOTAL(9,$BQ$9:BQ20)</f>
        <v>8</v>
      </c>
      <c r="B20" s="544" t="s">
        <v>438</v>
      </c>
      <c r="C20" s="727" t="s">
        <v>173</v>
      </c>
      <c r="D20" s="727"/>
      <c r="E20" s="727"/>
      <c r="F20" s="727"/>
      <c r="G20" s="727"/>
      <c r="H20" s="727"/>
      <c r="I20" s="727"/>
      <c r="J20" s="727"/>
      <c r="K20" s="727"/>
      <c r="L20" s="727"/>
      <c r="M20" s="727"/>
      <c r="N20" s="727"/>
      <c r="O20" s="727"/>
      <c r="P20" s="727"/>
      <c r="Q20" s="727"/>
      <c r="R20" s="727"/>
      <c r="S20" s="727"/>
      <c r="T20" s="727"/>
      <c r="U20" s="727"/>
      <c r="V20" s="727"/>
      <c r="W20" s="727"/>
      <c r="X20" s="727"/>
      <c r="Y20" s="727"/>
      <c r="Z20" s="728">
        <v>1</v>
      </c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19">
        <f t="shared" si="0"/>
        <v>1</v>
      </c>
    </row>
    <row r="21" spans="1:69" hidden="1">
      <c r="A21" s="542">
        <f>SUBTOTAL(9,$BQ$9:BQ21)</f>
        <v>8</v>
      </c>
      <c r="B21" s="544" t="s">
        <v>693</v>
      </c>
      <c r="C21" s="733" t="s">
        <v>694</v>
      </c>
      <c r="D21" s="733"/>
      <c r="E21" s="733"/>
      <c r="F21" s="733"/>
      <c r="G21" s="733"/>
      <c r="H21" s="733"/>
      <c r="I21" s="733"/>
      <c r="J21" s="733"/>
      <c r="K21" s="733"/>
      <c r="L21" s="733"/>
      <c r="M21" s="733"/>
      <c r="N21" s="733"/>
      <c r="O21" s="733"/>
      <c r="P21" s="733"/>
      <c r="Q21" s="733"/>
      <c r="R21" s="733"/>
      <c r="S21" s="733"/>
      <c r="T21" s="733"/>
      <c r="U21" s="733"/>
      <c r="V21" s="733"/>
      <c r="W21" s="733"/>
      <c r="X21" s="733"/>
      <c r="Y21" s="733"/>
      <c r="Z21" s="728">
        <v>0</v>
      </c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19">
        <f t="shared" si="0"/>
        <v>0</v>
      </c>
    </row>
    <row r="22" spans="1:69" ht="52" hidden="1">
      <c r="A22" s="542">
        <f>SUBTOTAL(9,$BQ$9:BQ22)</f>
        <v>8</v>
      </c>
      <c r="B22" s="544" t="s">
        <v>514</v>
      </c>
      <c r="C22" s="727" t="s">
        <v>376</v>
      </c>
      <c r="D22" s="727"/>
      <c r="E22" s="727"/>
      <c r="F22" s="727"/>
      <c r="G22" s="727"/>
      <c r="H22" s="727"/>
      <c r="I22" s="727"/>
      <c r="J22" s="727"/>
      <c r="K22" s="727"/>
      <c r="L22" s="727"/>
      <c r="M22" s="727"/>
      <c r="N22" s="727"/>
      <c r="O22" s="727"/>
      <c r="P22" s="727"/>
      <c r="Q22" s="727"/>
      <c r="R22" s="727"/>
      <c r="S22" s="727"/>
      <c r="T22" s="727"/>
      <c r="U22" s="727"/>
      <c r="V22" s="727"/>
      <c r="W22" s="727"/>
      <c r="X22" s="727"/>
      <c r="Y22" s="727"/>
      <c r="Z22" s="728">
        <v>0</v>
      </c>
      <c r="AA22" s="728"/>
      <c r="AB22" s="728"/>
      <c r="AC22" s="728"/>
      <c r="AD22" s="728"/>
      <c r="AE22" s="728"/>
      <c r="AF22" s="728"/>
      <c r="AG22" s="728"/>
      <c r="AH22" s="728"/>
      <c r="AI22" s="728"/>
      <c r="AJ22" s="728"/>
      <c r="AK22" s="728"/>
      <c r="AL22" s="728"/>
      <c r="AM22" s="728"/>
      <c r="AN22" s="728"/>
      <c r="AO22" s="728"/>
      <c r="AP22" s="728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19">
        <f t="shared" si="0"/>
        <v>0</v>
      </c>
    </row>
    <row r="23" spans="1:69" ht="39" hidden="1">
      <c r="A23" s="542">
        <f>SUBTOTAL(9,$BQ$9:BQ23)</f>
        <v>8</v>
      </c>
      <c r="B23" s="544" t="s">
        <v>1135</v>
      </c>
      <c r="C23" s="727" t="s">
        <v>594</v>
      </c>
      <c r="D23" s="727"/>
      <c r="E23" s="727"/>
      <c r="F23" s="727"/>
      <c r="G23" s="727"/>
      <c r="H23" s="727"/>
      <c r="I23" s="727"/>
      <c r="J23" s="727"/>
      <c r="K23" s="727"/>
      <c r="L23" s="727"/>
      <c r="M23" s="727"/>
      <c r="N23" s="727"/>
      <c r="O23" s="727"/>
      <c r="P23" s="727"/>
      <c r="Q23" s="727"/>
      <c r="R23" s="727"/>
      <c r="S23" s="727"/>
      <c r="T23" s="727"/>
      <c r="U23" s="727"/>
      <c r="V23" s="727"/>
      <c r="W23" s="727"/>
      <c r="X23" s="727"/>
      <c r="Y23" s="727"/>
      <c r="Z23" s="728">
        <v>0</v>
      </c>
      <c r="AA23" s="728"/>
      <c r="AB23" s="728"/>
      <c r="AC23" s="728"/>
      <c r="AD23" s="728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19">
        <f t="shared" si="0"/>
        <v>0</v>
      </c>
    </row>
    <row r="24" spans="1:69" hidden="1">
      <c r="A24" s="542">
        <f>SUBTOTAL(9,$BQ$9:BQ24)</f>
        <v>8</v>
      </c>
      <c r="B24" s="544" t="s">
        <v>595</v>
      </c>
      <c r="C24" s="727" t="s">
        <v>332</v>
      </c>
      <c r="D24" s="727"/>
      <c r="E24" s="727"/>
      <c r="F24" s="727"/>
      <c r="G24" s="727"/>
      <c r="H24" s="727"/>
      <c r="I24" s="727"/>
      <c r="J24" s="727"/>
      <c r="K24" s="727"/>
      <c r="L24" s="727"/>
      <c r="M24" s="727"/>
      <c r="N24" s="727"/>
      <c r="O24" s="727"/>
      <c r="P24" s="727"/>
      <c r="Q24" s="727"/>
      <c r="R24" s="727"/>
      <c r="S24" s="727"/>
      <c r="T24" s="727"/>
      <c r="U24" s="727"/>
      <c r="V24" s="727"/>
      <c r="W24" s="727"/>
      <c r="X24" s="727"/>
      <c r="Y24" s="727"/>
      <c r="Z24" s="728">
        <v>0</v>
      </c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19">
        <f t="shared" si="0"/>
        <v>0</v>
      </c>
    </row>
    <row r="25" spans="1:69">
      <c r="A25" s="542">
        <f>SUBTOTAL(9,$BQ$9:BQ25)</f>
        <v>9</v>
      </c>
      <c r="B25" s="544" t="s">
        <v>923</v>
      </c>
      <c r="C25" s="727" t="s">
        <v>135</v>
      </c>
      <c r="D25" s="727"/>
      <c r="E25" s="727"/>
      <c r="F25" s="727"/>
      <c r="G25" s="727"/>
      <c r="H25" s="727"/>
      <c r="I25" s="727"/>
      <c r="J25" s="727"/>
      <c r="K25" s="727"/>
      <c r="L25" s="727"/>
      <c r="M25" s="727"/>
      <c r="N25" s="727"/>
      <c r="O25" s="727"/>
      <c r="P25" s="727"/>
      <c r="Q25" s="727"/>
      <c r="R25" s="727"/>
      <c r="S25" s="727"/>
      <c r="T25" s="727"/>
      <c r="U25" s="727"/>
      <c r="V25" s="727"/>
      <c r="W25" s="727"/>
      <c r="X25" s="727"/>
      <c r="Y25" s="727"/>
      <c r="Z25" s="728">
        <v>1</v>
      </c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19">
        <f t="shared" si="0"/>
        <v>1</v>
      </c>
    </row>
    <row r="26" spans="1:69" ht="26">
      <c r="A26" s="542">
        <f>SUBTOTAL(9,$BQ$9:BQ26)</f>
        <v>10</v>
      </c>
      <c r="B26" s="544" t="s">
        <v>924</v>
      </c>
      <c r="C26" s="727" t="s">
        <v>116</v>
      </c>
      <c r="D26" s="727"/>
      <c r="E26" s="727"/>
      <c r="F26" s="727"/>
      <c r="G26" s="727"/>
      <c r="H26" s="727"/>
      <c r="I26" s="727"/>
      <c r="J26" s="727"/>
      <c r="K26" s="727"/>
      <c r="L26" s="727"/>
      <c r="M26" s="727"/>
      <c r="N26" s="727"/>
      <c r="O26" s="727"/>
      <c r="P26" s="727"/>
      <c r="Q26" s="727"/>
      <c r="R26" s="727"/>
      <c r="S26" s="727"/>
      <c r="T26" s="727"/>
      <c r="U26" s="727"/>
      <c r="V26" s="727"/>
      <c r="W26" s="727"/>
      <c r="X26" s="727"/>
      <c r="Y26" s="727"/>
      <c r="Z26" s="728">
        <v>1</v>
      </c>
      <c r="AA26" s="728"/>
      <c r="AB26" s="728"/>
      <c r="AC26" s="728"/>
      <c r="AD26" s="728"/>
      <c r="AE26" s="728"/>
      <c r="AF26" s="728"/>
      <c r="AG26" s="728"/>
      <c r="AH26" s="728"/>
      <c r="AI26" s="728"/>
      <c r="AJ26" s="728"/>
      <c r="AK26" s="728"/>
      <c r="AL26" s="728"/>
      <c r="AM26" s="728"/>
      <c r="AN26" s="728"/>
      <c r="AO26" s="728"/>
      <c r="AP26" s="728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19">
        <f t="shared" si="0"/>
        <v>1</v>
      </c>
    </row>
    <row r="27" spans="1:69" ht="26">
      <c r="A27" s="542">
        <f>SUBTOTAL(9,$BQ$9:BQ27)</f>
        <v>11</v>
      </c>
      <c r="B27" s="544" t="s">
        <v>925</v>
      </c>
      <c r="C27" s="727" t="s">
        <v>111</v>
      </c>
      <c r="D27" s="727"/>
      <c r="E27" s="727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27"/>
      <c r="V27" s="727"/>
      <c r="W27" s="727"/>
      <c r="X27" s="727"/>
      <c r="Y27" s="727"/>
      <c r="Z27" s="728">
        <v>1</v>
      </c>
      <c r="AA27" s="728"/>
      <c r="AB27" s="728"/>
      <c r="AC27" s="728"/>
      <c r="AD27" s="728"/>
      <c r="AE27" s="728"/>
      <c r="AF27" s="728"/>
      <c r="AG27" s="728"/>
      <c r="AH27" s="728"/>
      <c r="AI27" s="728"/>
      <c r="AJ27" s="728"/>
      <c r="AK27" s="728"/>
      <c r="AL27" s="728"/>
      <c r="AM27" s="728"/>
      <c r="AN27" s="728"/>
      <c r="AO27" s="728"/>
      <c r="AP27" s="728"/>
      <c r="AQ27" s="729"/>
      <c r="AR27" s="729"/>
      <c r="AS27" s="729"/>
      <c r="AT27" s="729"/>
      <c r="AU27" s="729"/>
      <c r="AV27" s="729"/>
      <c r="AW27" s="729"/>
      <c r="AX27" s="729"/>
      <c r="AY27" s="729"/>
      <c r="AZ27" s="729"/>
      <c r="BA27" s="729"/>
      <c r="BB27" s="729"/>
      <c r="BC27" s="729"/>
      <c r="BD27" s="729"/>
      <c r="BE27" s="729"/>
      <c r="BF27" s="729"/>
      <c r="BG27" s="729"/>
      <c r="BH27" s="729"/>
      <c r="BI27" s="729"/>
      <c r="BJ27" s="729"/>
      <c r="BK27" s="729"/>
      <c r="BL27" s="729"/>
      <c r="BM27" s="729"/>
      <c r="BN27" s="729"/>
      <c r="BO27" s="729"/>
      <c r="BP27" s="729"/>
      <c r="BQ27" s="19">
        <f t="shared" si="0"/>
        <v>1</v>
      </c>
    </row>
    <row r="28" spans="1:69" ht="26">
      <c r="A28" s="542">
        <f>SUBTOTAL(9,$BQ$9:BQ28)</f>
        <v>12</v>
      </c>
      <c r="B28" s="544" t="s">
        <v>474</v>
      </c>
      <c r="C28" s="727" t="s">
        <v>126</v>
      </c>
      <c r="D28" s="727"/>
      <c r="E28" s="727"/>
      <c r="F28" s="727"/>
      <c r="G28" s="727"/>
      <c r="H28" s="727"/>
      <c r="I28" s="727"/>
      <c r="J28" s="727"/>
      <c r="K28" s="727"/>
      <c r="L28" s="727"/>
      <c r="M28" s="727"/>
      <c r="N28" s="727"/>
      <c r="O28" s="727"/>
      <c r="P28" s="727"/>
      <c r="Q28" s="727"/>
      <c r="R28" s="727"/>
      <c r="S28" s="727"/>
      <c r="T28" s="727"/>
      <c r="U28" s="727"/>
      <c r="V28" s="727"/>
      <c r="W28" s="727"/>
      <c r="X28" s="727"/>
      <c r="Y28" s="727"/>
      <c r="Z28" s="728">
        <v>1</v>
      </c>
      <c r="AA28" s="728"/>
      <c r="AB28" s="728"/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/>
      <c r="AN28" s="728"/>
      <c r="AO28" s="728"/>
      <c r="AP28" s="728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727"/>
      <c r="BL28" s="727"/>
      <c r="BM28" s="727"/>
      <c r="BN28" s="727"/>
      <c r="BO28" s="727"/>
      <c r="BP28" s="727"/>
      <c r="BQ28" s="19">
        <f t="shared" si="0"/>
        <v>1</v>
      </c>
    </row>
    <row r="29" spans="1:69">
      <c r="A29" s="542">
        <f>SUBTOTAL(9,$BQ$9:BQ29)</f>
        <v>13</v>
      </c>
      <c r="B29" s="544" t="s">
        <v>475</v>
      </c>
      <c r="C29" s="727" t="s">
        <v>132</v>
      </c>
      <c r="D29" s="727"/>
      <c r="E29" s="727"/>
      <c r="F29" s="727"/>
      <c r="G29" s="727"/>
      <c r="H29" s="727"/>
      <c r="I29" s="727"/>
      <c r="J29" s="727"/>
      <c r="K29" s="727"/>
      <c r="L29" s="727"/>
      <c r="M29" s="727"/>
      <c r="N29" s="727"/>
      <c r="O29" s="727"/>
      <c r="P29" s="727"/>
      <c r="Q29" s="727"/>
      <c r="R29" s="727"/>
      <c r="S29" s="727"/>
      <c r="T29" s="727"/>
      <c r="U29" s="727"/>
      <c r="V29" s="727"/>
      <c r="W29" s="727"/>
      <c r="X29" s="727"/>
      <c r="Y29" s="727"/>
      <c r="Z29" s="728">
        <v>1</v>
      </c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729"/>
      <c r="BL29" s="729"/>
      <c r="BM29" s="729"/>
      <c r="BN29" s="729"/>
      <c r="BO29" s="729"/>
      <c r="BP29" s="729"/>
      <c r="BQ29" s="19">
        <f t="shared" si="0"/>
        <v>1</v>
      </c>
    </row>
    <row r="30" spans="1:69">
      <c r="A30" s="542">
        <f>SUBTOTAL(9,$BQ$9:BQ30)</f>
        <v>14</v>
      </c>
      <c r="B30" s="544" t="s">
        <v>450</v>
      </c>
      <c r="C30" s="727" t="s">
        <v>138</v>
      </c>
      <c r="D30" s="727"/>
      <c r="E30" s="727"/>
      <c r="F30" s="727"/>
      <c r="G30" s="727"/>
      <c r="H30" s="727"/>
      <c r="I30" s="727"/>
      <c r="J30" s="727"/>
      <c r="K30" s="727"/>
      <c r="L30" s="727"/>
      <c r="M30" s="727"/>
      <c r="N30" s="727"/>
      <c r="O30" s="727"/>
      <c r="P30" s="727"/>
      <c r="Q30" s="727"/>
      <c r="R30" s="727"/>
      <c r="S30" s="727"/>
      <c r="T30" s="727"/>
      <c r="U30" s="727"/>
      <c r="V30" s="727"/>
      <c r="W30" s="727"/>
      <c r="X30" s="727"/>
      <c r="Y30" s="727"/>
      <c r="Z30" s="728">
        <v>1</v>
      </c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729"/>
      <c r="BL30" s="729"/>
      <c r="BM30" s="729"/>
      <c r="BN30" s="729"/>
      <c r="BO30" s="729"/>
      <c r="BP30" s="729"/>
      <c r="BQ30" s="19">
        <f t="shared" si="0"/>
        <v>1</v>
      </c>
    </row>
    <row r="31" spans="1:69" hidden="1">
      <c r="A31" s="542">
        <f>SUBTOTAL(9,$BQ$9:BQ31)</f>
        <v>14</v>
      </c>
      <c r="B31" s="544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27" t="s">
        <v>177</v>
      </c>
      <c r="D31" s="727"/>
      <c r="E31" s="727"/>
      <c r="F31" s="727"/>
      <c r="G31" s="727"/>
      <c r="H31" s="727"/>
      <c r="I31" s="727"/>
      <c r="J31" s="727"/>
      <c r="K31" s="727"/>
      <c r="L31" s="727"/>
      <c r="M31" s="727"/>
      <c r="N31" s="727"/>
      <c r="O31" s="727"/>
      <c r="P31" s="727"/>
      <c r="Q31" s="727"/>
      <c r="R31" s="727"/>
      <c r="S31" s="727"/>
      <c r="T31" s="727"/>
      <c r="U31" s="727"/>
      <c r="V31" s="727"/>
      <c r="W31" s="727"/>
      <c r="X31" s="727"/>
      <c r="Y31" s="727"/>
      <c r="Z31" s="743">
        <v>0</v>
      </c>
      <c r="AA31" s="744"/>
      <c r="AB31" s="744"/>
      <c r="AC31" s="744"/>
      <c r="AD31" s="744"/>
      <c r="AE31" s="744"/>
      <c r="AF31" s="744"/>
      <c r="AG31" s="744"/>
      <c r="AH31" s="744"/>
      <c r="AI31" s="744"/>
      <c r="AJ31" s="744"/>
      <c r="AK31" s="744"/>
      <c r="AL31" s="744"/>
      <c r="AM31" s="744"/>
      <c r="AN31" s="744"/>
      <c r="AO31" s="744"/>
      <c r="AP31" s="745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729"/>
      <c r="BL31" s="729"/>
      <c r="BM31" s="729"/>
      <c r="BN31" s="729"/>
      <c r="BO31" s="729"/>
      <c r="BP31" s="729"/>
      <c r="BQ31" s="19">
        <f t="shared" si="0"/>
        <v>0</v>
      </c>
    </row>
    <row r="32" spans="1:69">
      <c r="A32" s="542">
        <f>SUBTOTAL(9,$BQ$9:BQ32)</f>
        <v>15</v>
      </c>
      <c r="B32" s="544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27" t="s">
        <v>177</v>
      </c>
      <c r="D32" s="727"/>
      <c r="E32" s="727"/>
      <c r="F32" s="727"/>
      <c r="G32" s="727"/>
      <c r="H32" s="727"/>
      <c r="I32" s="727"/>
      <c r="J32" s="727"/>
      <c r="K32" s="727"/>
      <c r="L32" s="727"/>
      <c r="M32" s="727"/>
      <c r="N32" s="727"/>
      <c r="O32" s="727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8">
        <v>2</v>
      </c>
      <c r="AA32" s="728"/>
      <c r="AB32" s="728"/>
      <c r="AC32" s="728"/>
      <c r="AD32" s="728"/>
      <c r="AE32" s="728"/>
      <c r="AF32" s="728"/>
      <c r="AG32" s="728"/>
      <c r="AH32" s="728"/>
      <c r="AI32" s="728"/>
      <c r="AJ32" s="728"/>
      <c r="AK32" s="728"/>
      <c r="AL32" s="728"/>
      <c r="AM32" s="728"/>
      <c r="AN32" s="728"/>
      <c r="AO32" s="728"/>
      <c r="AP32" s="728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9"/>
      <c r="BL32" s="729"/>
      <c r="BM32" s="729"/>
      <c r="BN32" s="729"/>
      <c r="BO32" s="729"/>
      <c r="BP32" s="729"/>
      <c r="BQ32" s="19">
        <f t="shared" si="0"/>
        <v>1</v>
      </c>
    </row>
    <row r="33" spans="1:69" ht="26" hidden="1">
      <c r="A33" s="542">
        <f>SUBTOTAL(9,$BQ$9:BQ33)</f>
        <v>15</v>
      </c>
      <c r="B33" s="544" t="s">
        <v>1174</v>
      </c>
      <c r="C33" s="727" t="s">
        <v>343</v>
      </c>
      <c r="D33" s="727"/>
      <c r="E33" s="727"/>
      <c r="F33" s="727"/>
      <c r="G33" s="727"/>
      <c r="H33" s="727"/>
      <c r="I33" s="727"/>
      <c r="J33" s="727"/>
      <c r="K33" s="727"/>
      <c r="L33" s="727"/>
      <c r="M33" s="727"/>
      <c r="N33" s="727"/>
      <c r="O33" s="727"/>
      <c r="P33" s="727"/>
      <c r="Q33" s="727"/>
      <c r="R33" s="727"/>
      <c r="S33" s="727"/>
      <c r="T33" s="727"/>
      <c r="U33" s="727"/>
      <c r="V33" s="727"/>
      <c r="W33" s="727"/>
      <c r="X33" s="727"/>
      <c r="Y33" s="727"/>
      <c r="Z33" s="728">
        <v>0</v>
      </c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729"/>
      <c r="BL33" s="729"/>
      <c r="BM33" s="729"/>
      <c r="BN33" s="729"/>
      <c r="BO33" s="729"/>
      <c r="BP33" s="729"/>
      <c r="BQ33" s="19">
        <f t="shared" si="0"/>
        <v>0</v>
      </c>
    </row>
    <row r="34" spans="1:69" hidden="1">
      <c r="A34" s="542">
        <f>SUBTOTAL(9,$BQ$9:BQ34)</f>
        <v>15</v>
      </c>
      <c r="B34" s="543" t="s">
        <v>1136</v>
      </c>
      <c r="C34" s="727" t="s">
        <v>332</v>
      </c>
      <c r="D34" s="727"/>
      <c r="E34" s="727"/>
      <c r="F34" s="727"/>
      <c r="G34" s="727"/>
      <c r="H34" s="727"/>
      <c r="I34" s="727"/>
      <c r="J34" s="727"/>
      <c r="K34" s="727"/>
      <c r="L34" s="727"/>
      <c r="M34" s="727"/>
      <c r="N34" s="727"/>
      <c r="O34" s="727"/>
      <c r="P34" s="727"/>
      <c r="Q34" s="727"/>
      <c r="R34" s="727"/>
      <c r="S34" s="727"/>
      <c r="T34" s="727"/>
      <c r="U34" s="727"/>
      <c r="V34" s="727"/>
      <c r="W34" s="727"/>
      <c r="X34" s="727"/>
      <c r="Y34" s="727"/>
      <c r="Z34" s="728">
        <f>Z33</f>
        <v>0</v>
      </c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729"/>
      <c r="BL34" s="729"/>
      <c r="BM34" s="729"/>
      <c r="BN34" s="729"/>
      <c r="BO34" s="729"/>
      <c r="BP34" s="729"/>
      <c r="BQ34" s="19">
        <f>IF(Z34&gt;0,1,0)</f>
        <v>0</v>
      </c>
    </row>
    <row r="35" spans="1:69" ht="26" hidden="1">
      <c r="A35" s="542">
        <f>SUBTOTAL(9,$BQ$9:BQ35)</f>
        <v>15</v>
      </c>
      <c r="B35" s="544" t="s">
        <v>1175</v>
      </c>
      <c r="C35" s="727" t="s">
        <v>343</v>
      </c>
      <c r="D35" s="727"/>
      <c r="E35" s="727"/>
      <c r="F35" s="727"/>
      <c r="G35" s="727"/>
      <c r="H35" s="727"/>
      <c r="I35" s="727"/>
      <c r="J35" s="727"/>
      <c r="K35" s="727"/>
      <c r="L35" s="727"/>
      <c r="M35" s="727"/>
      <c r="N35" s="727"/>
      <c r="O35" s="727"/>
      <c r="P35" s="727"/>
      <c r="Q35" s="727"/>
      <c r="R35" s="727"/>
      <c r="S35" s="727"/>
      <c r="T35" s="727"/>
      <c r="U35" s="727"/>
      <c r="V35" s="727"/>
      <c r="W35" s="727"/>
      <c r="X35" s="727"/>
      <c r="Y35" s="727"/>
      <c r="Z35" s="728">
        <v>0</v>
      </c>
      <c r="AA35" s="728"/>
      <c r="AB35" s="728"/>
      <c r="AC35" s="728"/>
      <c r="AD35" s="728"/>
      <c r="AE35" s="728"/>
      <c r="AF35" s="728"/>
      <c r="AG35" s="728"/>
      <c r="AH35" s="728"/>
      <c r="AI35" s="728"/>
      <c r="AJ35" s="728"/>
      <c r="AK35" s="728"/>
      <c r="AL35" s="728"/>
      <c r="AM35" s="728"/>
      <c r="AN35" s="728"/>
      <c r="AO35" s="728"/>
      <c r="AP35" s="728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729"/>
      <c r="BL35" s="729"/>
      <c r="BM35" s="729"/>
      <c r="BN35" s="729"/>
      <c r="BO35" s="729"/>
      <c r="BP35" s="729"/>
      <c r="BQ35" s="19">
        <f>IF(Z35&gt;0,1,0)</f>
        <v>0</v>
      </c>
    </row>
    <row r="36" spans="1:69" hidden="1">
      <c r="A36" s="542">
        <f>SUBTOTAL(9,$BQ$9:BQ36)</f>
        <v>15</v>
      </c>
      <c r="B36" s="543" t="s">
        <v>1136</v>
      </c>
      <c r="C36" s="727" t="s">
        <v>332</v>
      </c>
      <c r="D36" s="727"/>
      <c r="E36" s="727"/>
      <c r="F36" s="727"/>
      <c r="G36" s="727"/>
      <c r="H36" s="727"/>
      <c r="I36" s="727"/>
      <c r="J36" s="727"/>
      <c r="K36" s="727"/>
      <c r="L36" s="727"/>
      <c r="M36" s="727"/>
      <c r="N36" s="727"/>
      <c r="O36" s="727"/>
      <c r="P36" s="727"/>
      <c r="Q36" s="727"/>
      <c r="R36" s="727"/>
      <c r="S36" s="727"/>
      <c r="T36" s="727"/>
      <c r="U36" s="727"/>
      <c r="V36" s="727"/>
      <c r="W36" s="727"/>
      <c r="X36" s="727"/>
      <c r="Y36" s="727"/>
      <c r="Z36" s="728">
        <f>Z35</f>
        <v>0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9"/>
      <c r="BL36" s="729"/>
      <c r="BM36" s="729"/>
      <c r="BN36" s="729"/>
      <c r="BO36" s="729"/>
      <c r="BP36" s="729"/>
      <c r="BQ36" s="19">
        <f t="shared" si="0"/>
        <v>0</v>
      </c>
    </row>
    <row r="37" spans="1:69">
      <c r="A37" s="542">
        <f>SUBTOTAL(9,$BQ$9:BQ37)</f>
        <v>16</v>
      </c>
      <c r="B37" s="543" t="s">
        <v>1727</v>
      </c>
      <c r="C37" s="727" t="s">
        <v>252</v>
      </c>
      <c r="D37" s="727"/>
      <c r="E37" s="727"/>
      <c r="F37" s="727"/>
      <c r="G37" s="727"/>
      <c r="H37" s="727"/>
      <c r="I37" s="727"/>
      <c r="J37" s="727"/>
      <c r="K37" s="727"/>
      <c r="L37" s="727"/>
      <c r="M37" s="727"/>
      <c r="N37" s="727"/>
      <c r="O37" s="727"/>
      <c r="P37" s="727"/>
      <c r="Q37" s="727"/>
      <c r="R37" s="727"/>
      <c r="S37" s="727"/>
      <c r="T37" s="727"/>
      <c r="U37" s="727"/>
      <c r="V37" s="727"/>
      <c r="W37" s="727"/>
      <c r="X37" s="727"/>
      <c r="Y37" s="727"/>
      <c r="Z37" s="728">
        <v>8</v>
      </c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729"/>
      <c r="BL37" s="729"/>
      <c r="BM37" s="729"/>
      <c r="BN37" s="729"/>
      <c r="BO37" s="729"/>
      <c r="BP37" s="729"/>
      <c r="BQ37" s="19">
        <f t="shared" si="0"/>
        <v>1</v>
      </c>
    </row>
    <row r="38" spans="1:69">
      <c r="A38" s="542">
        <f>SUBTOTAL(9,$BQ$9:BQ38)</f>
        <v>17</v>
      </c>
      <c r="B38" s="543" t="s">
        <v>1728</v>
      </c>
      <c r="C38" s="727" t="s">
        <v>332</v>
      </c>
      <c r="D38" s="727"/>
      <c r="E38" s="727"/>
      <c r="F38" s="727"/>
      <c r="G38" s="727"/>
      <c r="H38" s="727"/>
      <c r="I38" s="727"/>
      <c r="J38" s="727"/>
      <c r="K38" s="727"/>
      <c r="L38" s="727"/>
      <c r="M38" s="727"/>
      <c r="N38" s="727"/>
      <c r="O38" s="727"/>
      <c r="P38" s="727"/>
      <c r="Q38" s="727"/>
      <c r="R38" s="727"/>
      <c r="S38" s="727"/>
      <c r="T38" s="727"/>
      <c r="U38" s="727"/>
      <c r="V38" s="727"/>
      <c r="W38" s="727"/>
      <c r="X38" s="727"/>
      <c r="Y38" s="727"/>
      <c r="Z38" s="728">
        <f>Z37</f>
        <v>8</v>
      </c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729"/>
      <c r="BL38" s="729"/>
      <c r="BM38" s="729"/>
      <c r="BN38" s="729"/>
      <c r="BO38" s="729"/>
      <c r="BP38" s="729"/>
      <c r="BQ38" s="19">
        <f>IF(Z38&gt;0,1,0)</f>
        <v>1</v>
      </c>
    </row>
    <row r="39" spans="1:69" hidden="1">
      <c r="A39" s="542">
        <f>SUBTOTAL(9,$BQ$9:BQ39)</f>
        <v>17</v>
      </c>
      <c r="B39" s="543" t="s">
        <v>1137</v>
      </c>
      <c r="C39" s="727" t="s">
        <v>252</v>
      </c>
      <c r="D39" s="727"/>
      <c r="E39" s="727"/>
      <c r="F39" s="727"/>
      <c r="G39" s="727"/>
      <c r="H39" s="727"/>
      <c r="I39" s="727"/>
      <c r="J39" s="727"/>
      <c r="K39" s="727"/>
      <c r="L39" s="727"/>
      <c r="M39" s="727"/>
      <c r="N39" s="727"/>
      <c r="O39" s="727"/>
      <c r="P39" s="727"/>
      <c r="Q39" s="727"/>
      <c r="R39" s="727"/>
      <c r="S39" s="727"/>
      <c r="T39" s="727"/>
      <c r="U39" s="727"/>
      <c r="V39" s="727"/>
      <c r="W39" s="727"/>
      <c r="X39" s="727"/>
      <c r="Y39" s="727"/>
      <c r="Z39" s="728">
        <f>Z31</f>
        <v>0</v>
      </c>
      <c r="AA39" s="728"/>
      <c r="AB39" s="728"/>
      <c r="AC39" s="728"/>
      <c r="AD39" s="728"/>
      <c r="AE39" s="728"/>
      <c r="AF39" s="728"/>
      <c r="AG39" s="728"/>
      <c r="AH39" s="728"/>
      <c r="AI39" s="728"/>
      <c r="AJ39" s="728"/>
      <c r="AK39" s="728"/>
      <c r="AL39" s="728"/>
      <c r="AM39" s="728"/>
      <c r="AN39" s="728"/>
      <c r="AO39" s="728"/>
      <c r="AP39" s="728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729"/>
      <c r="BL39" s="729"/>
      <c r="BM39" s="729"/>
      <c r="BN39" s="729"/>
      <c r="BO39" s="729"/>
      <c r="BP39" s="729"/>
      <c r="BQ39" s="19">
        <f t="shared" si="0"/>
        <v>0</v>
      </c>
    </row>
    <row r="40" spans="1:69" ht="26" hidden="1">
      <c r="A40" s="542">
        <f>SUBTOTAL(9,$BQ$9:BQ40)</f>
        <v>17</v>
      </c>
      <c r="B40" s="543" t="s">
        <v>1152</v>
      </c>
      <c r="C40" s="727" t="s">
        <v>332</v>
      </c>
      <c r="D40" s="727"/>
      <c r="E40" s="727"/>
      <c r="F40" s="727"/>
      <c r="G40" s="727"/>
      <c r="H40" s="727"/>
      <c r="I40" s="727"/>
      <c r="J40" s="727"/>
      <c r="K40" s="727"/>
      <c r="L40" s="727"/>
      <c r="M40" s="727"/>
      <c r="N40" s="727"/>
      <c r="O40" s="727"/>
      <c r="P40" s="727"/>
      <c r="Q40" s="727"/>
      <c r="R40" s="727"/>
      <c r="S40" s="727"/>
      <c r="T40" s="727"/>
      <c r="U40" s="727"/>
      <c r="V40" s="727"/>
      <c r="W40" s="727"/>
      <c r="X40" s="727"/>
      <c r="Y40" s="727"/>
      <c r="Z40" s="728">
        <f>Z39</f>
        <v>0</v>
      </c>
      <c r="AA40" s="728"/>
      <c r="AB40" s="728"/>
      <c r="AC40" s="728"/>
      <c r="AD40" s="728"/>
      <c r="AE40" s="728"/>
      <c r="AF40" s="728"/>
      <c r="AG40" s="728"/>
      <c r="AH40" s="728"/>
      <c r="AI40" s="728"/>
      <c r="AJ40" s="728"/>
      <c r="AK40" s="728"/>
      <c r="AL40" s="728"/>
      <c r="AM40" s="728"/>
      <c r="AN40" s="728"/>
      <c r="AO40" s="728"/>
      <c r="AP40" s="728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9"/>
      <c r="BL40" s="729"/>
      <c r="BM40" s="729"/>
      <c r="BN40" s="729"/>
      <c r="BO40" s="729"/>
      <c r="BP40" s="729"/>
      <c r="BQ40" s="19">
        <f>IF(Z40&gt;0,1,0)</f>
        <v>0</v>
      </c>
    </row>
    <row r="41" spans="1:69">
      <c r="A41" s="542">
        <f>SUBTOTAL(9,$BQ$9:BQ41)</f>
        <v>18</v>
      </c>
      <c r="B41" s="543" t="s">
        <v>1138</v>
      </c>
      <c r="C41" s="727" t="s">
        <v>252</v>
      </c>
      <c r="D41" s="727"/>
      <c r="E41" s="727"/>
      <c r="F41" s="727"/>
      <c r="G41" s="727"/>
      <c r="H41" s="727"/>
      <c r="I41" s="727"/>
      <c r="J41" s="727"/>
      <c r="K41" s="727"/>
      <c r="L41" s="727"/>
      <c r="M41" s="727"/>
      <c r="N41" s="727"/>
      <c r="O41" s="727"/>
      <c r="P41" s="727"/>
      <c r="Q41" s="727"/>
      <c r="R41" s="727"/>
      <c r="S41" s="727"/>
      <c r="T41" s="727"/>
      <c r="U41" s="727"/>
      <c r="V41" s="727"/>
      <c r="W41" s="727"/>
      <c r="X41" s="727"/>
      <c r="Y41" s="727"/>
      <c r="Z41" s="728">
        <v>1</v>
      </c>
      <c r="AA41" s="728"/>
      <c r="AB41" s="728"/>
      <c r="AC41" s="728"/>
      <c r="AD41" s="728"/>
      <c r="AE41" s="728"/>
      <c r="AF41" s="728"/>
      <c r="AG41" s="728"/>
      <c r="AH41" s="728"/>
      <c r="AI41" s="728"/>
      <c r="AJ41" s="728"/>
      <c r="AK41" s="728"/>
      <c r="AL41" s="728"/>
      <c r="AM41" s="728"/>
      <c r="AN41" s="728"/>
      <c r="AO41" s="728"/>
      <c r="AP41" s="728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729"/>
      <c r="BL41" s="729"/>
      <c r="BM41" s="729"/>
      <c r="BN41" s="729"/>
      <c r="BO41" s="729"/>
      <c r="BP41" s="729"/>
      <c r="BQ41" s="19">
        <f t="shared" si="0"/>
        <v>1</v>
      </c>
    </row>
    <row r="42" spans="1:69" ht="26">
      <c r="A42" s="542">
        <f>SUBTOTAL(9,$BQ$9:BQ42)</f>
        <v>19</v>
      </c>
      <c r="B42" s="543" t="s">
        <v>1153</v>
      </c>
      <c r="C42" s="727" t="s">
        <v>332</v>
      </c>
      <c r="D42" s="727"/>
      <c r="E42" s="727"/>
      <c r="F42" s="727"/>
      <c r="G42" s="727"/>
      <c r="H42" s="727"/>
      <c r="I42" s="727"/>
      <c r="J42" s="727"/>
      <c r="K42" s="727"/>
      <c r="L42" s="727"/>
      <c r="M42" s="727"/>
      <c r="N42" s="727"/>
      <c r="O42" s="727"/>
      <c r="P42" s="727"/>
      <c r="Q42" s="727"/>
      <c r="R42" s="727"/>
      <c r="S42" s="727"/>
      <c r="T42" s="727"/>
      <c r="U42" s="727"/>
      <c r="V42" s="727"/>
      <c r="W42" s="727"/>
      <c r="X42" s="727"/>
      <c r="Y42" s="727"/>
      <c r="Z42" s="728">
        <f>Z41</f>
        <v>1</v>
      </c>
      <c r="AA42" s="728"/>
      <c r="AB42" s="728"/>
      <c r="AC42" s="728"/>
      <c r="AD42" s="728"/>
      <c r="AE42" s="728"/>
      <c r="AF42" s="728"/>
      <c r="AG42" s="728"/>
      <c r="AH42" s="728"/>
      <c r="AI42" s="728"/>
      <c r="AJ42" s="728"/>
      <c r="AK42" s="728"/>
      <c r="AL42" s="728"/>
      <c r="AM42" s="728"/>
      <c r="AN42" s="728"/>
      <c r="AO42" s="728"/>
      <c r="AP42" s="728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729"/>
      <c r="BL42" s="729"/>
      <c r="BM42" s="729"/>
      <c r="BN42" s="729"/>
      <c r="BO42" s="729"/>
      <c r="BP42" s="729"/>
      <c r="BQ42" s="19">
        <f>IF(Z42&gt;0,1,0)</f>
        <v>1</v>
      </c>
    </row>
    <row r="43" spans="1:69" ht="26" hidden="1">
      <c r="A43" s="542">
        <f>SUBTOTAL(9,$BQ$9:BQ43)</f>
        <v>19</v>
      </c>
      <c r="B43" s="544" t="s">
        <v>1139</v>
      </c>
      <c r="C43" s="727" t="s">
        <v>332</v>
      </c>
      <c r="D43" s="727"/>
      <c r="E43" s="727"/>
      <c r="F43" s="727"/>
      <c r="G43" s="727"/>
      <c r="H43" s="727"/>
      <c r="I43" s="727"/>
      <c r="J43" s="727"/>
      <c r="K43" s="727"/>
      <c r="L43" s="727"/>
      <c r="M43" s="727"/>
      <c r="N43" s="727"/>
      <c r="O43" s="727"/>
      <c r="P43" s="727"/>
      <c r="Q43" s="727"/>
      <c r="R43" s="727"/>
      <c r="S43" s="727"/>
      <c r="T43" s="727"/>
      <c r="U43" s="727"/>
      <c r="V43" s="727"/>
      <c r="W43" s="727"/>
      <c r="X43" s="727"/>
      <c r="Y43" s="727"/>
      <c r="Z43" s="728">
        <v>0</v>
      </c>
      <c r="AA43" s="728"/>
      <c r="AB43" s="728"/>
      <c r="AC43" s="728"/>
      <c r="AD43" s="728"/>
      <c r="AE43" s="728"/>
      <c r="AF43" s="728"/>
      <c r="AG43" s="728"/>
      <c r="AH43" s="728"/>
      <c r="AI43" s="728"/>
      <c r="AJ43" s="728"/>
      <c r="AK43" s="728"/>
      <c r="AL43" s="728"/>
      <c r="AM43" s="728"/>
      <c r="AN43" s="728"/>
      <c r="AO43" s="728"/>
      <c r="AP43" s="728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729"/>
      <c r="BL43" s="729"/>
      <c r="BM43" s="729"/>
      <c r="BN43" s="729"/>
      <c r="BO43" s="729"/>
      <c r="BP43" s="729"/>
      <c r="BQ43" s="19">
        <f t="shared" si="0"/>
        <v>0</v>
      </c>
    </row>
    <row r="44" spans="1:69" ht="26" hidden="1">
      <c r="A44" s="542">
        <f>SUBTOTAL(9,$BQ$9:BQ44)</f>
        <v>19</v>
      </c>
      <c r="B44" s="544" t="s">
        <v>1140</v>
      </c>
      <c r="C44" s="727" t="s">
        <v>332</v>
      </c>
      <c r="D44" s="727"/>
      <c r="E44" s="727"/>
      <c r="F44" s="727"/>
      <c r="G44" s="727"/>
      <c r="H44" s="727"/>
      <c r="I44" s="727"/>
      <c r="J44" s="727"/>
      <c r="K44" s="727"/>
      <c r="L44" s="727"/>
      <c r="M44" s="727"/>
      <c r="N44" s="727"/>
      <c r="O44" s="727"/>
      <c r="P44" s="727"/>
      <c r="Q44" s="727"/>
      <c r="R44" s="727"/>
      <c r="S44" s="727"/>
      <c r="T44" s="727"/>
      <c r="U44" s="727"/>
      <c r="V44" s="727"/>
      <c r="W44" s="727"/>
      <c r="X44" s="727"/>
      <c r="Y44" s="727"/>
      <c r="Z44" s="728">
        <v>0</v>
      </c>
      <c r="AA44" s="728"/>
      <c r="AB44" s="728"/>
      <c r="AC44" s="728"/>
      <c r="AD44" s="728"/>
      <c r="AE44" s="728"/>
      <c r="AF44" s="728"/>
      <c r="AG44" s="728"/>
      <c r="AH44" s="728"/>
      <c r="AI44" s="728"/>
      <c r="AJ44" s="728"/>
      <c r="AK44" s="728"/>
      <c r="AL44" s="728"/>
      <c r="AM44" s="728"/>
      <c r="AN44" s="728"/>
      <c r="AO44" s="728"/>
      <c r="AP44" s="728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9"/>
      <c r="BL44" s="729"/>
      <c r="BM44" s="729"/>
      <c r="BN44" s="729"/>
      <c r="BO44" s="729"/>
      <c r="BP44" s="729"/>
      <c r="BQ44" s="19">
        <f t="shared" si="0"/>
        <v>0</v>
      </c>
    </row>
    <row r="45" spans="1:69" hidden="1">
      <c r="A45" s="542">
        <f>SUBTOTAL(9,$BQ$9:BQ45)</f>
        <v>19</v>
      </c>
      <c r="B45" s="544" t="s">
        <v>439</v>
      </c>
      <c r="C45" s="727" t="s">
        <v>332</v>
      </c>
      <c r="D45" s="727"/>
      <c r="E45" s="727"/>
      <c r="F45" s="727"/>
      <c r="G45" s="727"/>
      <c r="H45" s="727"/>
      <c r="I45" s="727"/>
      <c r="J45" s="727"/>
      <c r="K45" s="727"/>
      <c r="L45" s="727"/>
      <c r="M45" s="727"/>
      <c r="N45" s="727"/>
      <c r="O45" s="727"/>
      <c r="P45" s="727"/>
      <c r="Q45" s="727"/>
      <c r="R45" s="727"/>
      <c r="S45" s="727"/>
      <c r="T45" s="727"/>
      <c r="U45" s="727"/>
      <c r="V45" s="727"/>
      <c r="W45" s="727"/>
      <c r="X45" s="727"/>
      <c r="Y45" s="727"/>
      <c r="Z45" s="728">
        <v>0</v>
      </c>
      <c r="AA45" s="728"/>
      <c r="AB45" s="728"/>
      <c r="AC45" s="728"/>
      <c r="AD45" s="728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9"/>
      <c r="AR45" s="729"/>
      <c r="AS45" s="729"/>
      <c r="AT45" s="729"/>
      <c r="AU45" s="729"/>
      <c r="AV45" s="729"/>
      <c r="AW45" s="729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729"/>
      <c r="BK45" s="729"/>
      <c r="BL45" s="729"/>
      <c r="BM45" s="729"/>
      <c r="BN45" s="729"/>
      <c r="BO45" s="729"/>
      <c r="BP45" s="729"/>
      <c r="BQ45" s="19">
        <f t="shared" si="0"/>
        <v>0</v>
      </c>
    </row>
    <row r="46" spans="1:69" ht="26" hidden="1">
      <c r="A46" s="542">
        <f>SUBTOTAL(9,$BQ$9:BQ46)</f>
        <v>19</v>
      </c>
      <c r="B46" s="543" t="s">
        <v>1141</v>
      </c>
      <c r="C46" s="727" t="s">
        <v>547</v>
      </c>
      <c r="D46" s="727"/>
      <c r="E46" s="727"/>
      <c r="F46" s="727"/>
      <c r="G46" s="727"/>
      <c r="H46" s="727"/>
      <c r="I46" s="727"/>
      <c r="J46" s="727"/>
      <c r="K46" s="727"/>
      <c r="L46" s="727"/>
      <c r="M46" s="727"/>
      <c r="N46" s="727"/>
      <c r="O46" s="727"/>
      <c r="P46" s="727"/>
      <c r="Q46" s="727"/>
      <c r="R46" s="727"/>
      <c r="S46" s="727"/>
      <c r="T46" s="727"/>
      <c r="U46" s="727"/>
      <c r="V46" s="727"/>
      <c r="W46" s="727"/>
      <c r="X46" s="727"/>
      <c r="Y46" s="727"/>
      <c r="Z46" s="728">
        <f>Z39</f>
        <v>0</v>
      </c>
      <c r="AA46" s="728"/>
      <c r="AB46" s="728"/>
      <c r="AC46" s="728"/>
      <c r="AD46" s="728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9"/>
      <c r="AR46" s="729"/>
      <c r="AS46" s="729"/>
      <c r="AT46" s="729"/>
      <c r="AU46" s="729"/>
      <c r="AV46" s="729"/>
      <c r="AW46" s="729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729"/>
      <c r="BK46" s="729"/>
      <c r="BL46" s="729"/>
      <c r="BM46" s="729"/>
      <c r="BN46" s="729"/>
      <c r="BO46" s="729"/>
      <c r="BP46" s="729"/>
      <c r="BQ46" s="19">
        <f t="shared" si="0"/>
        <v>0</v>
      </c>
    </row>
    <row r="47" spans="1:69" ht="26">
      <c r="A47" s="542">
        <f>SUBTOTAL(9,$BQ$9:BQ47)</f>
        <v>20</v>
      </c>
      <c r="B47" s="543" t="s">
        <v>1142</v>
      </c>
      <c r="C47" s="727" t="s">
        <v>547</v>
      </c>
      <c r="D47" s="727"/>
      <c r="E47" s="727"/>
      <c r="F47" s="727"/>
      <c r="G47" s="727"/>
      <c r="H47" s="727"/>
      <c r="I47" s="727"/>
      <c r="J47" s="727"/>
      <c r="K47" s="727"/>
      <c r="L47" s="727"/>
      <c r="M47" s="727"/>
      <c r="N47" s="727"/>
      <c r="O47" s="727"/>
      <c r="P47" s="727"/>
      <c r="Q47" s="727"/>
      <c r="R47" s="727"/>
      <c r="S47" s="727"/>
      <c r="T47" s="727"/>
      <c r="U47" s="727"/>
      <c r="V47" s="727"/>
      <c r="W47" s="727"/>
      <c r="X47" s="727"/>
      <c r="Y47" s="727"/>
      <c r="Z47" s="728">
        <f>Z42</f>
        <v>1</v>
      </c>
      <c r="AA47" s="728"/>
      <c r="AB47" s="728"/>
      <c r="AC47" s="728"/>
      <c r="AD47" s="728"/>
      <c r="AE47" s="728"/>
      <c r="AF47" s="728"/>
      <c r="AG47" s="728"/>
      <c r="AH47" s="728"/>
      <c r="AI47" s="728"/>
      <c r="AJ47" s="728"/>
      <c r="AK47" s="728"/>
      <c r="AL47" s="728"/>
      <c r="AM47" s="728"/>
      <c r="AN47" s="728"/>
      <c r="AO47" s="728"/>
      <c r="AP47" s="728"/>
      <c r="AQ47" s="729"/>
      <c r="AR47" s="729"/>
      <c r="AS47" s="729"/>
      <c r="AT47" s="729"/>
      <c r="AU47" s="729"/>
      <c r="AV47" s="729"/>
      <c r="AW47" s="729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729"/>
      <c r="BK47" s="729"/>
      <c r="BL47" s="729"/>
      <c r="BM47" s="729"/>
      <c r="BN47" s="729"/>
      <c r="BO47" s="729"/>
      <c r="BP47" s="729"/>
      <c r="BQ47" s="19">
        <f t="shared" si="0"/>
        <v>1</v>
      </c>
    </row>
    <row r="48" spans="1:69" ht="26">
      <c r="A48" s="542">
        <f>SUBTOTAL(9,$BQ$9:BQ48)</f>
        <v>21</v>
      </c>
      <c r="B48" s="543" t="s">
        <v>1143</v>
      </c>
      <c r="C48" s="727" t="s">
        <v>547</v>
      </c>
      <c r="D48" s="727"/>
      <c r="E48" s="727"/>
      <c r="F48" s="727"/>
      <c r="G48" s="727"/>
      <c r="H48" s="727"/>
      <c r="I48" s="727"/>
      <c r="J48" s="727"/>
      <c r="K48" s="727"/>
      <c r="L48" s="727"/>
      <c r="M48" s="727"/>
      <c r="N48" s="727"/>
      <c r="O48" s="727"/>
      <c r="P48" s="727"/>
      <c r="Q48" s="727"/>
      <c r="R48" s="727"/>
      <c r="S48" s="727"/>
      <c r="T48" s="727"/>
      <c r="U48" s="727"/>
      <c r="V48" s="727"/>
      <c r="W48" s="727"/>
      <c r="X48" s="727"/>
      <c r="Y48" s="727"/>
      <c r="Z48" s="728">
        <f>Z38</f>
        <v>8</v>
      </c>
      <c r="AA48" s="728"/>
      <c r="AB48" s="728"/>
      <c r="AC48" s="728"/>
      <c r="AD48" s="728"/>
      <c r="AE48" s="728"/>
      <c r="AF48" s="728"/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9"/>
      <c r="BL48" s="729"/>
      <c r="BM48" s="729"/>
      <c r="BN48" s="729"/>
      <c r="BO48" s="729"/>
      <c r="BP48" s="729"/>
      <c r="BQ48" s="19">
        <f t="shared" si="0"/>
        <v>1</v>
      </c>
    </row>
    <row r="49" spans="1:69" hidden="1">
      <c r="A49" s="542">
        <f>SUBTOTAL(9,$BQ$9:BQ49)</f>
        <v>21</v>
      </c>
      <c r="B49" s="543" t="s">
        <v>1144</v>
      </c>
      <c r="C49" s="727" t="s">
        <v>332</v>
      </c>
      <c r="D49" s="727"/>
      <c r="E49" s="727"/>
      <c r="F49" s="727"/>
      <c r="G49" s="727"/>
      <c r="H49" s="727"/>
      <c r="I49" s="727"/>
      <c r="J49" s="727"/>
      <c r="K49" s="727"/>
      <c r="L49" s="727"/>
      <c r="M49" s="727"/>
      <c r="N49" s="727"/>
      <c r="O49" s="727"/>
      <c r="P49" s="727"/>
      <c r="Q49" s="727"/>
      <c r="R49" s="727"/>
      <c r="S49" s="727"/>
      <c r="T49" s="727"/>
      <c r="U49" s="727"/>
      <c r="V49" s="727"/>
      <c r="W49" s="727"/>
      <c r="X49" s="727"/>
      <c r="Y49" s="727"/>
      <c r="Z49" s="728">
        <f>Z40</f>
        <v>0</v>
      </c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729"/>
      <c r="BK49" s="729"/>
      <c r="BL49" s="729"/>
      <c r="BM49" s="729"/>
      <c r="BN49" s="729"/>
      <c r="BO49" s="729"/>
      <c r="BP49" s="729"/>
      <c r="BQ49" s="19">
        <f t="shared" si="0"/>
        <v>0</v>
      </c>
    </row>
    <row r="50" spans="1:69">
      <c r="A50" s="542">
        <f>SUBTOTAL(9,$BQ$9:BQ50)</f>
        <v>22</v>
      </c>
      <c r="B50" s="543" t="s">
        <v>1145</v>
      </c>
      <c r="C50" s="727" t="s">
        <v>332</v>
      </c>
      <c r="D50" s="727"/>
      <c r="E50" s="727"/>
      <c r="F50" s="727"/>
      <c r="G50" s="727"/>
      <c r="H50" s="727"/>
      <c r="I50" s="727"/>
      <c r="J50" s="727"/>
      <c r="K50" s="727"/>
      <c r="L50" s="727"/>
      <c r="M50" s="727"/>
      <c r="N50" s="727"/>
      <c r="O50" s="727"/>
      <c r="P50" s="727"/>
      <c r="Q50" s="727"/>
      <c r="R50" s="727"/>
      <c r="S50" s="727"/>
      <c r="T50" s="727"/>
      <c r="U50" s="727"/>
      <c r="V50" s="727"/>
      <c r="W50" s="727"/>
      <c r="X50" s="727"/>
      <c r="Y50" s="727"/>
      <c r="Z50" s="728">
        <f>Z42</f>
        <v>1</v>
      </c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729"/>
      <c r="BK50" s="729"/>
      <c r="BL50" s="729"/>
      <c r="BM50" s="729"/>
      <c r="BN50" s="729"/>
      <c r="BO50" s="729"/>
      <c r="BP50" s="729"/>
      <c r="BQ50" s="19">
        <f t="shared" si="0"/>
        <v>1</v>
      </c>
    </row>
    <row r="51" spans="1:69">
      <c r="A51" s="542">
        <f>SUBTOTAL(9,$BQ$9:BQ51)</f>
        <v>23</v>
      </c>
      <c r="B51" s="543" t="s">
        <v>1146</v>
      </c>
      <c r="C51" s="727" t="s">
        <v>332</v>
      </c>
      <c r="D51" s="727"/>
      <c r="E51" s="727"/>
      <c r="F51" s="727"/>
      <c r="G51" s="727"/>
      <c r="H51" s="727"/>
      <c r="I51" s="727"/>
      <c r="J51" s="727"/>
      <c r="K51" s="727"/>
      <c r="L51" s="727"/>
      <c r="M51" s="727"/>
      <c r="N51" s="727"/>
      <c r="O51" s="727"/>
      <c r="P51" s="727"/>
      <c r="Q51" s="727"/>
      <c r="R51" s="727"/>
      <c r="S51" s="727"/>
      <c r="T51" s="727"/>
      <c r="U51" s="727"/>
      <c r="V51" s="727"/>
      <c r="W51" s="727"/>
      <c r="X51" s="727"/>
      <c r="Y51" s="727"/>
      <c r="Z51" s="728">
        <f>Z38</f>
        <v>8</v>
      </c>
      <c r="AA51" s="728"/>
      <c r="AB51" s="728"/>
      <c r="AC51" s="728"/>
      <c r="AD51" s="728"/>
      <c r="AE51" s="728"/>
      <c r="AF51" s="728"/>
      <c r="AG51" s="728"/>
      <c r="AH51" s="728"/>
      <c r="AI51" s="728"/>
      <c r="AJ51" s="728"/>
      <c r="AK51" s="728"/>
      <c r="AL51" s="728"/>
      <c r="AM51" s="728"/>
      <c r="AN51" s="728"/>
      <c r="AO51" s="728"/>
      <c r="AP51" s="728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729"/>
      <c r="BK51" s="729"/>
      <c r="BL51" s="729"/>
      <c r="BM51" s="729"/>
      <c r="BN51" s="729"/>
      <c r="BO51" s="729"/>
      <c r="BP51" s="729"/>
      <c r="BQ51" s="19">
        <f t="shared" si="0"/>
        <v>1</v>
      </c>
    </row>
    <row r="52" spans="1:69" hidden="1">
      <c r="A52" s="542">
        <f>SUBTOTAL(9,$BQ$9:BQ52)</f>
        <v>23</v>
      </c>
      <c r="B52" s="543" t="s">
        <v>1147</v>
      </c>
      <c r="C52" s="727" t="s">
        <v>332</v>
      </c>
      <c r="D52" s="727"/>
      <c r="E52" s="727"/>
      <c r="F52" s="727"/>
      <c r="G52" s="727"/>
      <c r="H52" s="727"/>
      <c r="I52" s="727"/>
      <c r="J52" s="727"/>
      <c r="K52" s="727"/>
      <c r="L52" s="727"/>
      <c r="M52" s="727"/>
      <c r="N52" s="727"/>
      <c r="O52" s="727"/>
      <c r="P52" s="727"/>
      <c r="Q52" s="727"/>
      <c r="R52" s="727"/>
      <c r="S52" s="727"/>
      <c r="T52" s="727"/>
      <c r="U52" s="727"/>
      <c r="V52" s="727"/>
      <c r="W52" s="727"/>
      <c r="X52" s="727"/>
      <c r="Y52" s="727"/>
      <c r="Z52" s="728">
        <f>Z31</f>
        <v>0</v>
      </c>
      <c r="AA52" s="728"/>
      <c r="AB52" s="728"/>
      <c r="AC52" s="728"/>
      <c r="AD52" s="728"/>
      <c r="AE52" s="728"/>
      <c r="AF52" s="728"/>
      <c r="AG52" s="728"/>
      <c r="AH52" s="728"/>
      <c r="AI52" s="728"/>
      <c r="AJ52" s="728"/>
      <c r="AK52" s="728"/>
      <c r="AL52" s="728"/>
      <c r="AM52" s="728"/>
      <c r="AN52" s="728"/>
      <c r="AO52" s="728"/>
      <c r="AP52" s="728"/>
      <c r="AQ52" s="729"/>
      <c r="AR52" s="729"/>
      <c r="AS52" s="729"/>
      <c r="AT52" s="729"/>
      <c r="AU52" s="729"/>
      <c r="AV52" s="729"/>
      <c r="AW52" s="729"/>
      <c r="AX52" s="729"/>
      <c r="AY52" s="729"/>
      <c r="AZ52" s="729"/>
      <c r="BA52" s="729"/>
      <c r="BB52" s="729"/>
      <c r="BC52" s="729"/>
      <c r="BD52" s="729"/>
      <c r="BE52" s="729"/>
      <c r="BF52" s="729"/>
      <c r="BG52" s="729"/>
      <c r="BH52" s="729"/>
      <c r="BI52" s="729"/>
      <c r="BJ52" s="729"/>
      <c r="BK52" s="729"/>
      <c r="BL52" s="729"/>
      <c r="BM52" s="729"/>
      <c r="BN52" s="729"/>
      <c r="BO52" s="729"/>
      <c r="BP52" s="729"/>
      <c r="BQ52" s="19">
        <f t="shared" si="0"/>
        <v>0</v>
      </c>
    </row>
    <row r="53" spans="1:69">
      <c r="A53" s="542">
        <f>SUBTOTAL(9,$BQ$9:BQ53)</f>
        <v>24</v>
      </c>
      <c r="B53" s="543" t="s">
        <v>1147</v>
      </c>
      <c r="C53" s="727" t="s">
        <v>332</v>
      </c>
      <c r="D53" s="727"/>
      <c r="E53" s="727"/>
      <c r="F53" s="727"/>
      <c r="G53" s="727"/>
      <c r="H53" s="727"/>
      <c r="I53" s="727"/>
      <c r="J53" s="727"/>
      <c r="K53" s="727"/>
      <c r="L53" s="727"/>
      <c r="M53" s="727"/>
      <c r="N53" s="727"/>
      <c r="O53" s="727"/>
      <c r="P53" s="727"/>
      <c r="Q53" s="727"/>
      <c r="R53" s="727"/>
      <c r="S53" s="727"/>
      <c r="T53" s="727"/>
      <c r="U53" s="727"/>
      <c r="V53" s="727"/>
      <c r="W53" s="727"/>
      <c r="X53" s="727"/>
      <c r="Y53" s="727"/>
      <c r="Z53" s="728">
        <f>Z32</f>
        <v>2</v>
      </c>
      <c r="AA53" s="728"/>
      <c r="AB53" s="728"/>
      <c r="AC53" s="728"/>
      <c r="AD53" s="728"/>
      <c r="AE53" s="728"/>
      <c r="AF53" s="728"/>
      <c r="AG53" s="728"/>
      <c r="AH53" s="728"/>
      <c r="AI53" s="728"/>
      <c r="AJ53" s="728"/>
      <c r="AK53" s="728"/>
      <c r="AL53" s="728"/>
      <c r="AM53" s="728"/>
      <c r="AN53" s="728"/>
      <c r="AO53" s="728"/>
      <c r="AP53" s="728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9"/>
      <c r="BL53" s="729"/>
      <c r="BM53" s="729"/>
      <c r="BN53" s="729"/>
      <c r="BO53" s="729"/>
      <c r="BP53" s="729"/>
      <c r="BQ53" s="19">
        <f t="shared" si="0"/>
        <v>1</v>
      </c>
    </row>
    <row r="54" spans="1:69" hidden="1">
      <c r="A54" s="542">
        <f>SUBTOTAL(9,$BQ$9:BQ54)</f>
        <v>24</v>
      </c>
      <c r="B54" s="544" t="s">
        <v>1148</v>
      </c>
      <c r="C54" s="727" t="s">
        <v>332</v>
      </c>
      <c r="D54" s="727"/>
      <c r="E54" s="727"/>
      <c r="F54" s="727"/>
      <c r="G54" s="727"/>
      <c r="H54" s="727"/>
      <c r="I54" s="727"/>
      <c r="J54" s="727"/>
      <c r="K54" s="727"/>
      <c r="L54" s="727"/>
      <c r="M54" s="727"/>
      <c r="N54" s="727"/>
      <c r="O54" s="727"/>
      <c r="P54" s="727"/>
      <c r="Q54" s="727"/>
      <c r="R54" s="727"/>
      <c r="S54" s="727"/>
      <c r="T54" s="727"/>
      <c r="U54" s="727"/>
      <c r="V54" s="727"/>
      <c r="W54" s="727"/>
      <c r="X54" s="727"/>
      <c r="Y54" s="727"/>
      <c r="Z54" s="728">
        <v>0</v>
      </c>
      <c r="AA54" s="728"/>
      <c r="AB54" s="728"/>
      <c r="AC54" s="728"/>
      <c r="AD54" s="728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729"/>
      <c r="BL54" s="729"/>
      <c r="BM54" s="729"/>
      <c r="BN54" s="729"/>
      <c r="BO54" s="729"/>
      <c r="BP54" s="729"/>
      <c r="BQ54" s="19">
        <f t="shared" si="0"/>
        <v>0</v>
      </c>
    </row>
    <row r="55" spans="1:69" hidden="1">
      <c r="A55" s="542">
        <f>SUBTOTAL(9,$BQ$9:BQ55)</f>
        <v>24</v>
      </c>
      <c r="B55" s="544" t="s">
        <v>1148</v>
      </c>
      <c r="C55" s="727" t="s">
        <v>332</v>
      </c>
      <c r="D55" s="727"/>
      <c r="E55" s="727"/>
      <c r="F55" s="727"/>
      <c r="G55" s="727"/>
      <c r="H55" s="727"/>
      <c r="I55" s="727"/>
      <c r="J55" s="727"/>
      <c r="K55" s="727"/>
      <c r="L55" s="727"/>
      <c r="M55" s="727"/>
      <c r="N55" s="727"/>
      <c r="O55" s="727"/>
      <c r="P55" s="727"/>
      <c r="Q55" s="727"/>
      <c r="R55" s="727"/>
      <c r="S55" s="727"/>
      <c r="T55" s="727"/>
      <c r="U55" s="727"/>
      <c r="V55" s="727"/>
      <c r="W55" s="727"/>
      <c r="X55" s="727"/>
      <c r="Y55" s="727"/>
      <c r="Z55" s="728">
        <v>1</v>
      </c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729"/>
      <c r="BL55" s="729"/>
      <c r="BM55" s="729"/>
      <c r="BN55" s="729"/>
      <c r="BO55" s="729"/>
      <c r="BP55" s="729"/>
      <c r="BQ55" s="19">
        <v>0</v>
      </c>
    </row>
    <row r="56" spans="1:69" ht="26" hidden="1">
      <c r="A56" s="542">
        <f>SUBTOTAL(9,$BQ$9:BQ56)</f>
        <v>24</v>
      </c>
      <c r="B56" s="543" t="s">
        <v>1149</v>
      </c>
      <c r="C56" s="727" t="str">
        <f>CONCATENATE("№",ФОРМА!B30)</f>
        <v>№</v>
      </c>
      <c r="D56" s="727"/>
      <c r="E56" s="727"/>
      <c r="F56" s="727"/>
      <c r="G56" s="727"/>
      <c r="H56" s="727"/>
      <c r="I56" s="727"/>
      <c r="J56" s="727"/>
      <c r="K56" s="727"/>
      <c r="L56" s="727"/>
      <c r="M56" s="727"/>
      <c r="N56" s="727"/>
      <c r="O56" s="727"/>
      <c r="P56" s="727"/>
      <c r="Q56" s="727"/>
      <c r="R56" s="727"/>
      <c r="S56" s="727"/>
      <c r="T56" s="727"/>
      <c r="U56" s="727"/>
      <c r="V56" s="727"/>
      <c r="W56" s="727"/>
      <c r="X56" s="727"/>
      <c r="Y56" s="727"/>
      <c r="Z56" s="728">
        <f>IF(C56="№",0,1)</f>
        <v>0</v>
      </c>
      <c r="AA56" s="728"/>
      <c r="AB56" s="728"/>
      <c r="AC56" s="728"/>
      <c r="AD56" s="728"/>
      <c r="AE56" s="728"/>
      <c r="AF56" s="728"/>
      <c r="AG56" s="728"/>
      <c r="AH56" s="728"/>
      <c r="AI56" s="728"/>
      <c r="AJ56" s="728"/>
      <c r="AK56" s="728"/>
      <c r="AL56" s="728"/>
      <c r="AM56" s="728"/>
      <c r="AN56" s="728"/>
      <c r="AO56" s="728"/>
      <c r="AP56" s="728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729"/>
      <c r="BL56" s="729"/>
      <c r="BM56" s="729"/>
      <c r="BN56" s="729"/>
      <c r="BO56" s="729"/>
      <c r="BP56" s="729"/>
      <c r="BQ56" s="19">
        <f>IF(C56="№",0,1)</f>
        <v>0</v>
      </c>
    </row>
    <row r="57" spans="1:69" hidden="1">
      <c r="A57" s="542">
        <f>SUBTOTAL(9,$BQ$9:BQ57)</f>
        <v>24</v>
      </c>
      <c r="B57" s="543" t="str">
        <f>ФОРМА!F31</f>
        <v>Исполнительные схемы по расчистке трассы</v>
      </c>
      <c r="C57" s="727" t="s">
        <v>332</v>
      </c>
      <c r="D57" s="727"/>
      <c r="E57" s="727"/>
      <c r="F57" s="727"/>
      <c r="G57" s="727"/>
      <c r="H57" s="727"/>
      <c r="I57" s="727"/>
      <c r="J57" s="727"/>
      <c r="K57" s="727"/>
      <c r="L57" s="727"/>
      <c r="M57" s="727"/>
      <c r="N57" s="727"/>
      <c r="O57" s="727"/>
      <c r="P57" s="727"/>
      <c r="Q57" s="727"/>
      <c r="R57" s="727"/>
      <c r="S57" s="727"/>
      <c r="T57" s="727"/>
      <c r="U57" s="727"/>
      <c r="V57" s="727"/>
      <c r="W57" s="727"/>
      <c r="X57" s="727"/>
      <c r="Y57" s="727"/>
      <c r="Z57" s="728">
        <f>IF(C56="№",0,1)</f>
        <v>0</v>
      </c>
      <c r="AA57" s="728"/>
      <c r="AB57" s="728"/>
      <c r="AC57" s="728"/>
      <c r="AD57" s="728"/>
      <c r="AE57" s="728"/>
      <c r="AF57" s="728"/>
      <c r="AG57" s="728"/>
      <c r="AH57" s="728"/>
      <c r="AI57" s="728"/>
      <c r="AJ57" s="728"/>
      <c r="AK57" s="728"/>
      <c r="AL57" s="728"/>
      <c r="AM57" s="728"/>
      <c r="AN57" s="728"/>
      <c r="AO57" s="728"/>
      <c r="AP57" s="728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9"/>
      <c r="BL57" s="729"/>
      <c r="BM57" s="729"/>
      <c r="BN57" s="729"/>
      <c r="BO57" s="729"/>
      <c r="BP57" s="729"/>
      <c r="BQ57" s="19">
        <f>IF(C56="№",0,1)</f>
        <v>0</v>
      </c>
    </row>
    <row r="58" spans="1:69" ht="26" hidden="1">
      <c r="A58" s="542">
        <f>SUBTOTAL(9,$BQ$9:BQ58)</f>
        <v>24</v>
      </c>
      <c r="B58" s="543" t="s">
        <v>1150</v>
      </c>
      <c r="C58" s="727" t="str">
        <f>CONCATENATE("№",ФОРМА!B31)</f>
        <v>№</v>
      </c>
      <c r="D58" s="727"/>
      <c r="E58" s="727"/>
      <c r="F58" s="727"/>
      <c r="G58" s="727"/>
      <c r="H58" s="727"/>
      <c r="I58" s="727"/>
      <c r="J58" s="727"/>
      <c r="K58" s="727"/>
      <c r="L58" s="727"/>
      <c r="M58" s="727"/>
      <c r="N58" s="727"/>
      <c r="O58" s="727"/>
      <c r="P58" s="727"/>
      <c r="Q58" s="727"/>
      <c r="R58" s="727"/>
      <c r="S58" s="727"/>
      <c r="T58" s="727"/>
      <c r="U58" s="727"/>
      <c r="V58" s="727"/>
      <c r="W58" s="727"/>
      <c r="X58" s="727"/>
      <c r="Y58" s="727"/>
      <c r="Z58" s="728">
        <f>IF(C58="№",0,1)</f>
        <v>0</v>
      </c>
      <c r="AA58" s="728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729"/>
      <c r="BL58" s="729"/>
      <c r="BM58" s="729"/>
      <c r="BN58" s="729"/>
      <c r="BO58" s="729"/>
      <c r="BP58" s="729"/>
      <c r="BQ58" s="19">
        <f>IF(C58="№",0,1)</f>
        <v>0</v>
      </c>
    </row>
    <row r="59" spans="1:69" hidden="1">
      <c r="A59" s="542">
        <f>SUBTOTAL(9,$BQ$9:BQ59)</f>
        <v>24</v>
      </c>
      <c r="B59" s="543" t="str">
        <f>ФОРМА!F31</f>
        <v>Исполнительные схемы по расчистке трассы</v>
      </c>
      <c r="C59" s="727" t="s">
        <v>332</v>
      </c>
      <c r="D59" s="727"/>
      <c r="E59" s="727"/>
      <c r="F59" s="727"/>
      <c r="G59" s="727"/>
      <c r="H59" s="727"/>
      <c r="I59" s="727"/>
      <c r="J59" s="727"/>
      <c r="K59" s="727"/>
      <c r="L59" s="727"/>
      <c r="M59" s="727"/>
      <c r="N59" s="727"/>
      <c r="O59" s="727"/>
      <c r="P59" s="727"/>
      <c r="Q59" s="727"/>
      <c r="R59" s="727"/>
      <c r="S59" s="727"/>
      <c r="T59" s="727"/>
      <c r="U59" s="727"/>
      <c r="V59" s="727"/>
      <c r="W59" s="727"/>
      <c r="X59" s="727"/>
      <c r="Y59" s="727"/>
      <c r="Z59" s="733">
        <f>IF(C58="№",0,1)</f>
        <v>0</v>
      </c>
      <c r="AA59" s="733"/>
      <c r="AB59" s="733"/>
      <c r="AC59" s="733"/>
      <c r="AD59" s="733"/>
      <c r="AE59" s="733"/>
      <c r="AF59" s="733"/>
      <c r="AG59" s="733"/>
      <c r="AH59" s="733"/>
      <c r="AI59" s="733"/>
      <c r="AJ59" s="733"/>
      <c r="AK59" s="733"/>
      <c r="AL59" s="733"/>
      <c r="AM59" s="733"/>
      <c r="AN59" s="733"/>
      <c r="AO59" s="733"/>
      <c r="AP59" s="733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729"/>
      <c r="BL59" s="729"/>
      <c r="BM59" s="729"/>
      <c r="BN59" s="729"/>
      <c r="BO59" s="729"/>
      <c r="BP59" s="729"/>
      <c r="BQ59" s="19">
        <f>IF(C58="№",0,1)</f>
        <v>0</v>
      </c>
    </row>
    <row r="60" spans="1:69" ht="39" hidden="1">
      <c r="A60" s="542">
        <f>SUBTOTAL(9,$BQ$9:BQ60)</f>
        <v>24</v>
      </c>
      <c r="B60" s="543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27" t="str">
        <f>CONCATENATE("№",ФОРМА!B18)</f>
        <v>№</v>
      </c>
      <c r="D60" s="727"/>
      <c r="E60" s="727"/>
      <c r="F60" s="727"/>
      <c r="G60" s="727"/>
      <c r="H60" s="727"/>
      <c r="I60" s="727"/>
      <c r="J60" s="727"/>
      <c r="K60" s="727"/>
      <c r="L60" s="727"/>
      <c r="M60" s="727"/>
      <c r="N60" s="727"/>
      <c r="O60" s="727"/>
      <c r="P60" s="727"/>
      <c r="Q60" s="727"/>
      <c r="R60" s="727"/>
      <c r="S60" s="727"/>
      <c r="T60" s="727"/>
      <c r="U60" s="727"/>
      <c r="V60" s="727"/>
      <c r="W60" s="727"/>
      <c r="X60" s="727"/>
      <c r="Y60" s="727"/>
      <c r="Z60" s="733">
        <f t="shared" ref="Z60:Z70" si="1">IF(C60="№",0,1)</f>
        <v>0</v>
      </c>
      <c r="AA60" s="733"/>
      <c r="AB60" s="733"/>
      <c r="AC60" s="733"/>
      <c r="AD60" s="733"/>
      <c r="AE60" s="733"/>
      <c r="AF60" s="733"/>
      <c r="AG60" s="733"/>
      <c r="AH60" s="733"/>
      <c r="AI60" s="733"/>
      <c r="AJ60" s="733"/>
      <c r="AK60" s="733"/>
      <c r="AL60" s="733"/>
      <c r="AM60" s="733"/>
      <c r="AN60" s="733"/>
      <c r="AO60" s="733"/>
      <c r="AP60" s="733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729"/>
      <c r="BL60" s="729"/>
      <c r="BM60" s="729"/>
      <c r="BN60" s="729"/>
      <c r="BO60" s="729"/>
      <c r="BP60" s="729"/>
      <c r="BQ60" s="19">
        <f>IF(C60="№",0,1)</f>
        <v>0</v>
      </c>
    </row>
    <row r="61" spans="1:69" hidden="1">
      <c r="A61" s="542">
        <f>SUBTOTAL(9,$BQ$9:BQ61)</f>
        <v>24</v>
      </c>
      <c r="B61" s="543" t="str">
        <f>ФОРМА!E18</f>
        <v>План строительства</v>
      </c>
      <c r="C61" s="727" t="s">
        <v>332</v>
      </c>
      <c r="D61" s="727"/>
      <c r="E61" s="727"/>
      <c r="F61" s="727"/>
      <c r="G61" s="727"/>
      <c r="H61" s="727"/>
      <c r="I61" s="727"/>
      <c r="J61" s="727"/>
      <c r="K61" s="727"/>
      <c r="L61" s="727"/>
      <c r="M61" s="727"/>
      <c r="N61" s="727"/>
      <c r="O61" s="727"/>
      <c r="P61" s="727"/>
      <c r="Q61" s="727"/>
      <c r="R61" s="727"/>
      <c r="S61" s="727"/>
      <c r="T61" s="727"/>
      <c r="U61" s="727"/>
      <c r="V61" s="727"/>
      <c r="W61" s="727"/>
      <c r="X61" s="727"/>
      <c r="Y61" s="727"/>
      <c r="Z61" s="733">
        <f>IF(C60="№",0,1)</f>
        <v>0</v>
      </c>
      <c r="AA61" s="733"/>
      <c r="AB61" s="733"/>
      <c r="AC61" s="733"/>
      <c r="AD61" s="733"/>
      <c r="AE61" s="733"/>
      <c r="AF61" s="733"/>
      <c r="AG61" s="733"/>
      <c r="AH61" s="733"/>
      <c r="AI61" s="733"/>
      <c r="AJ61" s="733"/>
      <c r="AK61" s="733"/>
      <c r="AL61" s="733"/>
      <c r="AM61" s="733"/>
      <c r="AN61" s="733"/>
      <c r="AO61" s="733"/>
      <c r="AP61" s="733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9"/>
      <c r="BL61" s="729"/>
      <c r="BM61" s="729"/>
      <c r="BN61" s="729"/>
      <c r="BO61" s="729"/>
      <c r="BP61" s="729"/>
      <c r="BQ61" s="19">
        <f>IF(C60="№",0,1)</f>
        <v>0</v>
      </c>
    </row>
    <row r="62" spans="1:69" ht="39" hidden="1">
      <c r="A62" s="542">
        <f>SUBTOTAL(9,$BQ$9:BQ62)</f>
        <v>24</v>
      </c>
      <c r="B62" s="543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27" t="str">
        <f>CONCATENATE("№",ФОРМА!B19)</f>
        <v>№</v>
      </c>
      <c r="D62" s="727"/>
      <c r="E62" s="727"/>
      <c r="F62" s="727"/>
      <c r="G62" s="727"/>
      <c r="H62" s="727"/>
      <c r="I62" s="727"/>
      <c r="J62" s="727"/>
      <c r="K62" s="727"/>
      <c r="L62" s="727"/>
      <c r="M62" s="727"/>
      <c r="N62" s="727"/>
      <c r="O62" s="727"/>
      <c r="P62" s="727"/>
      <c r="Q62" s="727"/>
      <c r="R62" s="727"/>
      <c r="S62" s="727"/>
      <c r="T62" s="727"/>
      <c r="U62" s="727"/>
      <c r="V62" s="727"/>
      <c r="W62" s="727"/>
      <c r="X62" s="727"/>
      <c r="Y62" s="727"/>
      <c r="Z62" s="733">
        <f t="shared" si="1"/>
        <v>0</v>
      </c>
      <c r="AA62" s="733"/>
      <c r="AB62" s="733"/>
      <c r="AC62" s="733"/>
      <c r="AD62" s="733"/>
      <c r="AE62" s="733"/>
      <c r="AF62" s="733"/>
      <c r="AG62" s="733"/>
      <c r="AH62" s="733"/>
      <c r="AI62" s="733"/>
      <c r="AJ62" s="733"/>
      <c r="AK62" s="733"/>
      <c r="AL62" s="733"/>
      <c r="AM62" s="733"/>
      <c r="AN62" s="733"/>
      <c r="AO62" s="733"/>
      <c r="AP62" s="733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729"/>
      <c r="BL62" s="729"/>
      <c r="BM62" s="729"/>
      <c r="BN62" s="729"/>
      <c r="BO62" s="729"/>
      <c r="BP62" s="729"/>
      <c r="BQ62" s="19">
        <f t="shared" ref="BQ62:BQ78" si="2">IF(C62="№",0,1)</f>
        <v>0</v>
      </c>
    </row>
    <row r="63" spans="1:69" hidden="1">
      <c r="A63" s="542">
        <f>SUBTOTAL(9,$BQ$9:BQ63)</f>
        <v>24</v>
      </c>
      <c r="B63" s="543" t="str">
        <f>ФОРМА!E19</f>
        <v>План строительства</v>
      </c>
      <c r="C63" s="727" t="s">
        <v>332</v>
      </c>
      <c r="D63" s="727"/>
      <c r="E63" s="727"/>
      <c r="F63" s="727"/>
      <c r="G63" s="727"/>
      <c r="H63" s="727"/>
      <c r="I63" s="727"/>
      <c r="J63" s="727"/>
      <c r="K63" s="727"/>
      <c r="L63" s="727"/>
      <c r="M63" s="727"/>
      <c r="N63" s="727"/>
      <c r="O63" s="727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33">
        <f>IF(C62="№",0,1)</f>
        <v>0</v>
      </c>
      <c r="AA63" s="733"/>
      <c r="AB63" s="733"/>
      <c r="AC63" s="733"/>
      <c r="AD63" s="733"/>
      <c r="AE63" s="733"/>
      <c r="AF63" s="733"/>
      <c r="AG63" s="733"/>
      <c r="AH63" s="733"/>
      <c r="AI63" s="733"/>
      <c r="AJ63" s="733"/>
      <c r="AK63" s="733"/>
      <c r="AL63" s="733"/>
      <c r="AM63" s="733"/>
      <c r="AN63" s="733"/>
      <c r="AO63" s="733"/>
      <c r="AP63" s="733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729"/>
      <c r="BL63" s="729"/>
      <c r="BM63" s="729"/>
      <c r="BN63" s="729"/>
      <c r="BO63" s="729"/>
      <c r="BP63" s="729"/>
      <c r="BQ63" s="19">
        <f>IF(C62="№",0,1)</f>
        <v>0</v>
      </c>
    </row>
    <row r="64" spans="1:69" ht="39">
      <c r="A64" s="542">
        <f>SUBTOTAL(9,$BQ$9:BQ64)</f>
        <v>25</v>
      </c>
      <c r="B64" s="543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27" t="str">
        <f>CONCATENATE("№",ФОРМА!B20)</f>
        <v>№1</v>
      </c>
      <c r="D64" s="727"/>
      <c r="E64" s="727"/>
      <c r="F64" s="727"/>
      <c r="G64" s="727"/>
      <c r="H64" s="727"/>
      <c r="I64" s="727"/>
      <c r="J64" s="727"/>
      <c r="K64" s="727"/>
      <c r="L64" s="727"/>
      <c r="M64" s="727"/>
      <c r="N64" s="727"/>
      <c r="O64" s="727"/>
      <c r="P64" s="727"/>
      <c r="Q64" s="727"/>
      <c r="R64" s="727"/>
      <c r="S64" s="727"/>
      <c r="T64" s="727"/>
      <c r="U64" s="727"/>
      <c r="V64" s="727"/>
      <c r="W64" s="727"/>
      <c r="X64" s="727"/>
      <c r="Y64" s="727"/>
      <c r="Z64" s="733">
        <f t="shared" si="1"/>
        <v>1</v>
      </c>
      <c r="AA64" s="733"/>
      <c r="AB64" s="733"/>
      <c r="AC64" s="733"/>
      <c r="AD64" s="733"/>
      <c r="AE64" s="733"/>
      <c r="AF64" s="733"/>
      <c r="AG64" s="733"/>
      <c r="AH64" s="733"/>
      <c r="AI64" s="733"/>
      <c r="AJ64" s="733"/>
      <c r="AK64" s="733"/>
      <c r="AL64" s="733"/>
      <c r="AM64" s="733"/>
      <c r="AN64" s="733"/>
      <c r="AO64" s="733"/>
      <c r="AP64" s="733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729"/>
      <c r="BL64" s="729"/>
      <c r="BM64" s="729"/>
      <c r="BN64" s="729"/>
      <c r="BO64" s="729"/>
      <c r="BP64" s="729"/>
      <c r="BQ64" s="19">
        <f t="shared" si="2"/>
        <v>1</v>
      </c>
    </row>
    <row r="65" spans="1:73">
      <c r="A65" s="542">
        <f>SUBTOTAL(9,$BQ$9:BQ65)</f>
        <v>26</v>
      </c>
      <c r="B65" s="543" t="str">
        <f>ФОРМА!E20</f>
        <v>Схема разбивки и закрепления точек осей трассы</v>
      </c>
      <c r="C65" s="727" t="s">
        <v>332</v>
      </c>
      <c r="D65" s="727"/>
      <c r="E65" s="727"/>
      <c r="F65" s="727"/>
      <c r="G65" s="727"/>
      <c r="H65" s="727"/>
      <c r="I65" s="727"/>
      <c r="J65" s="727"/>
      <c r="K65" s="727"/>
      <c r="L65" s="727"/>
      <c r="M65" s="727"/>
      <c r="N65" s="727"/>
      <c r="O65" s="727"/>
      <c r="P65" s="727"/>
      <c r="Q65" s="727"/>
      <c r="R65" s="727"/>
      <c r="S65" s="727"/>
      <c r="T65" s="727"/>
      <c r="U65" s="727"/>
      <c r="V65" s="727"/>
      <c r="W65" s="727"/>
      <c r="X65" s="727"/>
      <c r="Y65" s="727"/>
      <c r="Z65" s="733">
        <f>IF(C64="№",0,1)</f>
        <v>1</v>
      </c>
      <c r="AA65" s="733"/>
      <c r="AB65" s="733"/>
      <c r="AC65" s="733"/>
      <c r="AD65" s="733"/>
      <c r="AE65" s="733"/>
      <c r="AF65" s="733"/>
      <c r="AG65" s="733"/>
      <c r="AH65" s="733"/>
      <c r="AI65" s="733"/>
      <c r="AJ65" s="733"/>
      <c r="AK65" s="733"/>
      <c r="AL65" s="733"/>
      <c r="AM65" s="733"/>
      <c r="AN65" s="733"/>
      <c r="AO65" s="733"/>
      <c r="AP65" s="733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9"/>
      <c r="BL65" s="729"/>
      <c r="BM65" s="729"/>
      <c r="BN65" s="729"/>
      <c r="BO65" s="729"/>
      <c r="BP65" s="729"/>
      <c r="BQ65" s="19">
        <f>IF(C64="№",0,1)</f>
        <v>1</v>
      </c>
    </row>
    <row r="66" spans="1:73" ht="39" hidden="1">
      <c r="A66" s="542">
        <f>SUBTOTAL(9,$BQ$9:BQ66)</f>
        <v>26</v>
      </c>
      <c r="B66" s="543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27" t="str">
        <f>CONCATENATE("№",ФОРМА!B21)</f>
        <v>№</v>
      </c>
      <c r="D66" s="727"/>
      <c r="E66" s="727"/>
      <c r="F66" s="727"/>
      <c r="G66" s="727"/>
      <c r="H66" s="727"/>
      <c r="I66" s="727"/>
      <c r="J66" s="727"/>
      <c r="K66" s="727"/>
      <c r="L66" s="727"/>
      <c r="M66" s="727"/>
      <c r="N66" s="727"/>
      <c r="O66" s="727"/>
      <c r="P66" s="727"/>
      <c r="Q66" s="727"/>
      <c r="R66" s="727"/>
      <c r="S66" s="727"/>
      <c r="T66" s="727"/>
      <c r="U66" s="727"/>
      <c r="V66" s="727"/>
      <c r="W66" s="727"/>
      <c r="X66" s="727"/>
      <c r="Y66" s="727"/>
      <c r="Z66" s="733">
        <f t="shared" si="1"/>
        <v>0</v>
      </c>
      <c r="AA66" s="733"/>
      <c r="AB66" s="733"/>
      <c r="AC66" s="733"/>
      <c r="AD66" s="733"/>
      <c r="AE66" s="733"/>
      <c r="AF66" s="733"/>
      <c r="AG66" s="733"/>
      <c r="AH66" s="733"/>
      <c r="AI66" s="733"/>
      <c r="AJ66" s="733"/>
      <c r="AK66" s="733"/>
      <c r="AL66" s="733"/>
      <c r="AM66" s="733"/>
      <c r="AN66" s="733"/>
      <c r="AO66" s="733"/>
      <c r="AP66" s="733"/>
      <c r="AQ66" s="729"/>
      <c r="AR66" s="729"/>
      <c r="AS66" s="729"/>
      <c r="AT66" s="729"/>
      <c r="AU66" s="729"/>
      <c r="AV66" s="729"/>
      <c r="AW66" s="729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729"/>
      <c r="BL66" s="729"/>
      <c r="BM66" s="729"/>
      <c r="BN66" s="729"/>
      <c r="BO66" s="729"/>
      <c r="BP66" s="729"/>
      <c r="BQ66" s="19">
        <f t="shared" si="2"/>
        <v>0</v>
      </c>
    </row>
    <row r="67" spans="1:73" hidden="1">
      <c r="A67" s="542">
        <f>SUBTOTAL(9,$BQ$9:BQ67)</f>
        <v>26</v>
      </c>
      <c r="B67" s="543" t="str">
        <f>ФОРМА!E21</f>
        <v>План строительства</v>
      </c>
      <c r="C67" s="727" t="s">
        <v>332</v>
      </c>
      <c r="D67" s="727"/>
      <c r="E67" s="727"/>
      <c r="F67" s="727"/>
      <c r="G67" s="727"/>
      <c r="H67" s="727"/>
      <c r="I67" s="727"/>
      <c r="J67" s="727"/>
      <c r="K67" s="727"/>
      <c r="L67" s="727"/>
      <c r="M67" s="727"/>
      <c r="N67" s="727"/>
      <c r="O67" s="727"/>
      <c r="P67" s="727"/>
      <c r="Q67" s="727"/>
      <c r="R67" s="727"/>
      <c r="S67" s="727"/>
      <c r="T67" s="727"/>
      <c r="U67" s="727"/>
      <c r="V67" s="727"/>
      <c r="W67" s="727"/>
      <c r="X67" s="727"/>
      <c r="Y67" s="727"/>
      <c r="Z67" s="733">
        <f>IF(C66="№",0,1)</f>
        <v>0</v>
      </c>
      <c r="AA67" s="733"/>
      <c r="AB67" s="733"/>
      <c r="AC67" s="733"/>
      <c r="AD67" s="733"/>
      <c r="AE67" s="733"/>
      <c r="AF67" s="733"/>
      <c r="AG67" s="733"/>
      <c r="AH67" s="733"/>
      <c r="AI67" s="733"/>
      <c r="AJ67" s="733"/>
      <c r="AK67" s="733"/>
      <c r="AL67" s="733"/>
      <c r="AM67" s="733"/>
      <c r="AN67" s="733"/>
      <c r="AO67" s="733"/>
      <c r="AP67" s="733"/>
      <c r="AQ67" s="729"/>
      <c r="AR67" s="729"/>
      <c r="AS67" s="729"/>
      <c r="AT67" s="729"/>
      <c r="AU67" s="729"/>
      <c r="AV67" s="729"/>
      <c r="AW67" s="729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729"/>
      <c r="BL67" s="729"/>
      <c r="BM67" s="729"/>
      <c r="BN67" s="729"/>
      <c r="BO67" s="729"/>
      <c r="BP67" s="729"/>
      <c r="BQ67" s="19">
        <f>IF(C66="№",0,1)</f>
        <v>0</v>
      </c>
    </row>
    <row r="68" spans="1:73" ht="39" hidden="1">
      <c r="A68" s="542">
        <f>SUBTOTAL(9,$BQ$9:BQ68)</f>
        <v>26</v>
      </c>
      <c r="B68" s="543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27" t="str">
        <f>CONCATENATE("№",ФОРМА!B22)</f>
        <v>№</v>
      </c>
      <c r="D68" s="727"/>
      <c r="E68" s="727"/>
      <c r="F68" s="727"/>
      <c r="G68" s="727"/>
      <c r="H68" s="727"/>
      <c r="I68" s="727"/>
      <c r="J68" s="727"/>
      <c r="K68" s="727"/>
      <c r="L68" s="727"/>
      <c r="M68" s="727"/>
      <c r="N68" s="727"/>
      <c r="O68" s="727"/>
      <c r="P68" s="727"/>
      <c r="Q68" s="727"/>
      <c r="R68" s="727"/>
      <c r="S68" s="727"/>
      <c r="T68" s="727"/>
      <c r="U68" s="727"/>
      <c r="V68" s="727"/>
      <c r="W68" s="727"/>
      <c r="X68" s="727"/>
      <c r="Y68" s="727"/>
      <c r="Z68" s="733">
        <f t="shared" si="1"/>
        <v>0</v>
      </c>
      <c r="AA68" s="733"/>
      <c r="AB68" s="733"/>
      <c r="AC68" s="733"/>
      <c r="AD68" s="733"/>
      <c r="AE68" s="733"/>
      <c r="AF68" s="733"/>
      <c r="AG68" s="733"/>
      <c r="AH68" s="733"/>
      <c r="AI68" s="733"/>
      <c r="AJ68" s="733"/>
      <c r="AK68" s="733"/>
      <c r="AL68" s="733"/>
      <c r="AM68" s="733"/>
      <c r="AN68" s="733"/>
      <c r="AO68" s="733"/>
      <c r="AP68" s="733"/>
      <c r="AQ68" s="729"/>
      <c r="AR68" s="729"/>
      <c r="AS68" s="729"/>
      <c r="AT68" s="729"/>
      <c r="AU68" s="729"/>
      <c r="AV68" s="729"/>
      <c r="AW68" s="729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729"/>
      <c r="BL68" s="729"/>
      <c r="BM68" s="729"/>
      <c r="BN68" s="729"/>
      <c r="BO68" s="729"/>
      <c r="BP68" s="729"/>
      <c r="BQ68" s="19">
        <f t="shared" si="2"/>
        <v>0</v>
      </c>
    </row>
    <row r="69" spans="1:73" hidden="1">
      <c r="A69" s="542">
        <f>SUBTOTAL(9,$BQ$9:BQ69)</f>
        <v>26</v>
      </c>
      <c r="B69" s="543" t="str">
        <f>ФОРМА!E22</f>
        <v>План строительства</v>
      </c>
      <c r="C69" s="727" t="s">
        <v>332</v>
      </c>
      <c r="D69" s="727"/>
      <c r="E69" s="727"/>
      <c r="F69" s="727"/>
      <c r="G69" s="727"/>
      <c r="H69" s="727"/>
      <c r="I69" s="727"/>
      <c r="J69" s="727"/>
      <c r="K69" s="727"/>
      <c r="L69" s="727"/>
      <c r="M69" s="727"/>
      <c r="N69" s="727"/>
      <c r="O69" s="727"/>
      <c r="P69" s="727"/>
      <c r="Q69" s="727"/>
      <c r="R69" s="727"/>
      <c r="S69" s="727"/>
      <c r="T69" s="727"/>
      <c r="U69" s="727"/>
      <c r="V69" s="727"/>
      <c r="W69" s="727"/>
      <c r="X69" s="727"/>
      <c r="Y69" s="727"/>
      <c r="Z69" s="733">
        <f>IF(C68="№",0,1)</f>
        <v>0</v>
      </c>
      <c r="AA69" s="733"/>
      <c r="AB69" s="733"/>
      <c r="AC69" s="733"/>
      <c r="AD69" s="733"/>
      <c r="AE69" s="733"/>
      <c r="AF69" s="733"/>
      <c r="AG69" s="733"/>
      <c r="AH69" s="733"/>
      <c r="AI69" s="733"/>
      <c r="AJ69" s="733"/>
      <c r="AK69" s="733"/>
      <c r="AL69" s="733"/>
      <c r="AM69" s="733"/>
      <c r="AN69" s="733"/>
      <c r="AO69" s="733"/>
      <c r="AP69" s="733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9"/>
      <c r="BL69" s="729"/>
      <c r="BM69" s="729"/>
      <c r="BN69" s="729"/>
      <c r="BO69" s="729"/>
      <c r="BP69" s="729"/>
      <c r="BQ69" s="19">
        <f>IF(C68="№",0,1)</f>
        <v>0</v>
      </c>
    </row>
    <row r="70" spans="1:73" ht="26" hidden="1">
      <c r="A70" s="542">
        <f>SUBTOTAL(9,$BQ$9:BQ70)</f>
        <v>26</v>
      </c>
      <c r="B70" s="543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27" t="str">
        <f>CONCATENATE("№",ФОРМА!B24)</f>
        <v>№</v>
      </c>
      <c r="D70" s="727"/>
      <c r="E70" s="727"/>
      <c r="F70" s="727"/>
      <c r="G70" s="727"/>
      <c r="H70" s="727"/>
      <c r="I70" s="727"/>
      <c r="J70" s="727"/>
      <c r="K70" s="727"/>
      <c r="L70" s="727"/>
      <c r="M70" s="727"/>
      <c r="N70" s="727"/>
      <c r="O70" s="727"/>
      <c r="P70" s="727"/>
      <c r="Q70" s="727"/>
      <c r="R70" s="727"/>
      <c r="S70" s="727"/>
      <c r="T70" s="727"/>
      <c r="U70" s="727"/>
      <c r="V70" s="727"/>
      <c r="W70" s="727"/>
      <c r="X70" s="727"/>
      <c r="Y70" s="727"/>
      <c r="Z70" s="733">
        <f t="shared" si="1"/>
        <v>0</v>
      </c>
      <c r="AA70" s="733"/>
      <c r="AB70" s="733"/>
      <c r="AC70" s="733"/>
      <c r="AD70" s="733"/>
      <c r="AE70" s="733"/>
      <c r="AF70" s="733"/>
      <c r="AG70" s="733"/>
      <c r="AH70" s="733"/>
      <c r="AI70" s="733"/>
      <c r="AJ70" s="733"/>
      <c r="AK70" s="733"/>
      <c r="AL70" s="733"/>
      <c r="AM70" s="733"/>
      <c r="AN70" s="733"/>
      <c r="AO70" s="733"/>
      <c r="AP70" s="733"/>
      <c r="AQ70" s="729"/>
      <c r="AR70" s="729"/>
      <c r="AS70" s="729"/>
      <c r="AT70" s="729"/>
      <c r="AU70" s="729"/>
      <c r="AV70" s="729"/>
      <c r="AW70" s="729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729"/>
      <c r="BL70" s="729"/>
      <c r="BM70" s="729"/>
      <c r="BN70" s="729"/>
      <c r="BO70" s="729"/>
      <c r="BP70" s="729"/>
      <c r="BQ70" s="19">
        <f t="shared" si="2"/>
        <v>0</v>
      </c>
    </row>
    <row r="71" spans="1:73" hidden="1">
      <c r="A71" s="542">
        <f>SUBTOTAL(9,$BQ$9:BQ71)</f>
        <v>26</v>
      </c>
      <c r="B71" s="543" t="str">
        <f>ФОРМА!E24</f>
        <v>План строительства</v>
      </c>
      <c r="C71" s="727" t="s">
        <v>332</v>
      </c>
      <c r="D71" s="727"/>
      <c r="E71" s="727"/>
      <c r="F71" s="727"/>
      <c r="G71" s="727"/>
      <c r="H71" s="727"/>
      <c r="I71" s="727"/>
      <c r="J71" s="727"/>
      <c r="K71" s="727"/>
      <c r="L71" s="727"/>
      <c r="M71" s="727"/>
      <c r="N71" s="727"/>
      <c r="O71" s="727"/>
      <c r="P71" s="727"/>
      <c r="Q71" s="727"/>
      <c r="R71" s="727"/>
      <c r="S71" s="727"/>
      <c r="T71" s="727"/>
      <c r="U71" s="727"/>
      <c r="V71" s="727"/>
      <c r="W71" s="727"/>
      <c r="X71" s="727"/>
      <c r="Y71" s="727"/>
      <c r="Z71" s="733">
        <f>IF(C70="№",0,1)</f>
        <v>0</v>
      </c>
      <c r="AA71" s="733"/>
      <c r="AB71" s="733"/>
      <c r="AC71" s="733"/>
      <c r="AD71" s="733"/>
      <c r="AE71" s="733"/>
      <c r="AF71" s="733"/>
      <c r="AG71" s="733"/>
      <c r="AH71" s="733"/>
      <c r="AI71" s="733"/>
      <c r="AJ71" s="733"/>
      <c r="AK71" s="733"/>
      <c r="AL71" s="733"/>
      <c r="AM71" s="733"/>
      <c r="AN71" s="733"/>
      <c r="AO71" s="733"/>
      <c r="AP71" s="733"/>
      <c r="AQ71" s="729"/>
      <c r="AR71" s="729"/>
      <c r="AS71" s="729"/>
      <c r="AT71" s="729"/>
      <c r="AU71" s="729"/>
      <c r="AV71" s="729"/>
      <c r="AW71" s="729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729"/>
      <c r="BL71" s="729"/>
      <c r="BM71" s="729"/>
      <c r="BN71" s="729"/>
      <c r="BO71" s="729"/>
      <c r="BP71" s="729"/>
      <c r="BQ71" s="19">
        <f>IF(C70="№",0,1)</f>
        <v>0</v>
      </c>
    </row>
    <row r="72" spans="1:73" ht="26" hidden="1">
      <c r="A72" s="542">
        <f>SUBTOTAL(9,$BQ$9:BQ72)</f>
        <v>26</v>
      </c>
      <c r="B72" s="543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27" t="str">
        <f>CONCATENATE("№",ФОРМА!B25)</f>
        <v>№</v>
      </c>
      <c r="D72" s="727"/>
      <c r="E72" s="727"/>
      <c r="F72" s="727"/>
      <c r="G72" s="727"/>
      <c r="H72" s="727"/>
      <c r="I72" s="727"/>
      <c r="J72" s="727"/>
      <c r="K72" s="727"/>
      <c r="L72" s="727"/>
      <c r="M72" s="727"/>
      <c r="N72" s="727"/>
      <c r="O72" s="727"/>
      <c r="P72" s="727"/>
      <c r="Q72" s="727"/>
      <c r="R72" s="727"/>
      <c r="S72" s="727"/>
      <c r="T72" s="727"/>
      <c r="U72" s="727"/>
      <c r="V72" s="727"/>
      <c r="W72" s="727"/>
      <c r="X72" s="727"/>
      <c r="Y72" s="727"/>
      <c r="Z72" s="733">
        <f>IF(C72="№",0,1)</f>
        <v>0</v>
      </c>
      <c r="AA72" s="733"/>
      <c r="AB72" s="733"/>
      <c r="AC72" s="733"/>
      <c r="AD72" s="733"/>
      <c r="AE72" s="733"/>
      <c r="AF72" s="733"/>
      <c r="AG72" s="733"/>
      <c r="AH72" s="733"/>
      <c r="AI72" s="733"/>
      <c r="AJ72" s="733"/>
      <c r="AK72" s="733"/>
      <c r="AL72" s="733"/>
      <c r="AM72" s="733"/>
      <c r="AN72" s="733"/>
      <c r="AO72" s="733"/>
      <c r="AP72" s="733"/>
      <c r="AQ72" s="729"/>
      <c r="AR72" s="729"/>
      <c r="AS72" s="729"/>
      <c r="AT72" s="729"/>
      <c r="AU72" s="729"/>
      <c r="AV72" s="729"/>
      <c r="AW72" s="729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729"/>
      <c r="BL72" s="729"/>
      <c r="BM72" s="729"/>
      <c r="BN72" s="729"/>
      <c r="BO72" s="729"/>
      <c r="BP72" s="729"/>
      <c r="BQ72" s="19">
        <f t="shared" si="2"/>
        <v>0</v>
      </c>
    </row>
    <row r="73" spans="1:73" hidden="1">
      <c r="A73" s="542">
        <f>SUBTOTAL(9,$BQ$9:BQ73)</f>
        <v>26</v>
      </c>
      <c r="B73" s="543" t="str">
        <f>ФОРМА!E25</f>
        <v>План строительства</v>
      </c>
      <c r="C73" s="727" t="s">
        <v>332</v>
      </c>
      <c r="D73" s="727"/>
      <c r="E73" s="727"/>
      <c r="F73" s="727"/>
      <c r="G73" s="727"/>
      <c r="H73" s="727"/>
      <c r="I73" s="727"/>
      <c r="J73" s="727"/>
      <c r="K73" s="727"/>
      <c r="L73" s="727"/>
      <c r="M73" s="727"/>
      <c r="N73" s="727"/>
      <c r="O73" s="727"/>
      <c r="P73" s="727"/>
      <c r="Q73" s="727"/>
      <c r="R73" s="727"/>
      <c r="S73" s="727"/>
      <c r="T73" s="727"/>
      <c r="U73" s="727"/>
      <c r="V73" s="727"/>
      <c r="W73" s="727"/>
      <c r="X73" s="727"/>
      <c r="Y73" s="727"/>
      <c r="Z73" s="733">
        <f>IF(C72="№",0,1)</f>
        <v>0</v>
      </c>
      <c r="AA73" s="733"/>
      <c r="AB73" s="733"/>
      <c r="AC73" s="733"/>
      <c r="AD73" s="733"/>
      <c r="AE73" s="733"/>
      <c r="AF73" s="733"/>
      <c r="AG73" s="733"/>
      <c r="AH73" s="733"/>
      <c r="AI73" s="733"/>
      <c r="AJ73" s="733"/>
      <c r="AK73" s="733"/>
      <c r="AL73" s="733"/>
      <c r="AM73" s="733"/>
      <c r="AN73" s="733"/>
      <c r="AO73" s="733"/>
      <c r="AP73" s="733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9"/>
      <c r="BL73" s="729"/>
      <c r="BM73" s="729"/>
      <c r="BN73" s="729"/>
      <c r="BO73" s="729"/>
      <c r="BP73" s="729"/>
      <c r="BQ73" s="19">
        <f>IF(C72="№",0,1)</f>
        <v>0</v>
      </c>
    </row>
    <row r="74" spans="1:73" ht="26">
      <c r="A74" s="542">
        <f>SUBTOTAL(9,$BQ$9:BQ74)</f>
        <v>27</v>
      </c>
      <c r="B74" s="543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27" t="str">
        <f>CONCATENATE("№",ФОРМА!B26)</f>
        <v>№2</v>
      </c>
      <c r="D74" s="727"/>
      <c r="E74" s="727"/>
      <c r="F74" s="727"/>
      <c r="G74" s="727"/>
      <c r="H74" s="727"/>
      <c r="I74" s="727"/>
      <c r="J74" s="727"/>
      <c r="K74" s="727"/>
      <c r="L74" s="727"/>
      <c r="M74" s="727"/>
      <c r="N74" s="727"/>
      <c r="O74" s="727"/>
      <c r="P74" s="727"/>
      <c r="Q74" s="727"/>
      <c r="R74" s="727"/>
      <c r="S74" s="727"/>
      <c r="T74" s="727"/>
      <c r="U74" s="727"/>
      <c r="V74" s="727"/>
      <c r="W74" s="727"/>
      <c r="X74" s="727"/>
      <c r="Y74" s="727"/>
      <c r="Z74" s="733">
        <f>IF(C74="№",0,1)</f>
        <v>1</v>
      </c>
      <c r="AA74" s="733"/>
      <c r="AB74" s="733"/>
      <c r="AC74" s="733"/>
      <c r="AD74" s="733"/>
      <c r="AE74" s="733"/>
      <c r="AF74" s="733"/>
      <c r="AG74" s="733"/>
      <c r="AH74" s="733"/>
      <c r="AI74" s="733"/>
      <c r="AJ74" s="733"/>
      <c r="AK74" s="733"/>
      <c r="AL74" s="733"/>
      <c r="AM74" s="733"/>
      <c r="AN74" s="733"/>
      <c r="AO74" s="733"/>
      <c r="AP74" s="733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729"/>
      <c r="BL74" s="729"/>
      <c r="BM74" s="729"/>
      <c r="BN74" s="729"/>
      <c r="BO74" s="729"/>
      <c r="BP74" s="729"/>
      <c r="BQ74" s="19">
        <f t="shared" si="2"/>
        <v>1</v>
      </c>
    </row>
    <row r="75" spans="1:73">
      <c r="A75" s="542">
        <f>SUBTOTAL(9,$BQ$9:BQ75)</f>
        <v>28</v>
      </c>
      <c r="B75" s="543" t="str">
        <f>ФОРМА!E26</f>
        <v>Схема разбивки и закрепления точек осей трассы</v>
      </c>
      <c r="C75" s="727" t="s">
        <v>332</v>
      </c>
      <c r="D75" s="727"/>
      <c r="E75" s="727"/>
      <c r="F75" s="727"/>
      <c r="G75" s="727"/>
      <c r="H75" s="727"/>
      <c r="I75" s="727"/>
      <c r="J75" s="727"/>
      <c r="K75" s="727"/>
      <c r="L75" s="727"/>
      <c r="M75" s="727"/>
      <c r="N75" s="727"/>
      <c r="O75" s="727"/>
      <c r="P75" s="727"/>
      <c r="Q75" s="727"/>
      <c r="R75" s="727"/>
      <c r="S75" s="727"/>
      <c r="T75" s="727"/>
      <c r="U75" s="727"/>
      <c r="V75" s="727"/>
      <c r="W75" s="727"/>
      <c r="X75" s="727"/>
      <c r="Y75" s="727"/>
      <c r="Z75" s="733">
        <f>IF(C74="№",0,1)</f>
        <v>1</v>
      </c>
      <c r="AA75" s="733"/>
      <c r="AB75" s="733"/>
      <c r="AC75" s="733"/>
      <c r="AD75" s="733"/>
      <c r="AE75" s="733"/>
      <c r="AF75" s="733"/>
      <c r="AG75" s="733"/>
      <c r="AH75" s="733"/>
      <c r="AI75" s="733"/>
      <c r="AJ75" s="733"/>
      <c r="AK75" s="733"/>
      <c r="AL75" s="733"/>
      <c r="AM75" s="733"/>
      <c r="AN75" s="733"/>
      <c r="AO75" s="733"/>
      <c r="AP75" s="733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729"/>
      <c r="BL75" s="729"/>
      <c r="BM75" s="729"/>
      <c r="BN75" s="729"/>
      <c r="BO75" s="729"/>
      <c r="BP75" s="729"/>
      <c r="BQ75" s="19">
        <f>IF(C74="№",0,1)</f>
        <v>1</v>
      </c>
    </row>
    <row r="76" spans="1:73" ht="26" hidden="1">
      <c r="A76" s="542">
        <f>SUBTOTAL(9,$BQ$9:BQ76)</f>
        <v>28</v>
      </c>
      <c r="B76" s="543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27" t="str">
        <f>CONCATENATE("№",ФОРМА!B27)</f>
        <v>№</v>
      </c>
      <c r="D76" s="727"/>
      <c r="E76" s="727"/>
      <c r="F76" s="727"/>
      <c r="G76" s="727"/>
      <c r="H76" s="727"/>
      <c r="I76" s="727"/>
      <c r="J76" s="727"/>
      <c r="K76" s="727"/>
      <c r="L76" s="727"/>
      <c r="M76" s="727"/>
      <c r="N76" s="727"/>
      <c r="O76" s="727"/>
      <c r="P76" s="727"/>
      <c r="Q76" s="727"/>
      <c r="R76" s="727"/>
      <c r="S76" s="727"/>
      <c r="T76" s="727"/>
      <c r="U76" s="727"/>
      <c r="V76" s="727"/>
      <c r="W76" s="727"/>
      <c r="X76" s="727"/>
      <c r="Y76" s="727"/>
      <c r="Z76" s="733">
        <f>IF(C76="№",0,1)</f>
        <v>0</v>
      </c>
      <c r="AA76" s="733"/>
      <c r="AB76" s="733"/>
      <c r="AC76" s="733"/>
      <c r="AD76" s="733"/>
      <c r="AE76" s="733"/>
      <c r="AF76" s="733"/>
      <c r="AG76" s="733"/>
      <c r="AH76" s="733"/>
      <c r="AI76" s="733"/>
      <c r="AJ76" s="733"/>
      <c r="AK76" s="733"/>
      <c r="AL76" s="733"/>
      <c r="AM76" s="733"/>
      <c r="AN76" s="733"/>
      <c r="AO76" s="733"/>
      <c r="AP76" s="733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729"/>
      <c r="BL76" s="729"/>
      <c r="BM76" s="729"/>
      <c r="BN76" s="729"/>
      <c r="BO76" s="729"/>
      <c r="BP76" s="729"/>
      <c r="BQ76" s="19">
        <f t="shared" si="2"/>
        <v>0</v>
      </c>
    </row>
    <row r="77" spans="1:73" hidden="1">
      <c r="A77" s="542">
        <f>SUBTOTAL(9,$BQ$9:BQ77)</f>
        <v>28</v>
      </c>
      <c r="B77" s="543" t="str">
        <f>ФОРМА!E27</f>
        <v>План строительства</v>
      </c>
      <c r="C77" s="727" t="s">
        <v>332</v>
      </c>
      <c r="D77" s="727"/>
      <c r="E77" s="727"/>
      <c r="F77" s="727"/>
      <c r="G77" s="727"/>
      <c r="H77" s="727"/>
      <c r="I77" s="727"/>
      <c r="J77" s="727"/>
      <c r="K77" s="727"/>
      <c r="L77" s="727"/>
      <c r="M77" s="727"/>
      <c r="N77" s="727"/>
      <c r="O77" s="727"/>
      <c r="P77" s="727"/>
      <c r="Q77" s="727"/>
      <c r="R77" s="727"/>
      <c r="S77" s="727"/>
      <c r="T77" s="727"/>
      <c r="U77" s="727"/>
      <c r="V77" s="727"/>
      <c r="W77" s="727"/>
      <c r="X77" s="727"/>
      <c r="Y77" s="727"/>
      <c r="Z77" s="733">
        <f>IF(C76="№",0,1)</f>
        <v>0</v>
      </c>
      <c r="AA77" s="733"/>
      <c r="AB77" s="733"/>
      <c r="AC77" s="733"/>
      <c r="AD77" s="733"/>
      <c r="AE77" s="733"/>
      <c r="AF77" s="733"/>
      <c r="AG77" s="733"/>
      <c r="AH77" s="733"/>
      <c r="AI77" s="733"/>
      <c r="AJ77" s="733"/>
      <c r="AK77" s="733"/>
      <c r="AL77" s="733"/>
      <c r="AM77" s="733"/>
      <c r="AN77" s="733"/>
      <c r="AO77" s="733"/>
      <c r="AP77" s="733"/>
      <c r="AQ77" s="729"/>
      <c r="AR77" s="729"/>
      <c r="AS77" s="729"/>
      <c r="AT77" s="729"/>
      <c r="AU77" s="729"/>
      <c r="AV77" s="729"/>
      <c r="AW77" s="729"/>
      <c r="AX77" s="729"/>
      <c r="AY77" s="729"/>
      <c r="AZ77" s="729"/>
      <c r="BA77" s="729"/>
      <c r="BB77" s="729"/>
      <c r="BC77" s="729"/>
      <c r="BD77" s="729"/>
      <c r="BE77" s="729"/>
      <c r="BF77" s="729"/>
      <c r="BG77" s="729"/>
      <c r="BH77" s="729"/>
      <c r="BI77" s="729"/>
      <c r="BJ77" s="729"/>
      <c r="BK77" s="729"/>
      <c r="BL77" s="729"/>
      <c r="BM77" s="729"/>
      <c r="BN77" s="729"/>
      <c r="BO77" s="729"/>
      <c r="BP77" s="729"/>
      <c r="BQ77" s="19">
        <f>IF(C76="№",0,1)</f>
        <v>0</v>
      </c>
    </row>
    <row r="78" spans="1:73" ht="26" hidden="1">
      <c r="A78" s="542">
        <f>SUBTOTAL(9,$BQ$9:BQ78)</f>
        <v>28</v>
      </c>
      <c r="B78" s="543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27" t="str">
        <f>CONCATENATE("№",ФОРМА!B28)</f>
        <v>№</v>
      </c>
      <c r="D78" s="727"/>
      <c r="E78" s="727"/>
      <c r="F78" s="727"/>
      <c r="G78" s="727"/>
      <c r="H78" s="727"/>
      <c r="I78" s="727"/>
      <c r="J78" s="727"/>
      <c r="K78" s="727"/>
      <c r="L78" s="727"/>
      <c r="M78" s="727"/>
      <c r="N78" s="727"/>
      <c r="O78" s="727"/>
      <c r="P78" s="727"/>
      <c r="Q78" s="727"/>
      <c r="R78" s="727"/>
      <c r="S78" s="727"/>
      <c r="T78" s="727"/>
      <c r="U78" s="727"/>
      <c r="V78" s="727"/>
      <c r="W78" s="727"/>
      <c r="X78" s="727"/>
      <c r="Y78" s="727"/>
      <c r="Z78" s="733">
        <f>IF(C78="№",0,1)</f>
        <v>0</v>
      </c>
      <c r="AA78" s="733"/>
      <c r="AB78" s="733"/>
      <c r="AC78" s="733"/>
      <c r="AD78" s="733"/>
      <c r="AE78" s="733"/>
      <c r="AF78" s="733"/>
      <c r="AG78" s="733"/>
      <c r="AH78" s="733"/>
      <c r="AI78" s="733"/>
      <c r="AJ78" s="733"/>
      <c r="AK78" s="733"/>
      <c r="AL78" s="733"/>
      <c r="AM78" s="733"/>
      <c r="AN78" s="733"/>
      <c r="AO78" s="733"/>
      <c r="AP78" s="733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9"/>
      <c r="BL78" s="729"/>
      <c r="BM78" s="729"/>
      <c r="BN78" s="729"/>
      <c r="BO78" s="729"/>
      <c r="BP78" s="729"/>
      <c r="BQ78" s="19">
        <f t="shared" si="2"/>
        <v>0</v>
      </c>
    </row>
    <row r="79" spans="1:73" hidden="1">
      <c r="A79" s="542">
        <f>SUBTOTAL(9,$BQ$9:BQ79)</f>
        <v>28</v>
      </c>
      <c r="B79" s="543" t="str">
        <f>ФОРМА!E28</f>
        <v>План строительства</v>
      </c>
      <c r="C79" s="727" t="s">
        <v>332</v>
      </c>
      <c r="D79" s="727"/>
      <c r="E79" s="727"/>
      <c r="F79" s="727"/>
      <c r="G79" s="727"/>
      <c r="H79" s="727"/>
      <c r="I79" s="727"/>
      <c r="J79" s="727"/>
      <c r="K79" s="727"/>
      <c r="L79" s="727"/>
      <c r="M79" s="727"/>
      <c r="N79" s="727"/>
      <c r="O79" s="727"/>
      <c r="P79" s="727"/>
      <c r="Q79" s="727"/>
      <c r="R79" s="727"/>
      <c r="S79" s="727"/>
      <c r="T79" s="727"/>
      <c r="U79" s="727"/>
      <c r="V79" s="727"/>
      <c r="W79" s="727"/>
      <c r="X79" s="727"/>
      <c r="Y79" s="727"/>
      <c r="Z79" s="733">
        <f>IF(C78="№",0,1)</f>
        <v>0</v>
      </c>
      <c r="AA79" s="733"/>
      <c r="AB79" s="733"/>
      <c r="AC79" s="733"/>
      <c r="AD79" s="733"/>
      <c r="AE79" s="733"/>
      <c r="AF79" s="733"/>
      <c r="AG79" s="733"/>
      <c r="AH79" s="733"/>
      <c r="AI79" s="733"/>
      <c r="AJ79" s="733"/>
      <c r="AK79" s="733"/>
      <c r="AL79" s="733"/>
      <c r="AM79" s="733"/>
      <c r="AN79" s="733"/>
      <c r="AO79" s="733"/>
      <c r="AP79" s="733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729"/>
      <c r="BL79" s="729"/>
      <c r="BM79" s="729"/>
      <c r="BN79" s="729"/>
      <c r="BO79" s="729"/>
      <c r="BP79" s="729"/>
      <c r="BQ79" s="19">
        <f>IF(C78="№",0,1)</f>
        <v>0</v>
      </c>
    </row>
    <row r="80" spans="1:73" ht="26">
      <c r="A80" s="542">
        <f ca="1">SUBTOTAL(9,$BQ$9:BQ80)</f>
        <v>29</v>
      </c>
      <c r="B80" s="543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27" t="str">
        <f ca="1">CONCATENATE("№",VLOOKUP(BS80,'АКТЫ скрытых работ'!A:O,2,FALSE))</f>
        <v>№1-ОП</v>
      </c>
      <c r="D80" s="727"/>
      <c r="E80" s="727"/>
      <c r="F80" s="727"/>
      <c r="G80" s="727"/>
      <c r="H80" s="727"/>
      <c r="I80" s="727"/>
      <c r="J80" s="727"/>
      <c r="K80" s="727"/>
      <c r="L80" s="727"/>
      <c r="M80" s="727"/>
      <c r="N80" s="727"/>
      <c r="O80" s="727"/>
      <c r="P80" s="727"/>
      <c r="Q80" s="727"/>
      <c r="R80" s="727"/>
      <c r="S80" s="727"/>
      <c r="T80" s="727"/>
      <c r="U80" s="727"/>
      <c r="V80" s="727"/>
      <c r="W80" s="727"/>
      <c r="X80" s="727"/>
      <c r="Y80" s="727"/>
      <c r="Z80" s="727">
        <f ca="1">IF(BS80="АООК_",0,1)</f>
        <v>1</v>
      </c>
      <c r="AA80" s="727"/>
      <c r="AB80" s="727"/>
      <c r="AC80" s="727"/>
      <c r="AD80" s="727"/>
      <c r="AE80" s="727"/>
      <c r="AF80" s="727"/>
      <c r="AG80" s="727"/>
      <c r="AH80" s="727"/>
      <c r="AI80" s="727"/>
      <c r="AJ80" s="727"/>
      <c r="AK80" s="727"/>
      <c r="AL80" s="727"/>
      <c r="AM80" s="727"/>
      <c r="AN80" s="727"/>
      <c r="AO80" s="727"/>
      <c r="AP80" s="727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729"/>
      <c r="BL80" s="729"/>
      <c r="BM80" s="729"/>
      <c r="BN80" s="729"/>
      <c r="BO80" s="729"/>
      <c r="BP80" s="729"/>
      <c r="BQ80" s="19">
        <f t="shared" ref="BQ80:BQ85" ca="1" si="3">IF(Z80&gt;0,1,0)</f>
        <v>1</v>
      </c>
      <c r="BR80" s="726"/>
      <c r="BS80" s="569" t="str">
        <f ca="1">IF(INDIRECT("'АКТЫ скрытых работ'!R"&amp;BU80&amp;"C1",0)=CONCATENATE("АОСР_",BT80),CONCATENATE("АОСР_",BT80),CONCATENATE("АООК_",BT80))</f>
        <v>АОСР_1</v>
      </c>
      <c r="BT80" s="569">
        <v>1</v>
      </c>
      <c r="BU80" s="570">
        <f>BT80+1</f>
        <v>2</v>
      </c>
    </row>
    <row r="81" spans="1:74" ht="26">
      <c r="A81" s="542">
        <f ca="1">SUBTOTAL(9,$BQ$9:BQ81)</f>
        <v>30</v>
      </c>
      <c r="B81" s="545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№3.1 Бурение скважин под установку опор одностоечных</v>
      </c>
      <c r="C81" s="730" t="str">
        <f ca="1">IF(B81="Контрольно-исполнительная съемка","б/н",MID(B81,SEARCH("№",B81,1),SEARCH(" ",B81,SEARCH("№",B81,1))-SEARCH("№",B81,1)))</f>
        <v>№3.1</v>
      </c>
      <c r="D81" s="731"/>
      <c r="E81" s="731"/>
      <c r="F81" s="731"/>
      <c r="G81" s="731"/>
      <c r="H81" s="731"/>
      <c r="I81" s="731"/>
      <c r="J81" s="731"/>
      <c r="K81" s="731"/>
      <c r="L81" s="731"/>
      <c r="M81" s="731"/>
      <c r="N81" s="731"/>
      <c r="O81" s="731"/>
      <c r="P81" s="731"/>
      <c r="Q81" s="731"/>
      <c r="R81" s="731"/>
      <c r="S81" s="731"/>
      <c r="T81" s="731"/>
      <c r="U81" s="731"/>
      <c r="V81" s="731"/>
      <c r="W81" s="731"/>
      <c r="X81" s="731"/>
      <c r="Y81" s="732"/>
      <c r="Z81" s="727">
        <f ca="1">IFERROR(IF(OR(IFERROR(B81,0)=0,B81="-"),0,1),0)</f>
        <v>1</v>
      </c>
      <c r="AA81" s="727"/>
      <c r="AB81" s="727"/>
      <c r="AC81" s="727"/>
      <c r="AD81" s="727"/>
      <c r="AE81" s="727"/>
      <c r="AF81" s="727"/>
      <c r="AG81" s="727"/>
      <c r="AH81" s="727"/>
      <c r="AI81" s="727"/>
      <c r="AJ81" s="727"/>
      <c r="AK81" s="727"/>
      <c r="AL81" s="727"/>
      <c r="AM81" s="727"/>
      <c r="AN81" s="727"/>
      <c r="AO81" s="727"/>
      <c r="AP81" s="727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729"/>
      <c r="BL81" s="729"/>
      <c r="BM81" s="729"/>
      <c r="BN81" s="729"/>
      <c r="BO81" s="729"/>
      <c r="BP81" s="729"/>
      <c r="BQ81" s="19">
        <f t="shared" ca="1" si="3"/>
        <v>1</v>
      </c>
      <c r="BR81" s="726"/>
    </row>
    <row r="82" spans="1:74" ht="26">
      <c r="A82" s="542">
        <f ca="1">SUBTOTAL(9,$BQ$9:BQ82)</f>
        <v>31</v>
      </c>
      <c r="B82" s="543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№3.2 Бурение скважин под установку опор двухстоечных</v>
      </c>
      <c r="C82" s="730" t="str">
        <f ca="1">IF(B82="Контрольно-исполнительная съемка","б/н",MID(B82,SEARCH("№",B82,1),SEARCH(" ",B82,SEARCH("№",B82,1))-SEARCH("№",B82,1)))</f>
        <v>№3.2</v>
      </c>
      <c r="D82" s="731"/>
      <c r="E82" s="731"/>
      <c r="F82" s="731"/>
      <c r="G82" s="731"/>
      <c r="H82" s="731"/>
      <c r="I82" s="731"/>
      <c r="J82" s="731"/>
      <c r="K82" s="731"/>
      <c r="L82" s="731"/>
      <c r="M82" s="731"/>
      <c r="N82" s="731"/>
      <c r="O82" s="731"/>
      <c r="P82" s="731"/>
      <c r="Q82" s="731"/>
      <c r="R82" s="731"/>
      <c r="S82" s="731"/>
      <c r="T82" s="731"/>
      <c r="U82" s="731"/>
      <c r="V82" s="731"/>
      <c r="W82" s="731"/>
      <c r="X82" s="731"/>
      <c r="Y82" s="732"/>
      <c r="Z82" s="727">
        <f ca="1">IFERROR(IF(OR(IFERROR(B82,0)=0,B82=""),0,1),0)</f>
        <v>1</v>
      </c>
      <c r="AA82" s="727"/>
      <c r="AB82" s="727"/>
      <c r="AC82" s="727"/>
      <c r="AD82" s="727"/>
      <c r="AE82" s="727"/>
      <c r="AF82" s="727"/>
      <c r="AG82" s="727"/>
      <c r="AH82" s="727"/>
      <c r="AI82" s="727"/>
      <c r="AJ82" s="727"/>
      <c r="AK82" s="727"/>
      <c r="AL82" s="727"/>
      <c r="AM82" s="727"/>
      <c r="AN82" s="727"/>
      <c r="AO82" s="727"/>
      <c r="AP82" s="727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9"/>
      <c r="BL82" s="729"/>
      <c r="BM82" s="729"/>
      <c r="BN82" s="729"/>
      <c r="BO82" s="729"/>
      <c r="BP82" s="729"/>
      <c r="BQ82" s="19">
        <f t="shared" ca="1" si="3"/>
        <v>1</v>
      </c>
      <c r="BR82" s="726"/>
    </row>
    <row r="83" spans="1:74" hidden="1">
      <c r="A83" s="542">
        <f ca="1">SUBTOTAL(9,$BQ$9:BQ83)</f>
        <v>31</v>
      </c>
      <c r="B83" s="543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0" t="e">
        <f ca="1">IF(B83="Контрольно-исполнительная съемка","б/н",MID(B83,SEARCH("№",B83,1),SEARCH(" ",B83,SEARCH("№",B83,1))-SEARCH("№",B83,1)))</f>
        <v>#VALUE!</v>
      </c>
      <c r="D83" s="731"/>
      <c r="E83" s="731"/>
      <c r="F83" s="731"/>
      <c r="G83" s="731"/>
      <c r="H83" s="731"/>
      <c r="I83" s="731"/>
      <c r="J83" s="731"/>
      <c r="K83" s="731"/>
      <c r="L83" s="731"/>
      <c r="M83" s="731"/>
      <c r="N83" s="731"/>
      <c r="O83" s="731"/>
      <c r="P83" s="731"/>
      <c r="Q83" s="731"/>
      <c r="R83" s="731"/>
      <c r="S83" s="731"/>
      <c r="T83" s="731"/>
      <c r="U83" s="731"/>
      <c r="V83" s="731"/>
      <c r="W83" s="731"/>
      <c r="X83" s="731"/>
      <c r="Y83" s="732"/>
      <c r="Z83" s="727">
        <f ca="1">IFERROR(IF(OR(IFERROR(B83,0)=0,B83=""),0,1),0)</f>
        <v>0</v>
      </c>
      <c r="AA83" s="727"/>
      <c r="AB83" s="727"/>
      <c r="AC83" s="727"/>
      <c r="AD83" s="727"/>
      <c r="AE83" s="727"/>
      <c r="AF83" s="727"/>
      <c r="AG83" s="727"/>
      <c r="AH83" s="727"/>
      <c r="AI83" s="727"/>
      <c r="AJ83" s="727"/>
      <c r="AK83" s="727"/>
      <c r="AL83" s="727"/>
      <c r="AM83" s="727"/>
      <c r="AN83" s="727"/>
      <c r="AO83" s="727"/>
      <c r="AP83" s="727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729"/>
      <c r="BL83" s="729"/>
      <c r="BM83" s="729"/>
      <c r="BN83" s="729"/>
      <c r="BO83" s="729"/>
      <c r="BP83" s="729"/>
      <c r="BQ83" s="19">
        <f ca="1">IF(Z83&gt;0,1,0)</f>
        <v>0</v>
      </c>
      <c r="BR83" s="726"/>
      <c r="BV83" s="19" t="str">
        <f>MID(BV67,1,LEN(BV67))</f>
        <v/>
      </c>
    </row>
    <row r="84" spans="1:74" hidden="1">
      <c r="A84" s="542">
        <f ca="1">SUBTOTAL(9,$BQ$9:BQ84)</f>
        <v>31</v>
      </c>
      <c r="B84" s="543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0" t="e">
        <f ca="1">IF(B84="Контрольно-исполнительная съемка","б/н",MID(B84,SEARCH("№",B84,1),SEARCH(" ",B84,SEARCH("№",B84,1))-SEARCH("№",B84,1)))</f>
        <v>#VALUE!</v>
      </c>
      <c r="D84" s="731"/>
      <c r="E84" s="731"/>
      <c r="F84" s="731"/>
      <c r="G84" s="731"/>
      <c r="H84" s="731"/>
      <c r="I84" s="731"/>
      <c r="J84" s="731"/>
      <c r="K84" s="731"/>
      <c r="L84" s="731"/>
      <c r="M84" s="731"/>
      <c r="N84" s="731"/>
      <c r="O84" s="731"/>
      <c r="P84" s="731"/>
      <c r="Q84" s="731"/>
      <c r="R84" s="731"/>
      <c r="S84" s="731"/>
      <c r="T84" s="731"/>
      <c r="U84" s="731"/>
      <c r="V84" s="731"/>
      <c r="W84" s="731"/>
      <c r="X84" s="731"/>
      <c r="Y84" s="732"/>
      <c r="Z84" s="727">
        <f ca="1">IFERROR(IF(OR(IFERROR(B84,0)=0,B84=""),0,1),0)</f>
        <v>0</v>
      </c>
      <c r="AA84" s="727"/>
      <c r="AB84" s="727"/>
      <c r="AC84" s="727"/>
      <c r="AD84" s="727"/>
      <c r="AE84" s="727"/>
      <c r="AF84" s="727"/>
      <c r="AG84" s="727"/>
      <c r="AH84" s="727"/>
      <c r="AI84" s="727"/>
      <c r="AJ84" s="727"/>
      <c r="AK84" s="727"/>
      <c r="AL84" s="727"/>
      <c r="AM84" s="727"/>
      <c r="AN84" s="727"/>
      <c r="AO84" s="727"/>
      <c r="AP84" s="727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729"/>
      <c r="BL84" s="729"/>
      <c r="BM84" s="729"/>
      <c r="BN84" s="729"/>
      <c r="BO84" s="729"/>
      <c r="BP84" s="729"/>
      <c r="BQ84" s="19">
        <f ca="1">IF(Z84&gt;0,1,0)</f>
        <v>0</v>
      </c>
      <c r="BR84" s="726"/>
    </row>
    <row r="85" spans="1:74" hidden="1">
      <c r="A85" s="542">
        <f ca="1">SUBTOTAL(9,$BQ$9:BQ85)</f>
        <v>31</v>
      </c>
      <c r="B85" s="543" t="str">
        <f ca="1">VLOOKUP(BS80,'АКТЫ скрытых работ'!A:O,14,FALSE)</f>
        <v>-</v>
      </c>
      <c r="C85" s="727" t="str">
        <f ca="1">IF(B85&lt;&gt;"-","б/н","")</f>
        <v/>
      </c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27"/>
      <c r="U85" s="727"/>
      <c r="V85" s="727"/>
      <c r="W85" s="727"/>
      <c r="X85" s="727"/>
      <c r="Y85" s="727"/>
      <c r="Z85" s="727">
        <f ca="1">IFERROR(IF(OR(IFERROR(B85,0)=0,B85="-"),0,"1 компл"),0)</f>
        <v>0</v>
      </c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27"/>
      <c r="AN85" s="727"/>
      <c r="AO85" s="727"/>
      <c r="AP85" s="727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729"/>
      <c r="BL85" s="729"/>
      <c r="BM85" s="729"/>
      <c r="BN85" s="729"/>
      <c r="BO85" s="729"/>
      <c r="BP85" s="729"/>
      <c r="BQ85" s="19">
        <f t="shared" ca="1" si="3"/>
        <v>0</v>
      </c>
      <c r="BR85" s="726"/>
    </row>
    <row r="86" spans="1:74" ht="26">
      <c r="A86" s="542">
        <f ca="1">SUBTOTAL(9,$BQ$9:BQ86)</f>
        <v>32</v>
      </c>
      <c r="B86" s="543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27" t="str">
        <f ca="1">CONCATENATE("№",VLOOKUP(BS86,'АКТЫ скрытых работ'!A:O,2,FALSE))</f>
        <v>№2-ОП</v>
      </c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727"/>
      <c r="U86" s="727"/>
      <c r="V86" s="727"/>
      <c r="W86" s="727"/>
      <c r="X86" s="727"/>
      <c r="Y86" s="727"/>
      <c r="Z86" s="727">
        <f ca="1">IF(BS86="АООК_",0,1)</f>
        <v>1</v>
      </c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727"/>
      <c r="AN86" s="727"/>
      <c r="AO86" s="727"/>
      <c r="AP86" s="727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9"/>
      <c r="BL86" s="729"/>
      <c r="BM86" s="729"/>
      <c r="BN86" s="729"/>
      <c r="BO86" s="729"/>
      <c r="BP86" s="729"/>
      <c r="BQ86" s="19">
        <f t="shared" ref="BQ86:BQ133" ca="1" si="4">IF(Z86&gt;0,1,0)</f>
        <v>1</v>
      </c>
      <c r="BS86" s="569" t="str">
        <f ca="1">IF(INDIRECT("'АКТЫ скрытых работ'!R"&amp;BU86&amp;"C1",0)=CONCATENATE("АОСР_",BT86),CONCATENATE("АОСР_",BT86),CONCATENATE("АООК_",BT86))</f>
        <v>АОСР_2</v>
      </c>
      <c r="BT86" s="569">
        <v>2</v>
      </c>
      <c r="BU86" s="570">
        <f>BT86+1</f>
        <v>3</v>
      </c>
    </row>
    <row r="87" spans="1:74" ht="26">
      <c r="A87" s="542">
        <f ca="1">SUBTOTAL(9,$BQ$9:BQ87)</f>
        <v>33</v>
      </c>
      <c r="B87" s="545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№3.3 Установка одностоечных опор</v>
      </c>
      <c r="C87" s="730" t="str">
        <f ca="1">IF(B87="Контрольно-исполнительная съемка","б/н",MID(B87,SEARCH("№",B87,1),SEARCH(" ",B87,SEARCH("№",B87,1))-SEARCH("№",B87,1)))</f>
        <v>№3.3</v>
      </c>
      <c r="D87" s="731"/>
      <c r="E87" s="731"/>
      <c r="F87" s="731"/>
      <c r="G87" s="731"/>
      <c r="H87" s="731"/>
      <c r="I87" s="731"/>
      <c r="J87" s="731"/>
      <c r="K87" s="731"/>
      <c r="L87" s="731"/>
      <c r="M87" s="731"/>
      <c r="N87" s="731"/>
      <c r="O87" s="731"/>
      <c r="P87" s="731"/>
      <c r="Q87" s="731"/>
      <c r="R87" s="731"/>
      <c r="S87" s="731"/>
      <c r="T87" s="731"/>
      <c r="U87" s="731"/>
      <c r="V87" s="731"/>
      <c r="W87" s="731"/>
      <c r="X87" s="731"/>
      <c r="Y87" s="732"/>
      <c r="Z87" s="727">
        <f ca="1">IFERROR(IF(OR(IFERROR(B87,0)=0,B87="-"),0,1),0)</f>
        <v>1</v>
      </c>
      <c r="AA87" s="727"/>
      <c r="AB87" s="727"/>
      <c r="AC87" s="727"/>
      <c r="AD87" s="727"/>
      <c r="AE87" s="727"/>
      <c r="AF87" s="727"/>
      <c r="AG87" s="727"/>
      <c r="AH87" s="727"/>
      <c r="AI87" s="727"/>
      <c r="AJ87" s="727"/>
      <c r="AK87" s="727"/>
      <c r="AL87" s="727"/>
      <c r="AM87" s="727"/>
      <c r="AN87" s="727"/>
      <c r="AO87" s="727"/>
      <c r="AP87" s="727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729"/>
      <c r="BL87" s="729"/>
      <c r="BM87" s="729"/>
      <c r="BN87" s="729"/>
      <c r="BO87" s="729"/>
      <c r="BP87" s="729"/>
      <c r="BQ87" s="19">
        <f t="shared" ca="1" si="4"/>
        <v>1</v>
      </c>
    </row>
    <row r="88" spans="1:74" ht="26">
      <c r="A88" s="542">
        <f ca="1">SUBTOTAL(9,$BQ$9:BQ88)</f>
        <v>34</v>
      </c>
      <c r="B88" s="543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№3.4 Установка двухстоечных опор</v>
      </c>
      <c r="C88" s="730" t="str">
        <f ca="1">IF(B88="Контрольно-исполнительная съемка","б/н",MID(B88,SEARCH("№",B88,1),SEARCH(" ",B88,SEARCH("№",B88,1))-SEARCH("№",B88,1)))</f>
        <v>№3.4</v>
      </c>
      <c r="D88" s="731"/>
      <c r="E88" s="731"/>
      <c r="F88" s="731"/>
      <c r="G88" s="731"/>
      <c r="H88" s="731"/>
      <c r="I88" s="731"/>
      <c r="J88" s="731"/>
      <c r="K88" s="731"/>
      <c r="L88" s="731"/>
      <c r="M88" s="731"/>
      <c r="N88" s="731"/>
      <c r="O88" s="731"/>
      <c r="P88" s="731"/>
      <c r="Q88" s="731"/>
      <c r="R88" s="731"/>
      <c r="S88" s="731"/>
      <c r="T88" s="731"/>
      <c r="U88" s="731"/>
      <c r="V88" s="731"/>
      <c r="W88" s="731"/>
      <c r="X88" s="731"/>
      <c r="Y88" s="732"/>
      <c r="Z88" s="727">
        <f ca="1">IFERROR(IF(OR(IFERROR(B88,0)=0,B88=""),0,1),0)</f>
        <v>1</v>
      </c>
      <c r="AA88" s="727"/>
      <c r="AB88" s="727"/>
      <c r="AC88" s="727"/>
      <c r="AD88" s="727"/>
      <c r="AE88" s="727"/>
      <c r="AF88" s="727"/>
      <c r="AG88" s="727"/>
      <c r="AH88" s="727"/>
      <c r="AI88" s="727"/>
      <c r="AJ88" s="727"/>
      <c r="AK88" s="727"/>
      <c r="AL88" s="727"/>
      <c r="AM88" s="727"/>
      <c r="AN88" s="727"/>
      <c r="AO88" s="727"/>
      <c r="AP88" s="727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729"/>
      <c r="BL88" s="729"/>
      <c r="BM88" s="729"/>
      <c r="BN88" s="729"/>
      <c r="BO88" s="729"/>
      <c r="BP88" s="729"/>
      <c r="BQ88" s="19">
        <f t="shared" ca="1" si="4"/>
        <v>1</v>
      </c>
    </row>
    <row r="89" spans="1:74" hidden="1">
      <c r="A89" s="542">
        <f ca="1">SUBTOTAL(9,$BQ$9:BQ89)</f>
        <v>34</v>
      </c>
      <c r="B89" s="543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0" t="e">
        <f ca="1">IF(B89="Контрольно-исполнительная съемка","б/н",MID(B89,SEARCH("№",B89,1),SEARCH(" ",B89,SEARCH("№",B89,1))-SEARCH("№",B89,1)))</f>
        <v>#VALUE!</v>
      </c>
      <c r="D89" s="731"/>
      <c r="E89" s="731"/>
      <c r="F89" s="731"/>
      <c r="G89" s="731"/>
      <c r="H89" s="731"/>
      <c r="I89" s="731"/>
      <c r="J89" s="731"/>
      <c r="K89" s="731"/>
      <c r="L89" s="731"/>
      <c r="M89" s="731"/>
      <c r="N89" s="731"/>
      <c r="O89" s="731"/>
      <c r="P89" s="731"/>
      <c r="Q89" s="731"/>
      <c r="R89" s="731"/>
      <c r="S89" s="731"/>
      <c r="T89" s="731"/>
      <c r="U89" s="731"/>
      <c r="V89" s="731"/>
      <c r="W89" s="731"/>
      <c r="X89" s="731"/>
      <c r="Y89" s="732"/>
      <c r="Z89" s="727">
        <f ca="1">IFERROR(IF(OR(IFERROR(B89,0)=0,B89=""),0,1),0)</f>
        <v>0</v>
      </c>
      <c r="AA89" s="727"/>
      <c r="AB89" s="727"/>
      <c r="AC89" s="727"/>
      <c r="AD89" s="727"/>
      <c r="AE89" s="727"/>
      <c r="AF89" s="727"/>
      <c r="AG89" s="727"/>
      <c r="AH89" s="727"/>
      <c r="AI89" s="727"/>
      <c r="AJ89" s="727"/>
      <c r="AK89" s="727"/>
      <c r="AL89" s="727"/>
      <c r="AM89" s="727"/>
      <c r="AN89" s="727"/>
      <c r="AO89" s="727"/>
      <c r="AP89" s="727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729"/>
      <c r="BL89" s="729"/>
      <c r="BM89" s="729"/>
      <c r="BN89" s="729"/>
      <c r="BO89" s="729"/>
      <c r="BP89" s="729"/>
      <c r="BQ89" s="19">
        <f t="shared" ca="1" si="4"/>
        <v>0</v>
      </c>
      <c r="BV89" s="19" t="str">
        <f>MID(BV73,1,LEN(BV73))</f>
        <v/>
      </c>
    </row>
    <row r="90" spans="1:74" hidden="1">
      <c r="A90" s="542">
        <f ca="1">SUBTOTAL(9,$BQ$9:BQ90)</f>
        <v>34</v>
      </c>
      <c r="B90" s="543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0" t="e">
        <f ca="1">IF(B90="Контрольно-исполнительная съемка","б/н",MID(B90,SEARCH("№",B90,1),SEARCH(" ",B90,SEARCH("№",B90,1))-SEARCH("№",B90,1)))</f>
        <v>#VALUE!</v>
      </c>
      <c r="D90" s="731"/>
      <c r="E90" s="731"/>
      <c r="F90" s="731"/>
      <c r="G90" s="731"/>
      <c r="H90" s="731"/>
      <c r="I90" s="731"/>
      <c r="J90" s="731"/>
      <c r="K90" s="731"/>
      <c r="L90" s="731"/>
      <c r="M90" s="731"/>
      <c r="N90" s="731"/>
      <c r="O90" s="731"/>
      <c r="P90" s="731"/>
      <c r="Q90" s="731"/>
      <c r="R90" s="731"/>
      <c r="S90" s="731"/>
      <c r="T90" s="731"/>
      <c r="U90" s="731"/>
      <c r="V90" s="731"/>
      <c r="W90" s="731"/>
      <c r="X90" s="731"/>
      <c r="Y90" s="732"/>
      <c r="Z90" s="727">
        <f ca="1">IFERROR(IF(OR(IFERROR(B90,0)=0,B90=""),0,1),0)</f>
        <v>0</v>
      </c>
      <c r="AA90" s="727"/>
      <c r="AB90" s="727"/>
      <c r="AC90" s="727"/>
      <c r="AD90" s="727"/>
      <c r="AE90" s="727"/>
      <c r="AF90" s="727"/>
      <c r="AG90" s="727"/>
      <c r="AH90" s="727"/>
      <c r="AI90" s="727"/>
      <c r="AJ90" s="727"/>
      <c r="AK90" s="727"/>
      <c r="AL90" s="727"/>
      <c r="AM90" s="727"/>
      <c r="AN90" s="727"/>
      <c r="AO90" s="727"/>
      <c r="AP90" s="727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9"/>
      <c r="BL90" s="729"/>
      <c r="BM90" s="729"/>
      <c r="BN90" s="729"/>
      <c r="BO90" s="729"/>
      <c r="BP90" s="729"/>
      <c r="BQ90" s="19">
        <f t="shared" ca="1" si="4"/>
        <v>0</v>
      </c>
    </row>
    <row r="91" spans="1:74" ht="26">
      <c r="A91" s="542">
        <f ca="1">SUBTOTAL(9,$BQ$9:BQ91)</f>
        <v>35</v>
      </c>
      <c r="B91" s="543" t="str">
        <f ca="1">VLOOKUP(BS86,'АКТЫ скрытых работ'!A:O,14,FALSE)</f>
        <v>Сертификат соответствия №РОСС RU.АБ23.Н00117 от 21.06.2021 сроком действия до 20.06.2024</v>
      </c>
      <c r="C91" s="727" t="str">
        <f ca="1">IF(B91&lt;&gt;"-","б/н","")</f>
        <v>б/н</v>
      </c>
      <c r="D91" s="727"/>
      <c r="E91" s="727"/>
      <c r="F91" s="727"/>
      <c r="G91" s="727"/>
      <c r="H91" s="727"/>
      <c r="I91" s="727"/>
      <c r="J91" s="727"/>
      <c r="K91" s="727"/>
      <c r="L91" s="727"/>
      <c r="M91" s="727"/>
      <c r="N91" s="727"/>
      <c r="O91" s="727"/>
      <c r="P91" s="727"/>
      <c r="Q91" s="727"/>
      <c r="R91" s="727"/>
      <c r="S91" s="727"/>
      <c r="T91" s="727"/>
      <c r="U91" s="727"/>
      <c r="V91" s="727"/>
      <c r="W91" s="727"/>
      <c r="X91" s="727"/>
      <c r="Y91" s="727"/>
      <c r="Z91" s="727" t="str">
        <f ca="1">IFERROR(IF(OR(IFERROR(B91,0)=0,B91="-"),0,"1 компл"),0)</f>
        <v>1 компл</v>
      </c>
      <c r="AA91" s="727"/>
      <c r="AB91" s="727"/>
      <c r="AC91" s="727"/>
      <c r="AD91" s="727"/>
      <c r="AE91" s="727"/>
      <c r="AF91" s="727"/>
      <c r="AG91" s="727"/>
      <c r="AH91" s="727"/>
      <c r="AI91" s="727"/>
      <c r="AJ91" s="727"/>
      <c r="AK91" s="727"/>
      <c r="AL91" s="727"/>
      <c r="AM91" s="727"/>
      <c r="AN91" s="727"/>
      <c r="AO91" s="727"/>
      <c r="AP91" s="727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729"/>
      <c r="BL91" s="729"/>
      <c r="BM91" s="729"/>
      <c r="BN91" s="729"/>
      <c r="BO91" s="729"/>
      <c r="BP91" s="729"/>
      <c r="BQ91" s="19">
        <f t="shared" ca="1" si="4"/>
        <v>1</v>
      </c>
    </row>
    <row r="92" spans="1:74" ht="39">
      <c r="A92" s="542">
        <f ca="1">SUBTOTAL(9,$BQ$9:BQ92)</f>
        <v>36</v>
      </c>
      <c r="B92" s="543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27" t="str">
        <f ca="1">CONCATENATE("№",VLOOKUP(BS92,'АКТЫ скрытых работ'!A:O,2,FALSE))</f>
        <v>№3-ОП</v>
      </c>
      <c r="D92" s="727"/>
      <c r="E92" s="727"/>
      <c r="F92" s="727"/>
      <c r="G92" s="727"/>
      <c r="H92" s="727"/>
      <c r="I92" s="727"/>
      <c r="J92" s="727"/>
      <c r="K92" s="727"/>
      <c r="L92" s="727"/>
      <c r="M92" s="727"/>
      <c r="N92" s="727"/>
      <c r="O92" s="727"/>
      <c r="P92" s="727"/>
      <c r="Q92" s="727"/>
      <c r="R92" s="727"/>
      <c r="S92" s="727"/>
      <c r="T92" s="727"/>
      <c r="U92" s="727"/>
      <c r="V92" s="727"/>
      <c r="W92" s="727"/>
      <c r="X92" s="727"/>
      <c r="Y92" s="727"/>
      <c r="Z92" s="727">
        <f ca="1">IF(BS92="АООК_",0,1)</f>
        <v>1</v>
      </c>
      <c r="AA92" s="727"/>
      <c r="AB92" s="727"/>
      <c r="AC92" s="727"/>
      <c r="AD92" s="727"/>
      <c r="AE92" s="727"/>
      <c r="AF92" s="727"/>
      <c r="AG92" s="727"/>
      <c r="AH92" s="727"/>
      <c r="AI92" s="727"/>
      <c r="AJ92" s="727"/>
      <c r="AK92" s="727"/>
      <c r="AL92" s="727"/>
      <c r="AM92" s="727"/>
      <c r="AN92" s="727"/>
      <c r="AO92" s="727"/>
      <c r="AP92" s="727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729"/>
      <c r="BL92" s="729"/>
      <c r="BM92" s="729"/>
      <c r="BN92" s="729"/>
      <c r="BO92" s="729"/>
      <c r="BP92" s="729"/>
      <c r="BQ92" s="19">
        <f t="shared" ca="1" si="4"/>
        <v>1</v>
      </c>
      <c r="BS92" s="569" t="str">
        <f ca="1">IF(INDIRECT("'АКТЫ скрытых работ'!R"&amp;BU92&amp;"C1",0)=CONCATENATE("АОСР_",BT92),CONCATENATE("АОСР_",BT92),CONCATENATE("АООК_",BT92))</f>
        <v>АОСР_3</v>
      </c>
      <c r="BT92" s="569">
        <v>3</v>
      </c>
      <c r="BU92" s="570">
        <f>BT92+1</f>
        <v>4</v>
      </c>
    </row>
    <row r="93" spans="1:74" ht="26">
      <c r="A93" s="542">
        <f ca="1">SUBTOTAL(9,$BQ$9:BQ93)</f>
        <v>37</v>
      </c>
      <c r="B93" s="545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№3.5 Обратная засыпка скважин</v>
      </c>
      <c r="C93" s="730" t="str">
        <f ca="1">IF(B93="Контрольно-исполнительная съемка","б/н",MID(B93,SEARCH("№",B93,1),SEARCH(" ",B93,SEARCH("№",B93,1))-SEARCH("№",B93,1)))</f>
        <v>№3.5</v>
      </c>
      <c r="D93" s="731"/>
      <c r="E93" s="731"/>
      <c r="F93" s="731"/>
      <c r="G93" s="731"/>
      <c r="H93" s="731"/>
      <c r="I93" s="731"/>
      <c r="J93" s="731"/>
      <c r="K93" s="731"/>
      <c r="L93" s="731"/>
      <c r="M93" s="731"/>
      <c r="N93" s="731"/>
      <c r="O93" s="731"/>
      <c r="P93" s="731"/>
      <c r="Q93" s="731"/>
      <c r="R93" s="731"/>
      <c r="S93" s="731"/>
      <c r="T93" s="731"/>
      <c r="U93" s="731"/>
      <c r="V93" s="731"/>
      <c r="W93" s="731"/>
      <c r="X93" s="731"/>
      <c r="Y93" s="732"/>
      <c r="Z93" s="727">
        <f ca="1">IFERROR(IF(OR(IFERROR(B93,0)=0,B93="-"),0,1),0)</f>
        <v>1</v>
      </c>
      <c r="AA93" s="727"/>
      <c r="AB93" s="727"/>
      <c r="AC93" s="727"/>
      <c r="AD93" s="727"/>
      <c r="AE93" s="727"/>
      <c r="AF93" s="727"/>
      <c r="AG93" s="727"/>
      <c r="AH93" s="727"/>
      <c r="AI93" s="727"/>
      <c r="AJ93" s="727"/>
      <c r="AK93" s="727"/>
      <c r="AL93" s="727"/>
      <c r="AM93" s="727"/>
      <c r="AN93" s="727"/>
      <c r="AO93" s="727"/>
      <c r="AP93" s="727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729"/>
      <c r="BL93" s="729"/>
      <c r="BM93" s="729"/>
      <c r="BN93" s="729"/>
      <c r="BO93" s="729"/>
      <c r="BP93" s="729"/>
      <c r="BQ93" s="19">
        <f t="shared" ca="1" si="4"/>
        <v>1</v>
      </c>
    </row>
    <row r="94" spans="1:74" ht="26">
      <c r="A94" s="542">
        <f ca="1">SUBTOTAL(9,$BQ$9:BQ94)</f>
        <v>38</v>
      </c>
      <c r="B94" s="543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№3.6 Обратная засыпка скважин</v>
      </c>
      <c r="C94" s="730" t="str">
        <f ca="1">IF(B94="Контрольно-исполнительная съемка","б/н",MID(B94,SEARCH("№",B94,1),SEARCH(" ",B94,SEARCH("№",B94,1))-SEARCH("№",B94,1)))</f>
        <v>№3.6</v>
      </c>
      <c r="D94" s="731"/>
      <c r="E94" s="731"/>
      <c r="F94" s="731"/>
      <c r="G94" s="731"/>
      <c r="H94" s="731"/>
      <c r="I94" s="731"/>
      <c r="J94" s="731"/>
      <c r="K94" s="731"/>
      <c r="L94" s="731"/>
      <c r="M94" s="731"/>
      <c r="N94" s="731"/>
      <c r="O94" s="731"/>
      <c r="P94" s="731"/>
      <c r="Q94" s="731"/>
      <c r="R94" s="731"/>
      <c r="S94" s="731"/>
      <c r="T94" s="731"/>
      <c r="U94" s="731"/>
      <c r="V94" s="731"/>
      <c r="W94" s="731"/>
      <c r="X94" s="731"/>
      <c r="Y94" s="732"/>
      <c r="Z94" s="727">
        <f ca="1">IFERROR(IF(OR(IFERROR(B94,0)=0,B94=""),0,1),0)</f>
        <v>1</v>
      </c>
      <c r="AA94" s="727"/>
      <c r="AB94" s="727"/>
      <c r="AC94" s="727"/>
      <c r="AD94" s="727"/>
      <c r="AE94" s="727"/>
      <c r="AF94" s="727"/>
      <c r="AG94" s="727"/>
      <c r="AH94" s="727"/>
      <c r="AI94" s="727"/>
      <c r="AJ94" s="727"/>
      <c r="AK94" s="727"/>
      <c r="AL94" s="727"/>
      <c r="AM94" s="727"/>
      <c r="AN94" s="727"/>
      <c r="AO94" s="727"/>
      <c r="AP94" s="727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9"/>
      <c r="BL94" s="729"/>
      <c r="BM94" s="729"/>
      <c r="BN94" s="729"/>
      <c r="BO94" s="729"/>
      <c r="BP94" s="729"/>
      <c r="BQ94" s="19">
        <f t="shared" ca="1" si="4"/>
        <v>1</v>
      </c>
    </row>
    <row r="95" spans="1:74" hidden="1">
      <c r="A95" s="542">
        <f ca="1">SUBTOTAL(9,$BQ$9:BQ95)</f>
        <v>38</v>
      </c>
      <c r="B95" s="543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0" t="e">
        <f ca="1">IF(B95="Контрольно-исполнительная съемка","б/н",MID(B95,SEARCH("№",B95,1),SEARCH(" ",B95,SEARCH("№",B95,1))-SEARCH("№",B95,1)))</f>
        <v>#VALUE!</v>
      </c>
      <c r="D95" s="731"/>
      <c r="E95" s="731"/>
      <c r="F95" s="731"/>
      <c r="G95" s="731"/>
      <c r="H95" s="731"/>
      <c r="I95" s="731"/>
      <c r="J95" s="731"/>
      <c r="K95" s="731"/>
      <c r="L95" s="731"/>
      <c r="M95" s="731"/>
      <c r="N95" s="731"/>
      <c r="O95" s="731"/>
      <c r="P95" s="731"/>
      <c r="Q95" s="731"/>
      <c r="R95" s="731"/>
      <c r="S95" s="731"/>
      <c r="T95" s="731"/>
      <c r="U95" s="731"/>
      <c r="V95" s="731"/>
      <c r="W95" s="731"/>
      <c r="X95" s="731"/>
      <c r="Y95" s="732"/>
      <c r="Z95" s="727">
        <f ca="1">IFERROR(IF(OR(IFERROR(B95,0)=0,B95=""),0,1),0)</f>
        <v>0</v>
      </c>
      <c r="AA95" s="727"/>
      <c r="AB95" s="727"/>
      <c r="AC95" s="727"/>
      <c r="AD95" s="727"/>
      <c r="AE95" s="727"/>
      <c r="AF95" s="727"/>
      <c r="AG95" s="727"/>
      <c r="AH95" s="727"/>
      <c r="AI95" s="727"/>
      <c r="AJ95" s="727"/>
      <c r="AK95" s="727"/>
      <c r="AL95" s="727"/>
      <c r="AM95" s="727"/>
      <c r="AN95" s="727"/>
      <c r="AO95" s="727"/>
      <c r="AP95" s="727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729"/>
      <c r="BL95" s="729"/>
      <c r="BM95" s="729"/>
      <c r="BN95" s="729"/>
      <c r="BO95" s="729"/>
      <c r="BP95" s="729"/>
      <c r="BQ95" s="19">
        <f t="shared" ca="1" si="4"/>
        <v>0</v>
      </c>
      <c r="BV95" s="19" t="str">
        <f>MID(BV79,1,LEN(BV79))</f>
        <v/>
      </c>
    </row>
    <row r="96" spans="1:74" hidden="1">
      <c r="A96" s="542">
        <f ca="1">SUBTOTAL(9,$BQ$9:BQ96)</f>
        <v>38</v>
      </c>
      <c r="B96" s="543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0" t="e">
        <f ca="1">IF(B96="Контрольно-исполнительная съемка","б/н",MID(B96,SEARCH("№",B96,1),SEARCH(" ",B96,SEARCH("№",B96,1))-SEARCH("№",B96,1)))</f>
        <v>#VALUE!</v>
      </c>
      <c r="D96" s="731"/>
      <c r="E96" s="731"/>
      <c r="F96" s="731"/>
      <c r="G96" s="731"/>
      <c r="H96" s="731"/>
      <c r="I96" s="731"/>
      <c r="J96" s="731"/>
      <c r="K96" s="731"/>
      <c r="L96" s="731"/>
      <c r="M96" s="731"/>
      <c r="N96" s="731"/>
      <c r="O96" s="731"/>
      <c r="P96" s="731"/>
      <c r="Q96" s="731"/>
      <c r="R96" s="731"/>
      <c r="S96" s="731"/>
      <c r="T96" s="731"/>
      <c r="U96" s="731"/>
      <c r="V96" s="731"/>
      <c r="W96" s="731"/>
      <c r="X96" s="731"/>
      <c r="Y96" s="732"/>
      <c r="Z96" s="727">
        <f ca="1">IFERROR(IF(OR(IFERROR(B96,0)=0,B96=""),0,1),0)</f>
        <v>0</v>
      </c>
      <c r="AA96" s="727"/>
      <c r="AB96" s="727"/>
      <c r="AC96" s="727"/>
      <c r="AD96" s="727"/>
      <c r="AE96" s="727"/>
      <c r="AF96" s="727"/>
      <c r="AG96" s="727"/>
      <c r="AH96" s="727"/>
      <c r="AI96" s="727"/>
      <c r="AJ96" s="727"/>
      <c r="AK96" s="727"/>
      <c r="AL96" s="727"/>
      <c r="AM96" s="727"/>
      <c r="AN96" s="727"/>
      <c r="AO96" s="727"/>
      <c r="AP96" s="727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729"/>
      <c r="BL96" s="729"/>
      <c r="BM96" s="729"/>
      <c r="BN96" s="729"/>
      <c r="BO96" s="729"/>
      <c r="BP96" s="729"/>
      <c r="BQ96" s="19">
        <f t="shared" ca="1" si="4"/>
        <v>0</v>
      </c>
    </row>
    <row r="97" spans="1:74" hidden="1">
      <c r="A97" s="542">
        <f ca="1">SUBTOTAL(9,$BQ$9:BQ97)</f>
        <v>38</v>
      </c>
      <c r="B97" s="543" t="str">
        <f ca="1">VLOOKUP(BS92,'АКТЫ скрытых работ'!A:O,14,FALSE)</f>
        <v>-</v>
      </c>
      <c r="C97" s="727" t="str">
        <f ca="1">IF(B97&lt;&gt;"-","б/н","")</f>
        <v/>
      </c>
      <c r="D97" s="727"/>
      <c r="E97" s="727"/>
      <c r="F97" s="727"/>
      <c r="G97" s="727"/>
      <c r="H97" s="727"/>
      <c r="I97" s="727"/>
      <c r="J97" s="727"/>
      <c r="K97" s="727"/>
      <c r="L97" s="727"/>
      <c r="M97" s="727"/>
      <c r="N97" s="727"/>
      <c r="O97" s="727"/>
      <c r="P97" s="727"/>
      <c r="Q97" s="727"/>
      <c r="R97" s="727"/>
      <c r="S97" s="727"/>
      <c r="T97" s="727"/>
      <c r="U97" s="727"/>
      <c r="V97" s="727"/>
      <c r="W97" s="727"/>
      <c r="X97" s="727"/>
      <c r="Y97" s="727"/>
      <c r="Z97" s="727">
        <f ca="1">IFERROR(IF(OR(IFERROR(B97,0)=0,B97="-"),0,"1 компл"),0)</f>
        <v>0</v>
      </c>
      <c r="AA97" s="727"/>
      <c r="AB97" s="727"/>
      <c r="AC97" s="727"/>
      <c r="AD97" s="727"/>
      <c r="AE97" s="727"/>
      <c r="AF97" s="727"/>
      <c r="AG97" s="727"/>
      <c r="AH97" s="727"/>
      <c r="AI97" s="727"/>
      <c r="AJ97" s="727"/>
      <c r="AK97" s="727"/>
      <c r="AL97" s="727"/>
      <c r="AM97" s="727"/>
      <c r="AN97" s="727"/>
      <c r="AO97" s="727"/>
      <c r="AP97" s="727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729"/>
      <c r="BL97" s="729"/>
      <c r="BM97" s="729"/>
      <c r="BN97" s="729"/>
      <c r="BO97" s="729"/>
      <c r="BP97" s="729"/>
      <c r="BQ97" s="19">
        <f t="shared" ca="1" si="4"/>
        <v>0</v>
      </c>
    </row>
    <row r="98" spans="1:74" ht="26">
      <c r="A98" s="542">
        <f ca="1">SUBTOTAL(9,$BQ$9:BQ98)</f>
        <v>39</v>
      </c>
      <c r="B98" s="543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27" t="str">
        <f ca="1">CONCATENATE("№",VLOOKUP(BS98,'АКТЫ скрытых работ'!A:O,2,FALSE))</f>
        <v>№1-КЗ_ОП</v>
      </c>
      <c r="D98" s="727"/>
      <c r="E98" s="727"/>
      <c r="F98" s="727"/>
      <c r="G98" s="727"/>
      <c r="H98" s="727"/>
      <c r="I98" s="727"/>
      <c r="J98" s="727"/>
      <c r="K98" s="727"/>
      <c r="L98" s="727"/>
      <c r="M98" s="727"/>
      <c r="N98" s="727"/>
      <c r="O98" s="727"/>
      <c r="P98" s="727"/>
      <c r="Q98" s="727"/>
      <c r="R98" s="727"/>
      <c r="S98" s="727"/>
      <c r="T98" s="727"/>
      <c r="U98" s="727"/>
      <c r="V98" s="727"/>
      <c r="W98" s="727"/>
      <c r="X98" s="727"/>
      <c r="Y98" s="727"/>
      <c r="Z98" s="727">
        <f ca="1">IF(BS98="АООК_",0,1)</f>
        <v>1</v>
      </c>
      <c r="AA98" s="727"/>
      <c r="AB98" s="727"/>
      <c r="AC98" s="727"/>
      <c r="AD98" s="727"/>
      <c r="AE98" s="727"/>
      <c r="AF98" s="727"/>
      <c r="AG98" s="727"/>
      <c r="AH98" s="727"/>
      <c r="AI98" s="727"/>
      <c r="AJ98" s="727"/>
      <c r="AK98" s="727"/>
      <c r="AL98" s="727"/>
      <c r="AM98" s="727"/>
      <c r="AN98" s="727"/>
      <c r="AO98" s="727"/>
      <c r="AP98" s="727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9"/>
      <c r="BL98" s="729"/>
      <c r="BM98" s="729"/>
      <c r="BN98" s="729"/>
      <c r="BO98" s="729"/>
      <c r="BP98" s="729"/>
      <c r="BQ98" s="19">
        <f t="shared" ca="1" si="4"/>
        <v>1</v>
      </c>
      <c r="BS98" s="569" t="str">
        <f ca="1">IF(INDIRECT("'АКТЫ скрытых работ'!R"&amp;BU98&amp;"C1",0)=CONCATENATE("АОСР_",BT98),CONCATENATE("АОСР_",BT98),CONCATENATE("АООК_",BT98))</f>
        <v>АОСР_4</v>
      </c>
      <c r="BT98" s="569">
        <v>4</v>
      </c>
      <c r="BU98" s="570">
        <f>BT98+1</f>
        <v>5</v>
      </c>
    </row>
    <row r="99" spans="1:74" ht="26">
      <c r="A99" s="542">
        <f ca="1">SUBTOTAL(9,$BQ$9:BQ99)</f>
        <v>40</v>
      </c>
      <c r="B99" s="545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 Монтаж контура заземления КК-0,4кВ</v>
      </c>
      <c r="C99" s="730" t="str">
        <f ca="1">IF(B99="Контрольно-исполнительная съемка","б/н",MID(B99,SEARCH("№",B99,1),SEARCH(" ",B99,SEARCH("№",B99,1))-SEARCH("№",B99,1)))</f>
        <v>№1</v>
      </c>
      <c r="D99" s="731"/>
      <c r="E99" s="731"/>
      <c r="F99" s="731"/>
      <c r="G99" s="731"/>
      <c r="H99" s="731"/>
      <c r="I99" s="731"/>
      <c r="J99" s="731"/>
      <c r="K99" s="731"/>
      <c r="L99" s="731"/>
      <c r="M99" s="731"/>
      <c r="N99" s="731"/>
      <c r="O99" s="731"/>
      <c r="P99" s="731"/>
      <c r="Q99" s="731"/>
      <c r="R99" s="731"/>
      <c r="S99" s="731"/>
      <c r="T99" s="731"/>
      <c r="U99" s="731"/>
      <c r="V99" s="731"/>
      <c r="W99" s="731"/>
      <c r="X99" s="731"/>
      <c r="Y99" s="732"/>
      <c r="Z99" s="727">
        <f ca="1">IFERROR(IF(OR(IFERROR(B99,0)=0,B99="-"),0,1),0)</f>
        <v>1</v>
      </c>
      <c r="AA99" s="727"/>
      <c r="AB99" s="727"/>
      <c r="AC99" s="727"/>
      <c r="AD99" s="727"/>
      <c r="AE99" s="727"/>
      <c r="AF99" s="727"/>
      <c r="AG99" s="727"/>
      <c r="AH99" s="727"/>
      <c r="AI99" s="727"/>
      <c r="AJ99" s="727"/>
      <c r="AK99" s="727"/>
      <c r="AL99" s="727"/>
      <c r="AM99" s="727"/>
      <c r="AN99" s="727"/>
      <c r="AO99" s="727"/>
      <c r="AP99" s="727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729"/>
      <c r="BL99" s="729"/>
      <c r="BM99" s="729"/>
      <c r="BN99" s="729"/>
      <c r="BO99" s="729"/>
      <c r="BP99" s="729"/>
      <c r="BQ99" s="19">
        <f t="shared" ca="1" si="4"/>
        <v>1</v>
      </c>
    </row>
    <row r="100" spans="1:74" hidden="1">
      <c r="A100" s="542">
        <f ca="1">SUBTOTAL(9,$BQ$9:BQ100)</f>
        <v>40</v>
      </c>
      <c r="B100" s="543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0" t="e">
        <f ca="1">IF(B100="Контрольно-исполнительная съемка","б/н",MID(B100,SEARCH("№",B100,1),SEARCH(" ",B100,SEARCH("№",B100,1))-SEARCH("№",B100,1)))</f>
        <v>#VALUE!</v>
      </c>
      <c r="D100" s="731"/>
      <c r="E100" s="731"/>
      <c r="F100" s="731"/>
      <c r="G100" s="731"/>
      <c r="H100" s="731"/>
      <c r="I100" s="731"/>
      <c r="J100" s="731"/>
      <c r="K100" s="731"/>
      <c r="L100" s="731"/>
      <c r="M100" s="731"/>
      <c r="N100" s="731"/>
      <c r="O100" s="731"/>
      <c r="P100" s="731"/>
      <c r="Q100" s="731"/>
      <c r="R100" s="731"/>
      <c r="S100" s="731"/>
      <c r="T100" s="731"/>
      <c r="U100" s="731"/>
      <c r="V100" s="731"/>
      <c r="W100" s="731"/>
      <c r="X100" s="731"/>
      <c r="Y100" s="732"/>
      <c r="Z100" s="727">
        <f ca="1">IFERROR(IF(OR(IFERROR(B100,0)=0,B100=""),0,1),0)</f>
        <v>0</v>
      </c>
      <c r="AA100" s="727"/>
      <c r="AB100" s="727"/>
      <c r="AC100" s="727"/>
      <c r="AD100" s="727"/>
      <c r="AE100" s="727"/>
      <c r="AF100" s="727"/>
      <c r="AG100" s="727"/>
      <c r="AH100" s="727"/>
      <c r="AI100" s="727"/>
      <c r="AJ100" s="727"/>
      <c r="AK100" s="727"/>
      <c r="AL100" s="727"/>
      <c r="AM100" s="727"/>
      <c r="AN100" s="727"/>
      <c r="AO100" s="727"/>
      <c r="AP100" s="727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729"/>
      <c r="BL100" s="729"/>
      <c r="BM100" s="729"/>
      <c r="BN100" s="729"/>
      <c r="BO100" s="729"/>
      <c r="BP100" s="729"/>
      <c r="BQ100" s="19">
        <f t="shared" ca="1" si="4"/>
        <v>0</v>
      </c>
    </row>
    <row r="101" spans="1:74" hidden="1">
      <c r="A101" s="542">
        <f ca="1">SUBTOTAL(9,$BQ$9:BQ101)</f>
        <v>40</v>
      </c>
      <c r="B101" s="543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0" t="e">
        <f ca="1">IF(B101="Контрольно-исполнительная съемка","б/н",MID(B101,SEARCH("№",B101,1),SEARCH(" ",B101,SEARCH("№",B101,1))-SEARCH("№",B101,1)))</f>
        <v>#VALUE!</v>
      </c>
      <c r="D101" s="731"/>
      <c r="E101" s="731"/>
      <c r="F101" s="731"/>
      <c r="G101" s="731"/>
      <c r="H101" s="731"/>
      <c r="I101" s="731"/>
      <c r="J101" s="731"/>
      <c r="K101" s="731"/>
      <c r="L101" s="731"/>
      <c r="M101" s="731"/>
      <c r="N101" s="731"/>
      <c r="O101" s="731"/>
      <c r="P101" s="731"/>
      <c r="Q101" s="731"/>
      <c r="R101" s="731"/>
      <c r="S101" s="731"/>
      <c r="T101" s="731"/>
      <c r="U101" s="731"/>
      <c r="V101" s="731"/>
      <c r="W101" s="731"/>
      <c r="X101" s="731"/>
      <c r="Y101" s="732"/>
      <c r="Z101" s="727">
        <f ca="1">IFERROR(IF(OR(IFERROR(B101,0)=0,B101=""),0,1),0)</f>
        <v>0</v>
      </c>
      <c r="AA101" s="727"/>
      <c r="AB101" s="727"/>
      <c r="AC101" s="727"/>
      <c r="AD101" s="727"/>
      <c r="AE101" s="727"/>
      <c r="AF101" s="727"/>
      <c r="AG101" s="727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729"/>
      <c r="BL101" s="729"/>
      <c r="BM101" s="729"/>
      <c r="BN101" s="729"/>
      <c r="BO101" s="729"/>
      <c r="BP101" s="729"/>
      <c r="BQ101" s="19">
        <f t="shared" ca="1" si="4"/>
        <v>0</v>
      </c>
      <c r="BV101" s="19" t="str">
        <f>MID(BV85,1,LEN(BV85))</f>
        <v/>
      </c>
    </row>
    <row r="102" spans="1:74" hidden="1">
      <c r="A102" s="542">
        <f ca="1">SUBTOTAL(9,$BQ$9:BQ102)</f>
        <v>40</v>
      </c>
      <c r="B102" s="543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0" t="e">
        <f ca="1">IF(B102="Контрольно-исполнительная съемка","б/н",MID(B102,SEARCH("№",B102,1),SEARCH(" ",B102,SEARCH("№",B102,1))-SEARCH("№",B102,1)))</f>
        <v>#VALUE!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31"/>
      <c r="V102" s="731"/>
      <c r="W102" s="731"/>
      <c r="X102" s="731"/>
      <c r="Y102" s="732"/>
      <c r="Z102" s="727">
        <f ca="1">IFERROR(IF(OR(IFERROR(B102,0)=0,B102=""),0,1),0)</f>
        <v>0</v>
      </c>
      <c r="AA102" s="727"/>
      <c r="AB102" s="727"/>
      <c r="AC102" s="727"/>
      <c r="AD102" s="727"/>
      <c r="AE102" s="727"/>
      <c r="AF102" s="727"/>
      <c r="AG102" s="727"/>
      <c r="AH102" s="727"/>
      <c r="AI102" s="727"/>
      <c r="AJ102" s="727"/>
      <c r="AK102" s="727"/>
      <c r="AL102" s="727"/>
      <c r="AM102" s="727"/>
      <c r="AN102" s="727"/>
      <c r="AO102" s="727"/>
      <c r="AP102" s="727"/>
      <c r="AQ102" s="729"/>
      <c r="AR102" s="729"/>
      <c r="AS102" s="729"/>
      <c r="AT102" s="729"/>
      <c r="AU102" s="729"/>
      <c r="AV102" s="729"/>
      <c r="AW102" s="729"/>
      <c r="AX102" s="729"/>
      <c r="AY102" s="729"/>
      <c r="AZ102" s="729"/>
      <c r="BA102" s="729"/>
      <c r="BB102" s="729"/>
      <c r="BC102" s="729"/>
      <c r="BD102" s="729"/>
      <c r="BE102" s="729"/>
      <c r="BF102" s="729"/>
      <c r="BG102" s="729"/>
      <c r="BH102" s="729"/>
      <c r="BI102" s="729"/>
      <c r="BJ102" s="729"/>
      <c r="BK102" s="729"/>
      <c r="BL102" s="729"/>
      <c r="BM102" s="729"/>
      <c r="BN102" s="729"/>
      <c r="BO102" s="729"/>
      <c r="BP102" s="729"/>
      <c r="BQ102" s="19">
        <f t="shared" ca="1" si="4"/>
        <v>0</v>
      </c>
    </row>
    <row r="103" spans="1:74" hidden="1">
      <c r="A103" s="542">
        <f ca="1">SUBTOTAL(9,$BQ$9:BQ103)</f>
        <v>40</v>
      </c>
      <c r="B103" s="543" t="str">
        <f ca="1">VLOOKUP(BS98,'АКТЫ скрытых работ'!A:O,14,FALSE)</f>
        <v>-</v>
      </c>
      <c r="C103" s="727" t="str">
        <f ca="1">IF(B103&lt;&gt;"-","б/н","")</f>
        <v/>
      </c>
      <c r="D103" s="727"/>
      <c r="E103" s="727"/>
      <c r="F103" s="727"/>
      <c r="G103" s="727"/>
      <c r="H103" s="727"/>
      <c r="I103" s="727"/>
      <c r="J103" s="727"/>
      <c r="K103" s="727"/>
      <c r="L103" s="727"/>
      <c r="M103" s="727"/>
      <c r="N103" s="727"/>
      <c r="O103" s="727"/>
      <c r="P103" s="727"/>
      <c r="Q103" s="727"/>
      <c r="R103" s="727"/>
      <c r="S103" s="727"/>
      <c r="T103" s="727"/>
      <c r="U103" s="727"/>
      <c r="V103" s="727"/>
      <c r="W103" s="727"/>
      <c r="X103" s="727"/>
      <c r="Y103" s="727"/>
      <c r="Z103" s="727">
        <f ca="1">IFERROR(IF(OR(IFERROR(B103,0)=0,B103="-"),0,"1 компл"),0)</f>
        <v>0</v>
      </c>
      <c r="AA103" s="727"/>
      <c r="AB103" s="727"/>
      <c r="AC103" s="727"/>
      <c r="AD103" s="727"/>
      <c r="AE103" s="727"/>
      <c r="AF103" s="727"/>
      <c r="AG103" s="727"/>
      <c r="AH103" s="727"/>
      <c r="AI103" s="727"/>
      <c r="AJ103" s="727"/>
      <c r="AK103" s="727"/>
      <c r="AL103" s="727"/>
      <c r="AM103" s="727"/>
      <c r="AN103" s="727"/>
      <c r="AO103" s="727"/>
      <c r="AP103" s="727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9"/>
      <c r="BL103" s="729"/>
      <c r="BM103" s="729"/>
      <c r="BN103" s="729"/>
      <c r="BO103" s="729"/>
      <c r="BP103" s="729"/>
      <c r="BQ103" s="19">
        <f t="shared" ca="1" si="4"/>
        <v>0</v>
      </c>
    </row>
    <row r="104" spans="1:74" ht="26">
      <c r="A104" s="542">
        <f ca="1">SUBTOTAL(9,$BQ$9:BQ104)</f>
        <v>41</v>
      </c>
      <c r="B104" s="543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27" t="str">
        <f ca="1">CONCATENATE("№",VLOOKUP(BS104,'АКТЫ скрытых работ'!A:O,2,FALSE))</f>
        <v>№2-КЗ_ОП</v>
      </c>
      <c r="D104" s="727"/>
      <c r="E104" s="727"/>
      <c r="F104" s="727"/>
      <c r="G104" s="727"/>
      <c r="H104" s="727"/>
      <c r="I104" s="727"/>
      <c r="J104" s="727"/>
      <c r="K104" s="727"/>
      <c r="L104" s="727"/>
      <c r="M104" s="727"/>
      <c r="N104" s="727"/>
      <c r="O104" s="727"/>
      <c r="P104" s="727"/>
      <c r="Q104" s="727"/>
      <c r="R104" s="727"/>
      <c r="S104" s="727"/>
      <c r="T104" s="727"/>
      <c r="U104" s="727"/>
      <c r="V104" s="727"/>
      <c r="W104" s="727"/>
      <c r="X104" s="727"/>
      <c r="Y104" s="727"/>
      <c r="Z104" s="727">
        <f ca="1">IF(BS104="АООК_",0,1)</f>
        <v>1</v>
      </c>
      <c r="AA104" s="727"/>
      <c r="AB104" s="727"/>
      <c r="AC104" s="727"/>
      <c r="AD104" s="727"/>
      <c r="AE104" s="727"/>
      <c r="AF104" s="727"/>
      <c r="AG104" s="727"/>
      <c r="AH104" s="727"/>
      <c r="AI104" s="727"/>
      <c r="AJ104" s="727"/>
      <c r="AK104" s="727"/>
      <c r="AL104" s="727"/>
      <c r="AM104" s="727"/>
      <c r="AN104" s="727"/>
      <c r="AO104" s="727"/>
      <c r="AP104" s="727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729"/>
      <c r="BL104" s="729"/>
      <c r="BM104" s="729"/>
      <c r="BN104" s="729"/>
      <c r="BO104" s="729"/>
      <c r="BP104" s="729"/>
      <c r="BQ104" s="19">
        <f t="shared" ca="1" si="4"/>
        <v>1</v>
      </c>
      <c r="BS104" s="569" t="str">
        <f ca="1">IF(INDIRECT("'АКТЫ скрытых работ'!R"&amp;BU104&amp;"C1",0)=CONCATENATE("АОСР_",BT104),CONCATENATE("АОСР_",BT104),CONCATENATE("АООК_",BT104))</f>
        <v>АОСР_5</v>
      </c>
      <c r="BT104" s="569">
        <v>5</v>
      </c>
      <c r="BU104" s="570">
        <f>BT104+1</f>
        <v>6</v>
      </c>
    </row>
    <row r="105" spans="1:74" ht="26">
      <c r="A105" s="542">
        <f ca="1">SUBTOTAL(9,$BQ$9:BQ105)</f>
        <v>42</v>
      </c>
      <c r="B105" s="545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 Монтаж контура заземления КК-0,4кВ</v>
      </c>
      <c r="C105" s="730" t="str">
        <f ca="1">IF(B105="Контрольно-исполнительная съемка","б/н",MID(B105,SEARCH("№",B105,1),SEARCH(" ",B105,SEARCH("№",B105,1))-SEARCH("№",B105,1)))</f>
        <v>№1</v>
      </c>
      <c r="D105" s="731"/>
      <c r="E105" s="731"/>
      <c r="F105" s="731"/>
      <c r="G105" s="731"/>
      <c r="H105" s="731"/>
      <c r="I105" s="731"/>
      <c r="J105" s="731"/>
      <c r="K105" s="731"/>
      <c r="L105" s="731"/>
      <c r="M105" s="731"/>
      <c r="N105" s="731"/>
      <c r="O105" s="731"/>
      <c r="P105" s="731"/>
      <c r="Q105" s="731"/>
      <c r="R105" s="731"/>
      <c r="S105" s="731"/>
      <c r="T105" s="731"/>
      <c r="U105" s="731"/>
      <c r="V105" s="731"/>
      <c r="W105" s="731"/>
      <c r="X105" s="731"/>
      <c r="Y105" s="732"/>
      <c r="Z105" s="727">
        <f ca="1">IFERROR(IF(OR(IFERROR(B105,0)=0,B105="-"),0,1),0)</f>
        <v>1</v>
      </c>
      <c r="AA105" s="727"/>
      <c r="AB105" s="727"/>
      <c r="AC105" s="727"/>
      <c r="AD105" s="727"/>
      <c r="AE105" s="727"/>
      <c r="AF105" s="727"/>
      <c r="AG105" s="727"/>
      <c r="AH105" s="727"/>
      <c r="AI105" s="727"/>
      <c r="AJ105" s="727"/>
      <c r="AK105" s="727"/>
      <c r="AL105" s="727"/>
      <c r="AM105" s="727"/>
      <c r="AN105" s="727"/>
      <c r="AO105" s="727"/>
      <c r="AP105" s="727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729"/>
      <c r="BL105" s="729"/>
      <c r="BM105" s="729"/>
      <c r="BN105" s="729"/>
      <c r="BO105" s="729"/>
      <c r="BP105" s="729"/>
      <c r="BQ105" s="19">
        <f t="shared" ca="1" si="4"/>
        <v>1</v>
      </c>
    </row>
    <row r="106" spans="1:74" hidden="1">
      <c r="A106" s="542">
        <f ca="1">SUBTOTAL(9,$BQ$9:BQ106)</f>
        <v>42</v>
      </c>
      <c r="B106" s="543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0" t="e">
        <f ca="1">IF(B106="Контрольно-исполнительная съемка","б/н",MID(B106,SEARCH("№",B106,1),SEARCH(" ",B106,SEARCH("№",B106,1))-SEARCH("№",B106,1)))</f>
        <v>#VALUE!</v>
      </c>
      <c r="D106" s="731"/>
      <c r="E106" s="731"/>
      <c r="F106" s="731"/>
      <c r="G106" s="731"/>
      <c r="H106" s="731"/>
      <c r="I106" s="731"/>
      <c r="J106" s="731"/>
      <c r="K106" s="731"/>
      <c r="L106" s="731"/>
      <c r="M106" s="731"/>
      <c r="N106" s="731"/>
      <c r="O106" s="731"/>
      <c r="P106" s="731"/>
      <c r="Q106" s="731"/>
      <c r="R106" s="731"/>
      <c r="S106" s="731"/>
      <c r="T106" s="731"/>
      <c r="U106" s="731"/>
      <c r="V106" s="731"/>
      <c r="W106" s="731"/>
      <c r="X106" s="731"/>
      <c r="Y106" s="732"/>
      <c r="Z106" s="727">
        <f ca="1">IFERROR(IF(OR(IFERROR(B106,0)=0,B106=""),0,1),0)</f>
        <v>0</v>
      </c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729"/>
      <c r="BL106" s="729"/>
      <c r="BM106" s="729"/>
      <c r="BN106" s="729"/>
      <c r="BO106" s="729"/>
      <c r="BP106" s="729"/>
      <c r="BQ106" s="19">
        <f t="shared" ca="1" si="4"/>
        <v>0</v>
      </c>
    </row>
    <row r="107" spans="1:74" hidden="1">
      <c r="A107" s="542">
        <f ca="1">SUBTOTAL(9,$BQ$9:BQ107)</f>
        <v>42</v>
      </c>
      <c r="B107" s="543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0" t="e">
        <f ca="1">IF(B107="Контрольно-исполнительная съемка","б/н",MID(B107,SEARCH("№",B107,1),SEARCH(" ",B107,SEARCH("№",B107,1))-SEARCH("№",B107,1)))</f>
        <v>#VALUE!</v>
      </c>
      <c r="D107" s="731"/>
      <c r="E107" s="731"/>
      <c r="F107" s="731"/>
      <c r="G107" s="731"/>
      <c r="H107" s="731"/>
      <c r="I107" s="731"/>
      <c r="J107" s="731"/>
      <c r="K107" s="731"/>
      <c r="L107" s="731"/>
      <c r="M107" s="731"/>
      <c r="N107" s="731"/>
      <c r="O107" s="731"/>
      <c r="P107" s="731"/>
      <c r="Q107" s="731"/>
      <c r="R107" s="731"/>
      <c r="S107" s="731"/>
      <c r="T107" s="731"/>
      <c r="U107" s="731"/>
      <c r="V107" s="731"/>
      <c r="W107" s="731"/>
      <c r="X107" s="731"/>
      <c r="Y107" s="732"/>
      <c r="Z107" s="727">
        <f ca="1">IFERROR(IF(OR(IFERROR(B107,0)=0,B107=""),0,1),0)</f>
        <v>0</v>
      </c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  <c r="AN107" s="727"/>
      <c r="AO107" s="727"/>
      <c r="AP107" s="727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9"/>
      <c r="BL107" s="729"/>
      <c r="BM107" s="729"/>
      <c r="BN107" s="729"/>
      <c r="BO107" s="729"/>
      <c r="BP107" s="729"/>
      <c r="BQ107" s="19">
        <f t="shared" ca="1" si="4"/>
        <v>0</v>
      </c>
      <c r="BV107" s="19" t="str">
        <f>MID(BV91,1,LEN(BV91))</f>
        <v/>
      </c>
    </row>
    <row r="108" spans="1:74" hidden="1">
      <c r="A108" s="542">
        <f ca="1">SUBTOTAL(9,$BQ$9:BQ108)</f>
        <v>42</v>
      </c>
      <c r="B108" s="543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0" t="e">
        <f ca="1">IF(B108="Контрольно-исполнительная съемка","б/н",MID(B108,SEARCH("№",B108,1),SEARCH(" ",B108,SEARCH("№",B108,1))-SEARCH("№",B108,1)))</f>
        <v>#VALUE!</v>
      </c>
      <c r="D108" s="731"/>
      <c r="E108" s="731"/>
      <c r="F108" s="731"/>
      <c r="G108" s="731"/>
      <c r="H108" s="731"/>
      <c r="I108" s="731"/>
      <c r="J108" s="731"/>
      <c r="K108" s="731"/>
      <c r="L108" s="731"/>
      <c r="M108" s="731"/>
      <c r="N108" s="731"/>
      <c r="O108" s="731"/>
      <c r="P108" s="731"/>
      <c r="Q108" s="731"/>
      <c r="R108" s="731"/>
      <c r="S108" s="731"/>
      <c r="T108" s="731"/>
      <c r="U108" s="731"/>
      <c r="V108" s="731"/>
      <c r="W108" s="731"/>
      <c r="X108" s="731"/>
      <c r="Y108" s="732"/>
      <c r="Z108" s="727">
        <f ca="1">IFERROR(IF(OR(IFERROR(B108,0)=0,B108=""),0,1),0)</f>
        <v>0</v>
      </c>
      <c r="AA108" s="727"/>
      <c r="AB108" s="727"/>
      <c r="AC108" s="727"/>
      <c r="AD108" s="727"/>
      <c r="AE108" s="727"/>
      <c r="AF108" s="727"/>
      <c r="AG108" s="727"/>
      <c r="AH108" s="727"/>
      <c r="AI108" s="727"/>
      <c r="AJ108" s="727"/>
      <c r="AK108" s="727"/>
      <c r="AL108" s="727"/>
      <c r="AM108" s="727"/>
      <c r="AN108" s="727"/>
      <c r="AO108" s="727"/>
      <c r="AP108" s="727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729"/>
      <c r="BL108" s="729"/>
      <c r="BM108" s="729"/>
      <c r="BN108" s="729"/>
      <c r="BO108" s="729"/>
      <c r="BP108" s="729"/>
      <c r="BQ108" s="19">
        <f t="shared" ca="1" si="4"/>
        <v>0</v>
      </c>
    </row>
    <row r="109" spans="1:74" ht="39">
      <c r="A109" s="542">
        <f ca="1">SUBTOTAL(9,$BQ$9:BQ109)</f>
        <v>43</v>
      </c>
      <c r="B109" s="543" t="str">
        <f ca="1">VLOOKUP(BS104,'АКТЫ скрытых работ'!A:O,14,FALSE)</f>
        <v>Информационное письмо №1157 от 26.10.2016 "Центр Декларирования Сертификации" (ООО "ЦДС)"</v>
      </c>
      <c r="C109" s="727" t="str">
        <f ca="1">IF(B109&lt;&gt;"-","б/н","")</f>
        <v>б/н</v>
      </c>
      <c r="D109" s="727"/>
      <c r="E109" s="727"/>
      <c r="F109" s="727"/>
      <c r="G109" s="727"/>
      <c r="H109" s="727"/>
      <c r="I109" s="727"/>
      <c r="J109" s="727"/>
      <c r="K109" s="727"/>
      <c r="L109" s="727"/>
      <c r="M109" s="727"/>
      <c r="N109" s="727"/>
      <c r="O109" s="727"/>
      <c r="P109" s="727"/>
      <c r="Q109" s="727"/>
      <c r="R109" s="727"/>
      <c r="S109" s="727"/>
      <c r="T109" s="727"/>
      <c r="U109" s="727"/>
      <c r="V109" s="727"/>
      <c r="W109" s="727"/>
      <c r="X109" s="727"/>
      <c r="Y109" s="727"/>
      <c r="Z109" s="727" t="str">
        <f ca="1">IFERROR(IF(OR(IFERROR(B109,0)=0,B109="-"),0,"1 компл"),0)</f>
        <v>1 компл</v>
      </c>
      <c r="AA109" s="727"/>
      <c r="AB109" s="727"/>
      <c r="AC109" s="727"/>
      <c r="AD109" s="727"/>
      <c r="AE109" s="727"/>
      <c r="AF109" s="727"/>
      <c r="AG109" s="727"/>
      <c r="AH109" s="727"/>
      <c r="AI109" s="727"/>
      <c r="AJ109" s="727"/>
      <c r="AK109" s="727"/>
      <c r="AL109" s="727"/>
      <c r="AM109" s="727"/>
      <c r="AN109" s="727"/>
      <c r="AO109" s="727"/>
      <c r="AP109" s="727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729"/>
      <c r="BL109" s="729"/>
      <c r="BM109" s="729"/>
      <c r="BN109" s="729"/>
      <c r="BO109" s="729"/>
      <c r="BP109" s="729"/>
      <c r="BQ109" s="19">
        <f t="shared" ca="1" si="4"/>
        <v>1</v>
      </c>
    </row>
    <row r="110" spans="1:74" ht="26">
      <c r="A110" s="542">
        <f ca="1">SUBTOTAL(9,$BQ$9:BQ110)</f>
        <v>44</v>
      </c>
      <c r="B110" s="543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27" t="str">
        <f ca="1">CONCATENATE("№",VLOOKUP(BS110,'АКТЫ скрытых работ'!A:O,2,FALSE))</f>
        <v>№3-КЗ_ОП</v>
      </c>
      <c r="D110" s="727"/>
      <c r="E110" s="727"/>
      <c r="F110" s="727"/>
      <c r="G110" s="727"/>
      <c r="H110" s="727"/>
      <c r="I110" s="727"/>
      <c r="J110" s="727"/>
      <c r="K110" s="727"/>
      <c r="L110" s="727"/>
      <c r="M110" s="727"/>
      <c r="N110" s="727"/>
      <c r="O110" s="727"/>
      <c r="P110" s="727"/>
      <c r="Q110" s="727"/>
      <c r="R110" s="727"/>
      <c r="S110" s="727"/>
      <c r="T110" s="727"/>
      <c r="U110" s="727"/>
      <c r="V110" s="727"/>
      <c r="W110" s="727"/>
      <c r="X110" s="727"/>
      <c r="Y110" s="727"/>
      <c r="Z110" s="727">
        <f ca="1">IF(BS110="АООК_",0,1)</f>
        <v>1</v>
      </c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729"/>
      <c r="BL110" s="729"/>
      <c r="BM110" s="729"/>
      <c r="BN110" s="729"/>
      <c r="BO110" s="729"/>
      <c r="BP110" s="729"/>
      <c r="BQ110" s="19">
        <f t="shared" ca="1" si="4"/>
        <v>1</v>
      </c>
      <c r="BS110" s="569" t="str">
        <f ca="1">IF(INDIRECT("'АКТЫ скрытых работ'!R"&amp;BU110&amp;"C1",0)=CONCATENATE("АОСР_",BT110),CONCATENATE("АОСР_",BT110),CONCATENATE("АООК_",BT110))</f>
        <v>АОСР_6</v>
      </c>
      <c r="BT110" s="569">
        <v>6</v>
      </c>
      <c r="BU110" s="570">
        <f>BT110+1</f>
        <v>7</v>
      </c>
    </row>
    <row r="111" spans="1:74" ht="26">
      <c r="A111" s="542">
        <f ca="1">SUBTOTAL(9,$BQ$9:BQ111)</f>
        <v>45</v>
      </c>
      <c r="B111" s="545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 Монтаж контура заземления КК-0,4кВ</v>
      </c>
      <c r="C111" s="730" t="str">
        <f ca="1">IF(B111="Контрольно-исполнительная съемка","б/н",MID(B111,SEARCH("№",B111,1),SEARCH(" ",B111,SEARCH("№",B111,1))-SEARCH("№",B111,1)))</f>
        <v>№1</v>
      </c>
      <c r="D111" s="731"/>
      <c r="E111" s="731"/>
      <c r="F111" s="731"/>
      <c r="G111" s="731"/>
      <c r="H111" s="731"/>
      <c r="I111" s="731"/>
      <c r="J111" s="731"/>
      <c r="K111" s="731"/>
      <c r="L111" s="731"/>
      <c r="M111" s="731"/>
      <c r="N111" s="731"/>
      <c r="O111" s="731"/>
      <c r="P111" s="731"/>
      <c r="Q111" s="731"/>
      <c r="R111" s="731"/>
      <c r="S111" s="731"/>
      <c r="T111" s="731"/>
      <c r="U111" s="731"/>
      <c r="V111" s="731"/>
      <c r="W111" s="731"/>
      <c r="X111" s="731"/>
      <c r="Y111" s="732"/>
      <c r="Z111" s="727">
        <f ca="1">IFERROR(IF(OR(IFERROR(B111,0)=0,B111="-"),0,1),0)</f>
        <v>1</v>
      </c>
      <c r="AA111" s="727"/>
      <c r="AB111" s="727"/>
      <c r="AC111" s="727"/>
      <c r="AD111" s="727"/>
      <c r="AE111" s="727"/>
      <c r="AF111" s="727"/>
      <c r="AG111" s="727"/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9"/>
      <c r="BL111" s="729"/>
      <c r="BM111" s="729"/>
      <c r="BN111" s="729"/>
      <c r="BO111" s="729"/>
      <c r="BP111" s="729"/>
      <c r="BQ111" s="19">
        <f t="shared" ca="1" si="4"/>
        <v>1</v>
      </c>
    </row>
    <row r="112" spans="1:74" hidden="1">
      <c r="A112" s="542">
        <f ca="1">SUBTOTAL(9,$BQ$9:BQ112)</f>
        <v>45</v>
      </c>
      <c r="B112" s="543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0" t="e">
        <f ca="1">IF(B112="Контрольно-исполнительная съемка","б/н",MID(B112,SEARCH("№",B112,1),SEARCH(" ",B112,SEARCH("№",B112,1))-SEARCH("№",B112,1)))</f>
        <v>#VALUE!</v>
      </c>
      <c r="D112" s="731"/>
      <c r="E112" s="731"/>
      <c r="F112" s="731"/>
      <c r="G112" s="731"/>
      <c r="H112" s="731"/>
      <c r="I112" s="731"/>
      <c r="J112" s="731"/>
      <c r="K112" s="731"/>
      <c r="L112" s="731"/>
      <c r="M112" s="731"/>
      <c r="N112" s="731"/>
      <c r="O112" s="731"/>
      <c r="P112" s="731"/>
      <c r="Q112" s="731"/>
      <c r="R112" s="731"/>
      <c r="S112" s="731"/>
      <c r="T112" s="731"/>
      <c r="U112" s="731"/>
      <c r="V112" s="731"/>
      <c r="W112" s="731"/>
      <c r="X112" s="731"/>
      <c r="Y112" s="732"/>
      <c r="Z112" s="727">
        <f ca="1">IFERROR(IF(OR(IFERROR(B112,0)=0,B112=""),0,1),0)</f>
        <v>0</v>
      </c>
      <c r="AA112" s="727"/>
      <c r="AB112" s="727"/>
      <c r="AC112" s="727"/>
      <c r="AD112" s="727"/>
      <c r="AE112" s="727"/>
      <c r="AF112" s="727"/>
      <c r="AG112" s="727"/>
      <c r="AH112" s="727"/>
      <c r="AI112" s="727"/>
      <c r="AJ112" s="727"/>
      <c r="AK112" s="727"/>
      <c r="AL112" s="727"/>
      <c r="AM112" s="727"/>
      <c r="AN112" s="727"/>
      <c r="AO112" s="727"/>
      <c r="AP112" s="727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729"/>
      <c r="BL112" s="729"/>
      <c r="BM112" s="729"/>
      <c r="BN112" s="729"/>
      <c r="BO112" s="729"/>
      <c r="BP112" s="729"/>
      <c r="BQ112" s="19">
        <f t="shared" ca="1" si="4"/>
        <v>0</v>
      </c>
    </row>
    <row r="113" spans="1:74" hidden="1">
      <c r="A113" s="542">
        <f ca="1">SUBTOTAL(9,$BQ$9:BQ113)</f>
        <v>45</v>
      </c>
      <c r="B113" s="543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0" t="e">
        <f ca="1">IF(B113="Контрольно-исполнительная съемка","б/н",MID(B113,SEARCH("№",B113,1),SEARCH(" ",B113,SEARCH("№",B113,1))-SEARCH("№",B113,1)))</f>
        <v>#VALUE!</v>
      </c>
      <c r="D113" s="731"/>
      <c r="E113" s="731"/>
      <c r="F113" s="731"/>
      <c r="G113" s="731"/>
      <c r="H113" s="731"/>
      <c r="I113" s="731"/>
      <c r="J113" s="731"/>
      <c r="K113" s="731"/>
      <c r="L113" s="731"/>
      <c r="M113" s="731"/>
      <c r="N113" s="731"/>
      <c r="O113" s="731"/>
      <c r="P113" s="731"/>
      <c r="Q113" s="731"/>
      <c r="R113" s="731"/>
      <c r="S113" s="731"/>
      <c r="T113" s="731"/>
      <c r="U113" s="731"/>
      <c r="V113" s="731"/>
      <c r="W113" s="731"/>
      <c r="X113" s="731"/>
      <c r="Y113" s="732"/>
      <c r="Z113" s="727">
        <f ca="1">IFERROR(IF(OR(IFERROR(B113,0)=0,B113=""),0,1),0)</f>
        <v>0</v>
      </c>
      <c r="AA113" s="727"/>
      <c r="AB113" s="727"/>
      <c r="AC113" s="727"/>
      <c r="AD113" s="727"/>
      <c r="AE113" s="727"/>
      <c r="AF113" s="727"/>
      <c r="AG113" s="727"/>
      <c r="AH113" s="727"/>
      <c r="AI113" s="727"/>
      <c r="AJ113" s="727"/>
      <c r="AK113" s="727"/>
      <c r="AL113" s="727"/>
      <c r="AM113" s="727"/>
      <c r="AN113" s="727"/>
      <c r="AO113" s="727"/>
      <c r="AP113" s="727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729"/>
      <c r="BL113" s="729"/>
      <c r="BM113" s="729"/>
      <c r="BN113" s="729"/>
      <c r="BO113" s="729"/>
      <c r="BP113" s="729"/>
      <c r="BQ113" s="19">
        <f t="shared" ca="1" si="4"/>
        <v>0</v>
      </c>
      <c r="BV113" s="19" t="str">
        <f>MID(BV97,1,LEN(BV97))</f>
        <v/>
      </c>
    </row>
    <row r="114" spans="1:74" hidden="1">
      <c r="A114" s="542">
        <f ca="1">SUBTOTAL(9,$BQ$9:BQ114)</f>
        <v>45</v>
      </c>
      <c r="B114" s="543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0" t="e">
        <f ca="1">IF(B114="Контрольно-исполнительная съемка","б/н",MID(B114,SEARCH("№",B114,1),SEARCH(" ",B114,SEARCH("№",B114,1))-SEARCH("№",B114,1)))</f>
        <v>#VALUE!</v>
      </c>
      <c r="D114" s="731"/>
      <c r="E114" s="731"/>
      <c r="F114" s="731"/>
      <c r="G114" s="731"/>
      <c r="H114" s="731"/>
      <c r="I114" s="731"/>
      <c r="J114" s="731"/>
      <c r="K114" s="731"/>
      <c r="L114" s="731"/>
      <c r="M114" s="731"/>
      <c r="N114" s="731"/>
      <c r="O114" s="731"/>
      <c r="P114" s="731"/>
      <c r="Q114" s="731"/>
      <c r="R114" s="731"/>
      <c r="S114" s="731"/>
      <c r="T114" s="731"/>
      <c r="U114" s="731"/>
      <c r="V114" s="731"/>
      <c r="W114" s="731"/>
      <c r="X114" s="731"/>
      <c r="Y114" s="732"/>
      <c r="Z114" s="727">
        <f ca="1">IFERROR(IF(OR(IFERROR(B114,0)=0,B114=""),0,1),0)</f>
        <v>0</v>
      </c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729"/>
      <c r="BL114" s="729"/>
      <c r="BM114" s="729"/>
      <c r="BN114" s="729"/>
      <c r="BO114" s="729"/>
      <c r="BP114" s="729"/>
      <c r="BQ114" s="19">
        <f t="shared" ca="1" si="4"/>
        <v>0</v>
      </c>
    </row>
    <row r="115" spans="1:74" ht="52">
      <c r="A115" s="542">
        <f ca="1">SUBTOTAL(9,$BQ$9:BQ115)</f>
        <v>46</v>
      </c>
      <c r="B115" s="543" t="str">
        <f ca="1">VLOOKUP(BS110,'АКТЫ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15" s="727" t="str">
        <f ca="1">IF(B115&lt;&gt;"-","б/н","")</f>
        <v>б/н</v>
      </c>
      <c r="D115" s="727"/>
      <c r="E115" s="727"/>
      <c r="F115" s="727"/>
      <c r="G115" s="727"/>
      <c r="H115" s="727"/>
      <c r="I115" s="727"/>
      <c r="J115" s="727"/>
      <c r="K115" s="727"/>
      <c r="L115" s="727"/>
      <c r="M115" s="727"/>
      <c r="N115" s="727"/>
      <c r="O115" s="727"/>
      <c r="P115" s="727"/>
      <c r="Q115" s="727"/>
      <c r="R115" s="727"/>
      <c r="S115" s="727"/>
      <c r="T115" s="727"/>
      <c r="U115" s="727"/>
      <c r="V115" s="727"/>
      <c r="W115" s="727"/>
      <c r="X115" s="727"/>
      <c r="Y115" s="727"/>
      <c r="Z115" s="727" t="str">
        <f ca="1">IFERROR(IF(OR(IFERROR(B115,0)=0,B115="-"),0,"1 компл"),0)</f>
        <v>1 компл</v>
      </c>
      <c r="AA115" s="727"/>
      <c r="AB115" s="727"/>
      <c r="AC115" s="727"/>
      <c r="AD115" s="727"/>
      <c r="AE115" s="727"/>
      <c r="AF115" s="727"/>
      <c r="AG115" s="727"/>
      <c r="AH115" s="727"/>
      <c r="AI115" s="727"/>
      <c r="AJ115" s="727"/>
      <c r="AK115" s="727"/>
      <c r="AL115" s="727"/>
      <c r="AM115" s="727"/>
      <c r="AN115" s="727"/>
      <c r="AO115" s="727"/>
      <c r="AP115" s="727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9"/>
      <c r="BL115" s="729"/>
      <c r="BM115" s="729"/>
      <c r="BN115" s="729"/>
      <c r="BO115" s="729"/>
      <c r="BP115" s="729"/>
      <c r="BQ115" s="19">
        <f t="shared" ca="1" si="4"/>
        <v>1</v>
      </c>
    </row>
    <row r="116" spans="1:74" ht="26">
      <c r="A116" s="542">
        <f ca="1">SUBTOTAL(9,$BQ$9:BQ116)</f>
        <v>47</v>
      </c>
      <c r="B116" s="543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27" t="str">
        <f ca="1">CONCATENATE("№",VLOOKUP(BS116,'АКТЫ скрытых работ'!A:O,2,FALSE))</f>
        <v>№4-КЗ_ОП</v>
      </c>
      <c r="D116" s="727"/>
      <c r="E116" s="727"/>
      <c r="F116" s="727"/>
      <c r="G116" s="727"/>
      <c r="H116" s="727"/>
      <c r="I116" s="727"/>
      <c r="J116" s="727"/>
      <c r="K116" s="727"/>
      <c r="L116" s="727"/>
      <c r="M116" s="727"/>
      <c r="N116" s="727"/>
      <c r="O116" s="727"/>
      <c r="P116" s="727"/>
      <c r="Q116" s="727"/>
      <c r="R116" s="727"/>
      <c r="S116" s="727"/>
      <c r="T116" s="727"/>
      <c r="U116" s="727"/>
      <c r="V116" s="727"/>
      <c r="W116" s="727"/>
      <c r="X116" s="727"/>
      <c r="Y116" s="727"/>
      <c r="Z116" s="727">
        <f ca="1">IF(BS116="АООК_",0,1)</f>
        <v>1</v>
      </c>
      <c r="AA116" s="727"/>
      <c r="AB116" s="727"/>
      <c r="AC116" s="727"/>
      <c r="AD116" s="727"/>
      <c r="AE116" s="727"/>
      <c r="AF116" s="727"/>
      <c r="AG116" s="727"/>
      <c r="AH116" s="727"/>
      <c r="AI116" s="727"/>
      <c r="AJ116" s="727"/>
      <c r="AK116" s="727"/>
      <c r="AL116" s="727"/>
      <c r="AM116" s="727"/>
      <c r="AN116" s="727"/>
      <c r="AO116" s="727"/>
      <c r="AP116" s="727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729"/>
      <c r="BL116" s="729"/>
      <c r="BM116" s="729"/>
      <c r="BN116" s="729"/>
      <c r="BO116" s="729"/>
      <c r="BP116" s="729"/>
      <c r="BQ116" s="19">
        <f t="shared" ca="1" si="4"/>
        <v>1</v>
      </c>
      <c r="BS116" s="569" t="str">
        <f ca="1">IF(INDIRECT("'АКТЫ скрытых работ'!R"&amp;BU116&amp;"C1",0)=CONCATENATE("АОСР_",BT116),CONCATENATE("АОСР_",BT116),CONCATENATE("АООК_",BT116))</f>
        <v>АОСР_7</v>
      </c>
      <c r="BT116" s="569">
        <v>7</v>
      </c>
      <c r="BU116" s="570">
        <f>BT116+1</f>
        <v>8</v>
      </c>
    </row>
    <row r="117" spans="1:74" ht="26">
      <c r="A117" s="542">
        <f ca="1">SUBTOTAL(9,$BQ$9:BQ117)</f>
        <v>48</v>
      </c>
      <c r="B117" s="545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 Монтаж контура заземления КК-0,4кВ</v>
      </c>
      <c r="C117" s="730" t="str">
        <f ca="1">IF(B117="Контрольно-исполнительная съемка","б/н",MID(B117,SEARCH("№",B117,1),SEARCH(" ",B117,SEARCH("№",B117,1))-SEARCH("№",B117,1)))</f>
        <v>№1</v>
      </c>
      <c r="D117" s="731"/>
      <c r="E117" s="731"/>
      <c r="F117" s="731"/>
      <c r="G117" s="731"/>
      <c r="H117" s="731"/>
      <c r="I117" s="731"/>
      <c r="J117" s="731"/>
      <c r="K117" s="731"/>
      <c r="L117" s="731"/>
      <c r="M117" s="731"/>
      <c r="N117" s="731"/>
      <c r="O117" s="731"/>
      <c r="P117" s="731"/>
      <c r="Q117" s="731"/>
      <c r="R117" s="731"/>
      <c r="S117" s="731"/>
      <c r="T117" s="731"/>
      <c r="U117" s="731"/>
      <c r="V117" s="731"/>
      <c r="W117" s="731"/>
      <c r="X117" s="731"/>
      <c r="Y117" s="732"/>
      <c r="Z117" s="727">
        <f ca="1">IFERROR(IF(OR(IFERROR(B117,0)=0,B117="-"),0,1),0)</f>
        <v>1</v>
      </c>
      <c r="AA117" s="727"/>
      <c r="AB117" s="727"/>
      <c r="AC117" s="727"/>
      <c r="AD117" s="727"/>
      <c r="AE117" s="727"/>
      <c r="AF117" s="727"/>
      <c r="AG117" s="727"/>
      <c r="AH117" s="727"/>
      <c r="AI117" s="727"/>
      <c r="AJ117" s="727"/>
      <c r="AK117" s="727"/>
      <c r="AL117" s="727"/>
      <c r="AM117" s="727"/>
      <c r="AN117" s="727"/>
      <c r="AO117" s="727"/>
      <c r="AP117" s="727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729"/>
      <c r="BL117" s="729"/>
      <c r="BM117" s="729"/>
      <c r="BN117" s="729"/>
      <c r="BO117" s="729"/>
      <c r="BP117" s="729"/>
      <c r="BQ117" s="19">
        <f t="shared" ca="1" si="4"/>
        <v>1</v>
      </c>
    </row>
    <row r="118" spans="1:74" hidden="1">
      <c r="A118" s="542">
        <f ca="1">SUBTOTAL(9,$BQ$9:BQ118)</f>
        <v>48</v>
      </c>
      <c r="B118" s="543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0" t="e">
        <f ca="1">IF(B118="Контрольно-исполнительная съемка","б/н",MID(B118,SEARCH("№",B118,1),SEARCH(" ",B118,SEARCH("№",B118,1))-SEARCH("№",B118,1)))</f>
        <v>#VALUE!</v>
      </c>
      <c r="D118" s="731"/>
      <c r="E118" s="731"/>
      <c r="F118" s="731"/>
      <c r="G118" s="731"/>
      <c r="H118" s="731"/>
      <c r="I118" s="731"/>
      <c r="J118" s="731"/>
      <c r="K118" s="731"/>
      <c r="L118" s="731"/>
      <c r="M118" s="731"/>
      <c r="N118" s="731"/>
      <c r="O118" s="731"/>
      <c r="P118" s="731"/>
      <c r="Q118" s="731"/>
      <c r="R118" s="731"/>
      <c r="S118" s="731"/>
      <c r="T118" s="731"/>
      <c r="U118" s="731"/>
      <c r="V118" s="731"/>
      <c r="W118" s="731"/>
      <c r="X118" s="731"/>
      <c r="Y118" s="732"/>
      <c r="Z118" s="727">
        <f ca="1">IFERROR(IF(OR(IFERROR(B118,0)=0,B118=""),0,1),0)</f>
        <v>0</v>
      </c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729"/>
      <c r="BL118" s="729"/>
      <c r="BM118" s="729"/>
      <c r="BN118" s="729"/>
      <c r="BO118" s="729"/>
      <c r="BP118" s="729"/>
      <c r="BQ118" s="19">
        <f t="shared" ca="1" si="4"/>
        <v>0</v>
      </c>
    </row>
    <row r="119" spans="1:74" hidden="1">
      <c r="A119" s="542">
        <f ca="1">SUBTOTAL(9,$BQ$9:BQ119)</f>
        <v>48</v>
      </c>
      <c r="B119" s="543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0" t="e">
        <f ca="1">IF(B119="Контрольно-исполнительная съемка","б/н",MID(B119,SEARCH("№",B119,1),SEARCH(" ",B119,SEARCH("№",B119,1))-SEARCH("№",B119,1)))</f>
        <v>#VALUE!</v>
      </c>
      <c r="D119" s="731"/>
      <c r="E119" s="731"/>
      <c r="F119" s="731"/>
      <c r="G119" s="731"/>
      <c r="H119" s="731"/>
      <c r="I119" s="731"/>
      <c r="J119" s="731"/>
      <c r="K119" s="731"/>
      <c r="L119" s="731"/>
      <c r="M119" s="731"/>
      <c r="N119" s="731"/>
      <c r="O119" s="731"/>
      <c r="P119" s="731"/>
      <c r="Q119" s="731"/>
      <c r="R119" s="731"/>
      <c r="S119" s="731"/>
      <c r="T119" s="731"/>
      <c r="U119" s="731"/>
      <c r="V119" s="731"/>
      <c r="W119" s="731"/>
      <c r="X119" s="731"/>
      <c r="Y119" s="732"/>
      <c r="Z119" s="727">
        <f ca="1">IFERROR(IF(OR(IFERROR(B119,0)=0,B119=""),0,1),0)</f>
        <v>0</v>
      </c>
      <c r="AA119" s="727"/>
      <c r="AB119" s="727"/>
      <c r="AC119" s="727"/>
      <c r="AD119" s="727"/>
      <c r="AE119" s="727"/>
      <c r="AF119" s="727"/>
      <c r="AG119" s="727"/>
      <c r="AH119" s="727"/>
      <c r="AI119" s="727"/>
      <c r="AJ119" s="727"/>
      <c r="AK119" s="727"/>
      <c r="AL119" s="727"/>
      <c r="AM119" s="727"/>
      <c r="AN119" s="727"/>
      <c r="AO119" s="727"/>
      <c r="AP119" s="727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9"/>
      <c r="BL119" s="729"/>
      <c r="BM119" s="729"/>
      <c r="BN119" s="729"/>
      <c r="BO119" s="729"/>
      <c r="BP119" s="729"/>
      <c r="BQ119" s="19">
        <f t="shared" ca="1" si="4"/>
        <v>0</v>
      </c>
      <c r="BV119" s="19" t="str">
        <f>MID(BV103,1,LEN(BV103))</f>
        <v/>
      </c>
    </row>
    <row r="120" spans="1:74" hidden="1">
      <c r="A120" s="542">
        <f ca="1">SUBTOTAL(9,$BQ$9:BQ120)</f>
        <v>48</v>
      </c>
      <c r="B120" s="543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0" t="e">
        <f ca="1">IF(B120="Контрольно-исполнительная съемка","б/н",MID(B120,SEARCH("№",B120,1),SEARCH(" ",B120,SEARCH("№",B120,1))-SEARCH("№",B120,1)))</f>
        <v>#VALUE!</v>
      </c>
      <c r="D120" s="731"/>
      <c r="E120" s="731"/>
      <c r="F120" s="731"/>
      <c r="G120" s="731"/>
      <c r="H120" s="731"/>
      <c r="I120" s="731"/>
      <c r="J120" s="731"/>
      <c r="K120" s="731"/>
      <c r="L120" s="731"/>
      <c r="M120" s="731"/>
      <c r="N120" s="731"/>
      <c r="O120" s="731"/>
      <c r="P120" s="731"/>
      <c r="Q120" s="731"/>
      <c r="R120" s="731"/>
      <c r="S120" s="731"/>
      <c r="T120" s="731"/>
      <c r="U120" s="731"/>
      <c r="V120" s="731"/>
      <c r="W120" s="731"/>
      <c r="X120" s="731"/>
      <c r="Y120" s="732"/>
      <c r="Z120" s="727">
        <f ca="1">IFERROR(IF(OR(IFERROR(B120,0)=0,B120=""),0,1),0)</f>
        <v>0</v>
      </c>
      <c r="AA120" s="727"/>
      <c r="AB120" s="727"/>
      <c r="AC120" s="727"/>
      <c r="AD120" s="727"/>
      <c r="AE120" s="727"/>
      <c r="AF120" s="727"/>
      <c r="AG120" s="727"/>
      <c r="AH120" s="727"/>
      <c r="AI120" s="727"/>
      <c r="AJ120" s="727"/>
      <c r="AK120" s="727"/>
      <c r="AL120" s="727"/>
      <c r="AM120" s="727"/>
      <c r="AN120" s="727"/>
      <c r="AO120" s="727"/>
      <c r="AP120" s="727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729"/>
      <c r="BL120" s="729"/>
      <c r="BM120" s="729"/>
      <c r="BN120" s="729"/>
      <c r="BO120" s="729"/>
      <c r="BP120" s="729"/>
      <c r="BQ120" s="19">
        <f t="shared" ca="1" si="4"/>
        <v>0</v>
      </c>
    </row>
    <row r="121" spans="1:74" ht="26">
      <c r="A121" s="542">
        <f ca="1">SUBTOTAL(9,$BQ$9:BQ121)</f>
        <v>49</v>
      </c>
      <c r="B121" s="543" t="str">
        <f ca="1">VLOOKUP(BS116,'АКТЫ скрытых работ'!A:O,14,FALSE)</f>
        <v>Отказное письмо исх. №60-12/2020 от 12.05.2020 ООО "Биквест-Центр"</v>
      </c>
      <c r="C121" s="727" t="str">
        <f ca="1">IF(B121&lt;&gt;"-","б/н","")</f>
        <v>б/н</v>
      </c>
      <c r="D121" s="727"/>
      <c r="E121" s="727"/>
      <c r="F121" s="727"/>
      <c r="G121" s="727"/>
      <c r="H121" s="727"/>
      <c r="I121" s="727"/>
      <c r="J121" s="727"/>
      <c r="K121" s="727"/>
      <c r="L121" s="727"/>
      <c r="M121" s="727"/>
      <c r="N121" s="727"/>
      <c r="O121" s="727"/>
      <c r="P121" s="727"/>
      <c r="Q121" s="727"/>
      <c r="R121" s="727"/>
      <c r="S121" s="727"/>
      <c r="T121" s="727"/>
      <c r="U121" s="727"/>
      <c r="V121" s="727"/>
      <c r="W121" s="727"/>
      <c r="X121" s="727"/>
      <c r="Y121" s="727"/>
      <c r="Z121" s="727" t="str">
        <f ca="1">IFERROR(IF(OR(IFERROR(B121,0)=0,B121="-"),0,"1 компл"),0)</f>
        <v>1 компл</v>
      </c>
      <c r="AA121" s="727"/>
      <c r="AB121" s="727"/>
      <c r="AC121" s="727"/>
      <c r="AD121" s="727"/>
      <c r="AE121" s="727"/>
      <c r="AF121" s="727"/>
      <c r="AG121" s="727"/>
      <c r="AH121" s="727"/>
      <c r="AI121" s="727"/>
      <c r="AJ121" s="727"/>
      <c r="AK121" s="727"/>
      <c r="AL121" s="727"/>
      <c r="AM121" s="727"/>
      <c r="AN121" s="727"/>
      <c r="AO121" s="727"/>
      <c r="AP121" s="727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729"/>
      <c r="BL121" s="729"/>
      <c r="BM121" s="729"/>
      <c r="BN121" s="729"/>
      <c r="BO121" s="729"/>
      <c r="BP121" s="729"/>
      <c r="BQ121" s="19">
        <f t="shared" ca="1" si="4"/>
        <v>1</v>
      </c>
    </row>
    <row r="122" spans="1:74" ht="26">
      <c r="A122" s="542">
        <f ca="1">SUBTOTAL(9,$BQ$9:BQ122)</f>
        <v>50</v>
      </c>
      <c r="B122" s="543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27" t="str">
        <f ca="1">CONCATENATE("№",VLOOKUP(BS122,'АКТЫ скрытых работ'!A:O,2,FALSE))</f>
        <v>№5-КЗ_ОП</v>
      </c>
      <c r="D122" s="727"/>
      <c r="E122" s="727"/>
      <c r="F122" s="727"/>
      <c r="G122" s="727"/>
      <c r="H122" s="727"/>
      <c r="I122" s="727"/>
      <c r="J122" s="727"/>
      <c r="K122" s="727"/>
      <c r="L122" s="727"/>
      <c r="M122" s="727"/>
      <c r="N122" s="727"/>
      <c r="O122" s="727"/>
      <c r="P122" s="727"/>
      <c r="Q122" s="727"/>
      <c r="R122" s="727"/>
      <c r="S122" s="727"/>
      <c r="T122" s="727"/>
      <c r="U122" s="727"/>
      <c r="V122" s="727"/>
      <c r="W122" s="727"/>
      <c r="X122" s="727"/>
      <c r="Y122" s="727"/>
      <c r="Z122" s="727">
        <f ca="1">IF(BS122="АООК_",0,1)</f>
        <v>1</v>
      </c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729"/>
      <c r="BL122" s="729"/>
      <c r="BM122" s="729"/>
      <c r="BN122" s="729"/>
      <c r="BO122" s="729"/>
      <c r="BP122" s="729"/>
      <c r="BQ122" s="19">
        <f t="shared" ca="1" si="4"/>
        <v>1</v>
      </c>
      <c r="BS122" s="569" t="str">
        <f ca="1">IF(INDIRECT("'АКТЫ скрытых работ'!R"&amp;BU122&amp;"C1",0)=CONCATENATE("АОСР_",BT122),CONCATENATE("АОСР_",BT122),CONCATENATE("АООК_",BT122))</f>
        <v>АОСР_8</v>
      </c>
      <c r="BT122" s="569">
        <v>8</v>
      </c>
      <c r="BU122" s="570">
        <f>BT122+1</f>
        <v>9</v>
      </c>
    </row>
    <row r="123" spans="1:74" ht="26">
      <c r="A123" s="542">
        <f ca="1">SUBTOTAL(9,$BQ$9:BQ123)</f>
        <v>51</v>
      </c>
      <c r="B123" s="545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 Монтаж контура заземления КК-0,4кВ</v>
      </c>
      <c r="C123" s="730" t="str">
        <f ca="1">IF(B123="Контрольно-исполнительная съемка","б/н",MID(B123,SEARCH("№",B123,1),SEARCH(" ",B123,SEARCH("№",B123,1))-SEARCH("№",B123,1)))</f>
        <v>№1</v>
      </c>
      <c r="D123" s="731"/>
      <c r="E123" s="731"/>
      <c r="F123" s="731"/>
      <c r="G123" s="731"/>
      <c r="H123" s="731"/>
      <c r="I123" s="731"/>
      <c r="J123" s="731"/>
      <c r="K123" s="731"/>
      <c r="L123" s="731"/>
      <c r="M123" s="731"/>
      <c r="N123" s="731"/>
      <c r="O123" s="731"/>
      <c r="P123" s="731"/>
      <c r="Q123" s="731"/>
      <c r="R123" s="731"/>
      <c r="S123" s="731"/>
      <c r="T123" s="731"/>
      <c r="U123" s="731"/>
      <c r="V123" s="731"/>
      <c r="W123" s="731"/>
      <c r="X123" s="731"/>
      <c r="Y123" s="732"/>
      <c r="Z123" s="727">
        <f ca="1">IFERROR(IF(OR(IFERROR(B123,0)=0,B123="-"),0,1),0)</f>
        <v>1</v>
      </c>
      <c r="AA123" s="727"/>
      <c r="AB123" s="727"/>
      <c r="AC123" s="727"/>
      <c r="AD123" s="727"/>
      <c r="AE123" s="727"/>
      <c r="AF123" s="727"/>
      <c r="AG123" s="727"/>
      <c r="AH123" s="727"/>
      <c r="AI123" s="727"/>
      <c r="AJ123" s="727"/>
      <c r="AK123" s="727"/>
      <c r="AL123" s="727"/>
      <c r="AM123" s="727"/>
      <c r="AN123" s="727"/>
      <c r="AO123" s="727"/>
      <c r="AP123" s="727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9"/>
      <c r="BL123" s="729"/>
      <c r="BM123" s="729"/>
      <c r="BN123" s="729"/>
      <c r="BO123" s="729"/>
      <c r="BP123" s="729"/>
      <c r="BQ123" s="19">
        <f t="shared" ca="1" si="4"/>
        <v>1</v>
      </c>
    </row>
    <row r="124" spans="1:74" hidden="1">
      <c r="A124" s="542">
        <f ca="1">SUBTOTAL(9,$BQ$9:BQ124)</f>
        <v>51</v>
      </c>
      <c r="B124" s="543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0" t="e">
        <f ca="1">IF(B124="Контрольно-исполнительная съемка","б/н",MID(B124,SEARCH("№",B124,1),SEARCH(" ",B124,SEARCH("№",B124,1))-SEARCH("№",B124,1)))</f>
        <v>#VALUE!</v>
      </c>
      <c r="D124" s="731"/>
      <c r="E124" s="731"/>
      <c r="F124" s="731"/>
      <c r="G124" s="731"/>
      <c r="H124" s="731"/>
      <c r="I124" s="731"/>
      <c r="J124" s="731"/>
      <c r="K124" s="731"/>
      <c r="L124" s="731"/>
      <c r="M124" s="731"/>
      <c r="N124" s="731"/>
      <c r="O124" s="731"/>
      <c r="P124" s="731"/>
      <c r="Q124" s="731"/>
      <c r="R124" s="731"/>
      <c r="S124" s="731"/>
      <c r="T124" s="731"/>
      <c r="U124" s="731"/>
      <c r="V124" s="731"/>
      <c r="W124" s="731"/>
      <c r="X124" s="731"/>
      <c r="Y124" s="732"/>
      <c r="Z124" s="727">
        <f ca="1">IFERROR(IF(OR(IFERROR(B124,0)=0,B124=""),0,1),0)</f>
        <v>0</v>
      </c>
      <c r="AA124" s="727"/>
      <c r="AB124" s="727"/>
      <c r="AC124" s="727"/>
      <c r="AD124" s="727"/>
      <c r="AE124" s="727"/>
      <c r="AF124" s="727"/>
      <c r="AG124" s="727"/>
      <c r="AH124" s="727"/>
      <c r="AI124" s="727"/>
      <c r="AJ124" s="727"/>
      <c r="AK124" s="727"/>
      <c r="AL124" s="727"/>
      <c r="AM124" s="727"/>
      <c r="AN124" s="727"/>
      <c r="AO124" s="727"/>
      <c r="AP124" s="727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729"/>
      <c r="BL124" s="729"/>
      <c r="BM124" s="729"/>
      <c r="BN124" s="729"/>
      <c r="BO124" s="729"/>
      <c r="BP124" s="729"/>
      <c r="BQ124" s="19">
        <f t="shared" ca="1" si="4"/>
        <v>0</v>
      </c>
    </row>
    <row r="125" spans="1:74" hidden="1">
      <c r="A125" s="542">
        <f ca="1">SUBTOTAL(9,$BQ$9:BQ125)</f>
        <v>51</v>
      </c>
      <c r="B125" s="543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0" t="e">
        <f ca="1">IF(B125="Контрольно-исполнительная съемка","б/н",MID(B125,SEARCH("№",B125,1),SEARCH(" ",B125,SEARCH("№",B125,1))-SEARCH("№",B125,1)))</f>
        <v>#VALUE!</v>
      </c>
      <c r="D125" s="731"/>
      <c r="E125" s="731"/>
      <c r="F125" s="731"/>
      <c r="G125" s="731"/>
      <c r="H125" s="731"/>
      <c r="I125" s="731"/>
      <c r="J125" s="731"/>
      <c r="K125" s="731"/>
      <c r="L125" s="731"/>
      <c r="M125" s="731"/>
      <c r="N125" s="731"/>
      <c r="O125" s="731"/>
      <c r="P125" s="731"/>
      <c r="Q125" s="731"/>
      <c r="R125" s="731"/>
      <c r="S125" s="731"/>
      <c r="T125" s="731"/>
      <c r="U125" s="731"/>
      <c r="V125" s="731"/>
      <c r="W125" s="731"/>
      <c r="X125" s="731"/>
      <c r="Y125" s="732"/>
      <c r="Z125" s="727">
        <f ca="1">IFERROR(IF(OR(IFERROR(B125,0)=0,B125=""),0,1),0)</f>
        <v>0</v>
      </c>
      <c r="AA125" s="727"/>
      <c r="AB125" s="727"/>
      <c r="AC125" s="727"/>
      <c r="AD125" s="727"/>
      <c r="AE125" s="727"/>
      <c r="AF125" s="727"/>
      <c r="AG125" s="727"/>
      <c r="AH125" s="727"/>
      <c r="AI125" s="727"/>
      <c r="AJ125" s="727"/>
      <c r="AK125" s="727"/>
      <c r="AL125" s="727"/>
      <c r="AM125" s="727"/>
      <c r="AN125" s="727"/>
      <c r="AO125" s="727"/>
      <c r="AP125" s="727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729"/>
      <c r="BL125" s="729"/>
      <c r="BM125" s="729"/>
      <c r="BN125" s="729"/>
      <c r="BO125" s="729"/>
      <c r="BP125" s="729"/>
      <c r="BQ125" s="19">
        <f t="shared" ca="1" si="4"/>
        <v>0</v>
      </c>
      <c r="BV125" s="19" t="str">
        <f>MID(BV109,1,LEN(BV109))</f>
        <v/>
      </c>
    </row>
    <row r="126" spans="1:74" hidden="1">
      <c r="A126" s="542">
        <f ca="1">SUBTOTAL(9,$BQ$9:BQ126)</f>
        <v>51</v>
      </c>
      <c r="B126" s="543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0" t="e">
        <f ca="1">IF(B126="Контрольно-исполнительная съемка","б/н",MID(B126,SEARCH("№",B126,1),SEARCH(" ",B126,SEARCH("№",B126,1))-SEARCH("№",B126,1)))</f>
        <v>#VALUE!</v>
      </c>
      <c r="D126" s="731"/>
      <c r="E126" s="731"/>
      <c r="F126" s="731"/>
      <c r="G126" s="731"/>
      <c r="H126" s="731"/>
      <c r="I126" s="731"/>
      <c r="J126" s="731"/>
      <c r="K126" s="731"/>
      <c r="L126" s="731"/>
      <c r="M126" s="731"/>
      <c r="N126" s="731"/>
      <c r="O126" s="731"/>
      <c r="P126" s="731"/>
      <c r="Q126" s="731"/>
      <c r="R126" s="731"/>
      <c r="S126" s="731"/>
      <c r="T126" s="731"/>
      <c r="U126" s="731"/>
      <c r="V126" s="731"/>
      <c r="W126" s="731"/>
      <c r="X126" s="731"/>
      <c r="Y126" s="732"/>
      <c r="Z126" s="727">
        <f ca="1">IFERROR(IF(OR(IFERROR(B126,0)=0,B126=""),0,1),0)</f>
        <v>0</v>
      </c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729"/>
      <c r="BL126" s="729"/>
      <c r="BM126" s="729"/>
      <c r="BN126" s="729"/>
      <c r="BO126" s="729"/>
      <c r="BP126" s="729"/>
      <c r="BQ126" s="19">
        <f t="shared" ca="1" si="4"/>
        <v>0</v>
      </c>
    </row>
    <row r="127" spans="1:74" hidden="1">
      <c r="A127" s="542">
        <f ca="1">SUBTOTAL(9,$BQ$9:BQ127)</f>
        <v>51</v>
      </c>
      <c r="B127" s="543" t="str">
        <f ca="1">VLOOKUP(BS122,'АКТЫ скрытых работ'!A:O,14,FALSE)</f>
        <v>-</v>
      </c>
      <c r="C127" s="727" t="str">
        <f ca="1">IF(B127&lt;&gt;"-","б/н","")</f>
        <v/>
      </c>
      <c r="D127" s="727"/>
      <c r="E127" s="727"/>
      <c r="F127" s="727"/>
      <c r="G127" s="727"/>
      <c r="H127" s="727"/>
      <c r="I127" s="727"/>
      <c r="J127" s="727"/>
      <c r="K127" s="727"/>
      <c r="L127" s="727"/>
      <c r="M127" s="727"/>
      <c r="N127" s="727"/>
      <c r="O127" s="727"/>
      <c r="P127" s="727"/>
      <c r="Q127" s="727"/>
      <c r="R127" s="727"/>
      <c r="S127" s="727"/>
      <c r="T127" s="727"/>
      <c r="U127" s="727"/>
      <c r="V127" s="727"/>
      <c r="W127" s="727"/>
      <c r="X127" s="727"/>
      <c r="Y127" s="727"/>
      <c r="Z127" s="727">
        <f ca="1">IFERROR(IF(OR(IFERROR(B127,0)=0,B127="-"),0,"1 компл"),0)</f>
        <v>0</v>
      </c>
      <c r="AA127" s="727"/>
      <c r="AB127" s="727"/>
      <c r="AC127" s="727"/>
      <c r="AD127" s="727"/>
      <c r="AE127" s="727"/>
      <c r="AF127" s="727"/>
      <c r="AG127" s="727"/>
      <c r="AH127" s="727"/>
      <c r="AI127" s="727"/>
      <c r="AJ127" s="727"/>
      <c r="AK127" s="727"/>
      <c r="AL127" s="727"/>
      <c r="AM127" s="727"/>
      <c r="AN127" s="727"/>
      <c r="AO127" s="727"/>
      <c r="AP127" s="727"/>
      <c r="AQ127" s="729"/>
      <c r="AR127" s="729"/>
      <c r="AS127" s="729"/>
      <c r="AT127" s="729"/>
      <c r="AU127" s="729"/>
      <c r="AV127" s="729"/>
      <c r="AW127" s="729"/>
      <c r="AX127" s="729"/>
      <c r="AY127" s="729"/>
      <c r="AZ127" s="729"/>
      <c r="BA127" s="729"/>
      <c r="BB127" s="729"/>
      <c r="BC127" s="729"/>
      <c r="BD127" s="729"/>
      <c r="BE127" s="729"/>
      <c r="BF127" s="729"/>
      <c r="BG127" s="729"/>
      <c r="BH127" s="729"/>
      <c r="BI127" s="729"/>
      <c r="BJ127" s="729"/>
      <c r="BK127" s="729"/>
      <c r="BL127" s="729"/>
      <c r="BM127" s="729"/>
      <c r="BN127" s="729"/>
      <c r="BO127" s="729"/>
      <c r="BP127" s="729"/>
      <c r="BQ127" s="19">
        <f t="shared" ca="1" si="4"/>
        <v>0</v>
      </c>
    </row>
    <row r="128" spans="1:74" ht="26">
      <c r="A128" s="542">
        <f ca="1">SUBTOTAL(9,$BQ$9:BQ128)</f>
        <v>52</v>
      </c>
      <c r="B128" s="543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27" t="str">
        <f ca="1">CONCATENATE("№",VLOOKUP(BS128,'АКТЫ скрытых работ'!A:O,2,FALSE))</f>
        <v>№1-КЗ_КК_1</v>
      </c>
      <c r="D128" s="727"/>
      <c r="E128" s="727"/>
      <c r="F128" s="727"/>
      <c r="G128" s="727"/>
      <c r="H128" s="727"/>
      <c r="I128" s="727"/>
      <c r="J128" s="727"/>
      <c r="K128" s="727"/>
      <c r="L128" s="727"/>
      <c r="M128" s="727"/>
      <c r="N128" s="727"/>
      <c r="O128" s="727"/>
      <c r="P128" s="727"/>
      <c r="Q128" s="727"/>
      <c r="R128" s="727"/>
      <c r="S128" s="727"/>
      <c r="T128" s="727"/>
      <c r="U128" s="727"/>
      <c r="V128" s="727"/>
      <c r="W128" s="727"/>
      <c r="X128" s="727"/>
      <c r="Y128" s="727"/>
      <c r="Z128" s="727">
        <f ca="1">IF(BS128="АООК_",0,1)</f>
        <v>1</v>
      </c>
      <c r="AA128" s="727"/>
      <c r="AB128" s="727"/>
      <c r="AC128" s="727"/>
      <c r="AD128" s="727"/>
      <c r="AE128" s="727"/>
      <c r="AF128" s="727"/>
      <c r="AG128" s="727"/>
      <c r="AH128" s="727"/>
      <c r="AI128" s="727"/>
      <c r="AJ128" s="727"/>
      <c r="AK128" s="727"/>
      <c r="AL128" s="727"/>
      <c r="AM128" s="727"/>
      <c r="AN128" s="727"/>
      <c r="AO128" s="727"/>
      <c r="AP128" s="727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9"/>
      <c r="BL128" s="729"/>
      <c r="BM128" s="729"/>
      <c r="BN128" s="729"/>
      <c r="BO128" s="729"/>
      <c r="BP128" s="729"/>
      <c r="BQ128" s="19">
        <f t="shared" ca="1" si="4"/>
        <v>1</v>
      </c>
      <c r="BS128" s="569" t="str">
        <f ca="1">IF(INDIRECT("'АКТЫ скрытых работ'!R"&amp;BU128&amp;"C1",0)=CONCATENATE("АОСР_",BT128),CONCATENATE("АОСР_",BT128),CONCATENATE("АООК_",BT128))</f>
        <v>АОСР_9</v>
      </c>
      <c r="BT128" s="569">
        <v>9</v>
      </c>
      <c r="BU128" s="570">
        <f>BT128+1</f>
        <v>10</v>
      </c>
    </row>
    <row r="129" spans="1:74" ht="26">
      <c r="A129" s="542">
        <f ca="1">SUBTOTAL(9,$BQ$9:BQ129)</f>
        <v>53</v>
      </c>
      <c r="B129" s="545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№1 Монтаж контура заземления КК-0,4кВ</v>
      </c>
      <c r="C129" s="730" t="str">
        <f ca="1">IF(B129="Контрольно-исполнительная съемка","б/н",MID(B129,SEARCH("№",B129,1),SEARCH(" ",B129,SEARCH("№",B129,1))-SEARCH("№",B129,1)))</f>
        <v>№1</v>
      </c>
      <c r="D129" s="731"/>
      <c r="E129" s="731"/>
      <c r="F129" s="731"/>
      <c r="G129" s="731"/>
      <c r="H129" s="731"/>
      <c r="I129" s="731"/>
      <c r="J129" s="731"/>
      <c r="K129" s="731"/>
      <c r="L129" s="731"/>
      <c r="M129" s="731"/>
      <c r="N129" s="731"/>
      <c r="O129" s="731"/>
      <c r="P129" s="731"/>
      <c r="Q129" s="731"/>
      <c r="R129" s="731"/>
      <c r="S129" s="731"/>
      <c r="T129" s="731"/>
      <c r="U129" s="731"/>
      <c r="V129" s="731"/>
      <c r="W129" s="731"/>
      <c r="X129" s="731"/>
      <c r="Y129" s="732"/>
      <c r="Z129" s="727">
        <f ca="1">IFERROR(IF(OR(IFERROR(B129,0)=0,B129="-"),0,1),0)</f>
        <v>1</v>
      </c>
      <c r="AA129" s="727"/>
      <c r="AB129" s="727"/>
      <c r="AC129" s="727"/>
      <c r="AD129" s="727"/>
      <c r="AE129" s="727"/>
      <c r="AF129" s="727"/>
      <c r="AG129" s="727"/>
      <c r="AH129" s="727"/>
      <c r="AI129" s="727"/>
      <c r="AJ129" s="727"/>
      <c r="AK129" s="727"/>
      <c r="AL129" s="727"/>
      <c r="AM129" s="727"/>
      <c r="AN129" s="727"/>
      <c r="AO129" s="727"/>
      <c r="AP129" s="727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729"/>
      <c r="BL129" s="729"/>
      <c r="BM129" s="729"/>
      <c r="BN129" s="729"/>
      <c r="BO129" s="729"/>
      <c r="BP129" s="729"/>
      <c r="BQ129" s="19">
        <f t="shared" ca="1" si="4"/>
        <v>1</v>
      </c>
    </row>
    <row r="130" spans="1:74" hidden="1">
      <c r="A130" s="542">
        <f ca="1">SUBTOTAL(9,$BQ$9:BQ130)</f>
        <v>53</v>
      </c>
      <c r="B130" s="543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30" t="e">
        <f ca="1">IF(B130="Контрольно-исполнительная съемка","б/н",MID(B130,SEARCH("№",B130,1),SEARCH(" ",B130,SEARCH("№",B130,1))-SEARCH("№",B130,1)))</f>
        <v>#VALUE!</v>
      </c>
      <c r="D130" s="731"/>
      <c r="E130" s="731"/>
      <c r="F130" s="731"/>
      <c r="G130" s="731"/>
      <c r="H130" s="731"/>
      <c r="I130" s="731"/>
      <c r="J130" s="731"/>
      <c r="K130" s="731"/>
      <c r="L130" s="731"/>
      <c r="M130" s="731"/>
      <c r="N130" s="731"/>
      <c r="O130" s="731"/>
      <c r="P130" s="731"/>
      <c r="Q130" s="731"/>
      <c r="R130" s="731"/>
      <c r="S130" s="731"/>
      <c r="T130" s="731"/>
      <c r="U130" s="731"/>
      <c r="V130" s="731"/>
      <c r="W130" s="731"/>
      <c r="X130" s="731"/>
      <c r="Y130" s="732"/>
      <c r="Z130" s="727">
        <f ca="1">IFERROR(IF(OR(IFERROR(B130,0)=0,B130=""),0,1),0)</f>
        <v>0</v>
      </c>
      <c r="AA130" s="727"/>
      <c r="AB130" s="727"/>
      <c r="AC130" s="727"/>
      <c r="AD130" s="727"/>
      <c r="AE130" s="727"/>
      <c r="AF130" s="727"/>
      <c r="AG130" s="727"/>
      <c r="AH130" s="727"/>
      <c r="AI130" s="727"/>
      <c r="AJ130" s="727"/>
      <c r="AK130" s="727"/>
      <c r="AL130" s="727"/>
      <c r="AM130" s="727"/>
      <c r="AN130" s="727"/>
      <c r="AO130" s="727"/>
      <c r="AP130" s="727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729"/>
      <c r="BL130" s="729"/>
      <c r="BM130" s="729"/>
      <c r="BN130" s="729"/>
      <c r="BO130" s="729"/>
      <c r="BP130" s="729"/>
      <c r="BQ130" s="19">
        <f t="shared" ca="1" si="4"/>
        <v>0</v>
      </c>
    </row>
    <row r="131" spans="1:74" hidden="1">
      <c r="A131" s="542">
        <f ca="1">SUBTOTAL(9,$BQ$9:BQ131)</f>
        <v>53</v>
      </c>
      <c r="B131" s="543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0" t="e">
        <f ca="1">IF(B131="Контрольно-исполнительная съемка","б/н",MID(B131,SEARCH("№",B131,1),SEARCH(" ",B131,SEARCH("№",B131,1))-SEARCH("№",B131,1)))</f>
        <v>#VALUE!</v>
      </c>
      <c r="D131" s="731"/>
      <c r="E131" s="731"/>
      <c r="F131" s="731"/>
      <c r="G131" s="731"/>
      <c r="H131" s="731"/>
      <c r="I131" s="731"/>
      <c r="J131" s="731"/>
      <c r="K131" s="731"/>
      <c r="L131" s="731"/>
      <c r="M131" s="731"/>
      <c r="N131" s="731"/>
      <c r="O131" s="731"/>
      <c r="P131" s="731"/>
      <c r="Q131" s="731"/>
      <c r="R131" s="731"/>
      <c r="S131" s="731"/>
      <c r="T131" s="731"/>
      <c r="U131" s="731"/>
      <c r="V131" s="731"/>
      <c r="W131" s="731"/>
      <c r="X131" s="731"/>
      <c r="Y131" s="732"/>
      <c r="Z131" s="727">
        <f ca="1">IFERROR(IF(OR(IFERROR(B131,0)=0,B131=""),0,1),0)</f>
        <v>0</v>
      </c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729"/>
      <c r="BL131" s="729"/>
      <c r="BM131" s="729"/>
      <c r="BN131" s="729"/>
      <c r="BO131" s="729"/>
      <c r="BP131" s="729"/>
      <c r="BQ131" s="19">
        <f t="shared" ca="1" si="4"/>
        <v>0</v>
      </c>
      <c r="BV131" s="19" t="str">
        <f>MID(BV115,1,LEN(BV115))</f>
        <v/>
      </c>
    </row>
    <row r="132" spans="1:74" hidden="1">
      <c r="A132" s="542">
        <f ca="1">SUBTOTAL(9,$BQ$9:BQ132)</f>
        <v>53</v>
      </c>
      <c r="B132" s="543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0" t="e">
        <f ca="1">IF(B132="Контрольно-исполнительная съемка","б/н",MID(B132,SEARCH("№",B132,1),SEARCH(" ",B132,SEARCH("№",B132,1))-SEARCH("№",B132,1)))</f>
        <v>#VALUE!</v>
      </c>
      <c r="D132" s="731"/>
      <c r="E132" s="731"/>
      <c r="F132" s="731"/>
      <c r="G132" s="731"/>
      <c r="H132" s="731"/>
      <c r="I132" s="731"/>
      <c r="J132" s="731"/>
      <c r="K132" s="731"/>
      <c r="L132" s="731"/>
      <c r="M132" s="731"/>
      <c r="N132" s="731"/>
      <c r="O132" s="731"/>
      <c r="P132" s="731"/>
      <c r="Q132" s="731"/>
      <c r="R132" s="731"/>
      <c r="S132" s="731"/>
      <c r="T132" s="731"/>
      <c r="U132" s="731"/>
      <c r="V132" s="731"/>
      <c r="W132" s="731"/>
      <c r="X132" s="731"/>
      <c r="Y132" s="732"/>
      <c r="Z132" s="727">
        <f ca="1">IFERROR(IF(OR(IFERROR(B132,0)=0,B132=""),0,1),0)</f>
        <v>0</v>
      </c>
      <c r="AA132" s="727"/>
      <c r="AB132" s="727"/>
      <c r="AC132" s="727"/>
      <c r="AD132" s="727"/>
      <c r="AE132" s="727"/>
      <c r="AF132" s="727"/>
      <c r="AG132" s="727"/>
      <c r="AH132" s="727"/>
      <c r="AI132" s="727"/>
      <c r="AJ132" s="727"/>
      <c r="AK132" s="727"/>
      <c r="AL132" s="727"/>
      <c r="AM132" s="727"/>
      <c r="AN132" s="727"/>
      <c r="AO132" s="727"/>
      <c r="AP132" s="727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9"/>
      <c r="BL132" s="729"/>
      <c r="BM132" s="729"/>
      <c r="BN132" s="729"/>
      <c r="BO132" s="729"/>
      <c r="BP132" s="729"/>
      <c r="BQ132" s="19">
        <f t="shared" ca="1" si="4"/>
        <v>0</v>
      </c>
    </row>
    <row r="133" spans="1:74" hidden="1">
      <c r="A133" s="542">
        <f ca="1">SUBTOTAL(9,$BQ$9:BQ133)</f>
        <v>53</v>
      </c>
      <c r="B133" s="543" t="str">
        <f ca="1">VLOOKUP(BS128,'АКТЫ скрытых работ'!A:O,14,FALSE)</f>
        <v>-</v>
      </c>
      <c r="C133" s="727" t="str">
        <f ca="1">IF(B133&lt;&gt;"-","б/н","")</f>
        <v/>
      </c>
      <c r="D133" s="727"/>
      <c r="E133" s="727"/>
      <c r="F133" s="727"/>
      <c r="G133" s="727"/>
      <c r="H133" s="727"/>
      <c r="I133" s="727"/>
      <c r="J133" s="727"/>
      <c r="K133" s="727"/>
      <c r="L133" s="727"/>
      <c r="M133" s="727"/>
      <c r="N133" s="727"/>
      <c r="O133" s="727"/>
      <c r="P133" s="727"/>
      <c r="Q133" s="727"/>
      <c r="R133" s="727"/>
      <c r="S133" s="727"/>
      <c r="T133" s="727"/>
      <c r="U133" s="727"/>
      <c r="V133" s="727"/>
      <c r="W133" s="727"/>
      <c r="X133" s="727"/>
      <c r="Y133" s="727"/>
      <c r="Z133" s="727">
        <f ca="1">IFERROR(IF(OR(IFERROR(B133,0)=0,B133="-"),0,"1 компл"),0)</f>
        <v>0</v>
      </c>
      <c r="AA133" s="727"/>
      <c r="AB133" s="727"/>
      <c r="AC133" s="727"/>
      <c r="AD133" s="727"/>
      <c r="AE133" s="727"/>
      <c r="AF133" s="727"/>
      <c r="AG133" s="727"/>
      <c r="AH133" s="727"/>
      <c r="AI133" s="727"/>
      <c r="AJ133" s="727"/>
      <c r="AK133" s="727"/>
      <c r="AL133" s="727"/>
      <c r="AM133" s="727"/>
      <c r="AN133" s="727"/>
      <c r="AO133" s="727"/>
      <c r="AP133" s="727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729"/>
      <c r="BL133" s="729"/>
      <c r="BM133" s="729"/>
      <c r="BN133" s="729"/>
      <c r="BO133" s="729"/>
      <c r="BP133" s="729"/>
      <c r="BQ133" s="19">
        <f t="shared" ca="1" si="4"/>
        <v>0</v>
      </c>
    </row>
    <row r="134" spans="1:74" ht="26">
      <c r="A134" s="542">
        <f ca="1">SUBTOTAL(9,$BQ$9:BQ134)</f>
        <v>54</v>
      </c>
      <c r="B134" s="543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'Монтаж вертикальных электродов контура заземления'</v>
      </c>
      <c r="C134" s="727" t="str">
        <f ca="1">CONCATENATE("№",VLOOKUP(BS134,'АКТЫ скрытых работ'!A:O,2,FALSE))</f>
        <v>№2-КЗ_КК_1</v>
      </c>
      <c r="D134" s="727"/>
      <c r="E134" s="727"/>
      <c r="F134" s="727"/>
      <c r="G134" s="727"/>
      <c r="H134" s="727"/>
      <c r="I134" s="727"/>
      <c r="J134" s="727"/>
      <c r="K134" s="727"/>
      <c r="L134" s="727"/>
      <c r="M134" s="727"/>
      <c r="N134" s="727"/>
      <c r="O134" s="727"/>
      <c r="P134" s="727"/>
      <c r="Q134" s="727"/>
      <c r="R134" s="727"/>
      <c r="S134" s="727"/>
      <c r="T134" s="727"/>
      <c r="U134" s="727"/>
      <c r="V134" s="727"/>
      <c r="W134" s="727"/>
      <c r="X134" s="727"/>
      <c r="Y134" s="727"/>
      <c r="Z134" s="727">
        <f ca="1">IF(BS134="АООК_",0,1)</f>
        <v>1</v>
      </c>
      <c r="AA134" s="727"/>
      <c r="AB134" s="727"/>
      <c r="AC134" s="727"/>
      <c r="AD134" s="727"/>
      <c r="AE134" s="727"/>
      <c r="AF134" s="727"/>
      <c r="AG134" s="727"/>
      <c r="AH134" s="727"/>
      <c r="AI134" s="727"/>
      <c r="AJ134" s="727"/>
      <c r="AK134" s="727"/>
      <c r="AL134" s="727"/>
      <c r="AM134" s="727"/>
      <c r="AN134" s="727"/>
      <c r="AO134" s="727"/>
      <c r="AP134" s="727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729"/>
      <c r="BL134" s="729"/>
      <c r="BM134" s="729"/>
      <c r="BN134" s="729"/>
      <c r="BO134" s="729"/>
      <c r="BP134" s="729"/>
      <c r="BQ134" s="19">
        <f t="shared" ref="BQ134:BQ139" ca="1" si="5">IF(Z134&gt;0,1,0)</f>
        <v>1</v>
      </c>
      <c r="BS134" s="569" t="str">
        <f ca="1">IF(INDIRECT("'АКТЫ скрытых работ'!R"&amp;BU134&amp;"C1",0)=CONCATENATE("АОСР_",BT134),CONCATENATE("АОСР_",BT134),CONCATENATE("АООК_",BT134))</f>
        <v>АОСР_10</v>
      </c>
      <c r="BT134" s="569">
        <v>10</v>
      </c>
      <c r="BU134" s="570">
        <f>BT134+1</f>
        <v>11</v>
      </c>
    </row>
    <row r="135" spans="1:74" ht="26">
      <c r="A135" s="542">
        <f ca="1">SUBTOTAL(9,$BQ$9:BQ135)</f>
        <v>55</v>
      </c>
      <c r="B135" s="545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№1 Монтаж контура заземления КК-0,4кВ</v>
      </c>
      <c r="C135" s="730" t="str">
        <f ca="1">IF(B135="Контрольно-исполнительная съемка","б/н",MID(B135,SEARCH("№",B135,1),SEARCH(" ",B135,SEARCH("№",B135,1))-SEARCH("№",B135,1)))</f>
        <v>№1</v>
      </c>
      <c r="D135" s="731"/>
      <c r="E135" s="731"/>
      <c r="F135" s="731"/>
      <c r="G135" s="731"/>
      <c r="H135" s="731"/>
      <c r="I135" s="731"/>
      <c r="J135" s="731"/>
      <c r="K135" s="731"/>
      <c r="L135" s="731"/>
      <c r="M135" s="731"/>
      <c r="N135" s="731"/>
      <c r="O135" s="731"/>
      <c r="P135" s="731"/>
      <c r="Q135" s="731"/>
      <c r="R135" s="731"/>
      <c r="S135" s="731"/>
      <c r="T135" s="731"/>
      <c r="U135" s="731"/>
      <c r="V135" s="731"/>
      <c r="W135" s="731"/>
      <c r="X135" s="731"/>
      <c r="Y135" s="732"/>
      <c r="Z135" s="727">
        <f ca="1">IFERROR(IF(OR(IFERROR(B135,0)=0,B135="-"),0,1),0)</f>
        <v>1</v>
      </c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729"/>
      <c r="BL135" s="729"/>
      <c r="BM135" s="729"/>
      <c r="BN135" s="729"/>
      <c r="BO135" s="729"/>
      <c r="BP135" s="729"/>
      <c r="BQ135" s="19">
        <f t="shared" ca="1" si="5"/>
        <v>1</v>
      </c>
    </row>
    <row r="136" spans="1:74" hidden="1">
      <c r="A136" s="542">
        <f ca="1">SUBTOTAL(9,$BQ$9:BQ136)</f>
        <v>55</v>
      </c>
      <c r="B136" s="543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0" t="e">
        <f ca="1">IF(B136="Контрольно-исполнительная съемка","б/н",MID(B136,SEARCH("№",B136,1),SEARCH(" ",B136,SEARCH("№",B136,1))-SEARCH("№",B136,1)))</f>
        <v>#VALUE!</v>
      </c>
      <c r="D136" s="731"/>
      <c r="E136" s="731"/>
      <c r="F136" s="731"/>
      <c r="G136" s="731"/>
      <c r="H136" s="731"/>
      <c r="I136" s="731"/>
      <c r="J136" s="731"/>
      <c r="K136" s="731"/>
      <c r="L136" s="731"/>
      <c r="M136" s="731"/>
      <c r="N136" s="731"/>
      <c r="O136" s="731"/>
      <c r="P136" s="731"/>
      <c r="Q136" s="731"/>
      <c r="R136" s="731"/>
      <c r="S136" s="731"/>
      <c r="T136" s="731"/>
      <c r="U136" s="731"/>
      <c r="V136" s="731"/>
      <c r="W136" s="731"/>
      <c r="X136" s="731"/>
      <c r="Y136" s="732"/>
      <c r="Z136" s="727">
        <f ca="1">IFERROR(IF(OR(IFERROR(B136,0)=0,B136=""),0,1),0)</f>
        <v>0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9"/>
      <c r="BL136" s="729"/>
      <c r="BM136" s="729"/>
      <c r="BN136" s="729"/>
      <c r="BO136" s="729"/>
      <c r="BP136" s="729"/>
      <c r="BQ136" s="19">
        <f t="shared" ca="1" si="5"/>
        <v>0</v>
      </c>
    </row>
    <row r="137" spans="1:74" hidden="1">
      <c r="A137" s="542">
        <f ca="1">SUBTOTAL(9,$BQ$9:BQ137)</f>
        <v>55</v>
      </c>
      <c r="B137" s="543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0" t="e">
        <f ca="1">IF(B137="Контрольно-исполнительная съемка","б/н",MID(B137,SEARCH("№",B137,1),SEARCH(" ",B137,SEARCH("№",B137,1))-SEARCH("№",B137,1)))</f>
        <v>#VALUE!</v>
      </c>
      <c r="D137" s="731"/>
      <c r="E137" s="731"/>
      <c r="F137" s="731"/>
      <c r="G137" s="731"/>
      <c r="H137" s="731"/>
      <c r="I137" s="731"/>
      <c r="J137" s="731"/>
      <c r="K137" s="731"/>
      <c r="L137" s="731"/>
      <c r="M137" s="731"/>
      <c r="N137" s="731"/>
      <c r="O137" s="731"/>
      <c r="P137" s="731"/>
      <c r="Q137" s="731"/>
      <c r="R137" s="731"/>
      <c r="S137" s="731"/>
      <c r="T137" s="731"/>
      <c r="U137" s="731"/>
      <c r="V137" s="731"/>
      <c r="W137" s="731"/>
      <c r="X137" s="731"/>
      <c r="Y137" s="732"/>
      <c r="Z137" s="727">
        <f ca="1">IFERROR(IF(OR(IFERROR(B137,0)=0,B137=""),0,1),0)</f>
        <v>0</v>
      </c>
      <c r="AA137" s="727"/>
      <c r="AB137" s="727"/>
      <c r="AC137" s="727"/>
      <c r="AD137" s="727"/>
      <c r="AE137" s="727"/>
      <c r="AF137" s="727"/>
      <c r="AG137" s="727"/>
      <c r="AH137" s="727"/>
      <c r="AI137" s="727"/>
      <c r="AJ137" s="727"/>
      <c r="AK137" s="727"/>
      <c r="AL137" s="727"/>
      <c r="AM137" s="727"/>
      <c r="AN137" s="727"/>
      <c r="AO137" s="727"/>
      <c r="AP137" s="727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729"/>
      <c r="BL137" s="729"/>
      <c r="BM137" s="729"/>
      <c r="BN137" s="729"/>
      <c r="BO137" s="729"/>
      <c r="BP137" s="729"/>
      <c r="BQ137" s="19">
        <f t="shared" ca="1" si="5"/>
        <v>0</v>
      </c>
      <c r="BV137" s="19" t="str">
        <f>MID(BV121,1,LEN(BV121))</f>
        <v/>
      </c>
    </row>
    <row r="138" spans="1:74" hidden="1">
      <c r="A138" s="542">
        <f ca="1">SUBTOTAL(9,$BQ$9:BQ138)</f>
        <v>55</v>
      </c>
      <c r="B138" s="543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0" t="e">
        <f ca="1">IF(B138="Контрольно-исполнительная съемка","б/н",MID(B138,SEARCH("№",B138,1),SEARCH(" ",B138,SEARCH("№",B138,1))-SEARCH("№",B138,1)))</f>
        <v>#VALUE!</v>
      </c>
      <c r="D138" s="731"/>
      <c r="E138" s="731"/>
      <c r="F138" s="731"/>
      <c r="G138" s="731"/>
      <c r="H138" s="731"/>
      <c r="I138" s="731"/>
      <c r="J138" s="731"/>
      <c r="K138" s="731"/>
      <c r="L138" s="731"/>
      <c r="M138" s="731"/>
      <c r="N138" s="731"/>
      <c r="O138" s="731"/>
      <c r="P138" s="731"/>
      <c r="Q138" s="731"/>
      <c r="R138" s="731"/>
      <c r="S138" s="731"/>
      <c r="T138" s="731"/>
      <c r="U138" s="731"/>
      <c r="V138" s="731"/>
      <c r="W138" s="731"/>
      <c r="X138" s="731"/>
      <c r="Y138" s="732"/>
      <c r="Z138" s="727">
        <f ca="1">IFERROR(IF(OR(IFERROR(B138,0)=0,B138=""),0,1),0)</f>
        <v>0</v>
      </c>
      <c r="AA138" s="727"/>
      <c r="AB138" s="727"/>
      <c r="AC138" s="727"/>
      <c r="AD138" s="727"/>
      <c r="AE138" s="727"/>
      <c r="AF138" s="727"/>
      <c r="AG138" s="727"/>
      <c r="AH138" s="727"/>
      <c r="AI138" s="727"/>
      <c r="AJ138" s="727"/>
      <c r="AK138" s="727"/>
      <c r="AL138" s="727"/>
      <c r="AM138" s="727"/>
      <c r="AN138" s="727"/>
      <c r="AO138" s="727"/>
      <c r="AP138" s="727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729"/>
      <c r="BL138" s="729"/>
      <c r="BM138" s="729"/>
      <c r="BN138" s="729"/>
      <c r="BO138" s="729"/>
      <c r="BP138" s="729"/>
      <c r="BQ138" s="19">
        <f t="shared" ca="1" si="5"/>
        <v>0</v>
      </c>
    </row>
    <row r="139" spans="1:74" ht="39">
      <c r="A139" s="542">
        <f ca="1">SUBTOTAL(9,$BQ$9:BQ139)</f>
        <v>56</v>
      </c>
      <c r="B139" s="543" t="str">
        <f ca="1">VLOOKUP(BS134,'АКТЫ скрытых работ'!A:O,14,FALSE)</f>
        <v>Информационное письмо №1157 от 26.10.2016 "Центр Декларирования Сертификации" (ООО "ЦДС)"</v>
      </c>
      <c r="C139" s="727" t="str">
        <f ca="1">IF(B139&lt;&gt;"-","б/н","")</f>
        <v>б/н</v>
      </c>
      <c r="D139" s="727"/>
      <c r="E139" s="727"/>
      <c r="F139" s="727"/>
      <c r="G139" s="727"/>
      <c r="H139" s="727"/>
      <c r="I139" s="727"/>
      <c r="J139" s="727"/>
      <c r="K139" s="727"/>
      <c r="L139" s="727"/>
      <c r="M139" s="727"/>
      <c r="N139" s="727"/>
      <c r="O139" s="727"/>
      <c r="P139" s="727"/>
      <c r="Q139" s="727"/>
      <c r="R139" s="727"/>
      <c r="S139" s="727"/>
      <c r="T139" s="727"/>
      <c r="U139" s="727"/>
      <c r="V139" s="727"/>
      <c r="W139" s="727"/>
      <c r="X139" s="727"/>
      <c r="Y139" s="727"/>
      <c r="Z139" s="727" t="str">
        <f ca="1">IFERROR(IF(OR(IFERROR(B139,0)=0,B139="-"),0,"1 компл"),0)</f>
        <v>1 компл</v>
      </c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729"/>
      <c r="BL139" s="729"/>
      <c r="BM139" s="729"/>
      <c r="BN139" s="729"/>
      <c r="BO139" s="729"/>
      <c r="BP139" s="729"/>
      <c r="BQ139" s="19">
        <f t="shared" ca="1" si="5"/>
        <v>1</v>
      </c>
    </row>
    <row r="140" spans="1:74" ht="26">
      <c r="A140" s="542">
        <f ca="1">SUBTOTAL(9,$BQ$9:BQ140)</f>
        <v>57</v>
      </c>
      <c r="B140" s="543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горизонтального заземлителя'</v>
      </c>
      <c r="C140" s="727" t="str">
        <f ca="1">CONCATENATE("№",VLOOKUP(BS140,'АКТЫ скрытых работ'!A:O,2,FALSE))</f>
        <v>№3-КЗ_КК_1</v>
      </c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7"/>
      <c r="U140" s="727"/>
      <c r="V140" s="727"/>
      <c r="W140" s="727"/>
      <c r="X140" s="727"/>
      <c r="Y140" s="727"/>
      <c r="Z140" s="727">
        <f ca="1">IF(BS140="АООК_",0,1)</f>
        <v>1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  <c r="AN140" s="727"/>
      <c r="AO140" s="727"/>
      <c r="AP140" s="727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9"/>
      <c r="BL140" s="729"/>
      <c r="BM140" s="729"/>
      <c r="BN140" s="729"/>
      <c r="BO140" s="729"/>
      <c r="BP140" s="729"/>
      <c r="BQ140" s="19">
        <f t="shared" ref="BQ140:BQ151" ca="1" si="6">IF(Z140&gt;0,1,0)</f>
        <v>1</v>
      </c>
      <c r="BS140" s="569" t="str">
        <f ca="1">IF(INDIRECT("'АКТЫ скрытых работ'!R"&amp;BU140&amp;"C1",0)=CONCATENATE("АОСР_",BT140),CONCATENATE("АОСР_",BT140),CONCATENATE("АООК_",BT140))</f>
        <v>АОСР_11</v>
      </c>
      <c r="BT140" s="569">
        <v>11</v>
      </c>
      <c r="BU140" s="570">
        <f>BT140+1</f>
        <v>12</v>
      </c>
    </row>
    <row r="141" spans="1:74" ht="26">
      <c r="A141" s="542">
        <f ca="1">SUBTOTAL(9,$BQ$9:BQ141)</f>
        <v>58</v>
      </c>
      <c r="B141" s="545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№1 Монтаж контура заземления КК-0,4кВ</v>
      </c>
      <c r="C141" s="730" t="str">
        <f ca="1">IF(B141="Контрольно-исполнительная съемка","б/н",MID(B141,SEARCH("№",B141,1),SEARCH(" ",B141,SEARCH("№",B141,1))-SEARCH("№",B141,1)))</f>
        <v>№1</v>
      </c>
      <c r="D141" s="731"/>
      <c r="E141" s="731"/>
      <c r="F141" s="731"/>
      <c r="G141" s="731"/>
      <c r="H141" s="731"/>
      <c r="I141" s="731"/>
      <c r="J141" s="731"/>
      <c r="K141" s="731"/>
      <c r="L141" s="731"/>
      <c r="M141" s="731"/>
      <c r="N141" s="731"/>
      <c r="O141" s="731"/>
      <c r="P141" s="731"/>
      <c r="Q141" s="731"/>
      <c r="R141" s="731"/>
      <c r="S141" s="731"/>
      <c r="T141" s="731"/>
      <c r="U141" s="731"/>
      <c r="V141" s="731"/>
      <c r="W141" s="731"/>
      <c r="X141" s="731"/>
      <c r="Y141" s="732"/>
      <c r="Z141" s="727">
        <f ca="1">IFERROR(IF(OR(IFERROR(B141,0)=0,B141="-"),0,1),0)</f>
        <v>1</v>
      </c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27"/>
      <c r="AN141" s="727"/>
      <c r="AO141" s="727"/>
      <c r="AP141" s="727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729"/>
      <c r="BL141" s="729"/>
      <c r="BM141" s="729"/>
      <c r="BN141" s="729"/>
      <c r="BO141" s="729"/>
      <c r="BP141" s="729"/>
      <c r="BQ141" s="19">
        <f t="shared" ca="1" si="6"/>
        <v>1</v>
      </c>
    </row>
    <row r="142" spans="1:74" hidden="1">
      <c r="A142" s="542">
        <f ca="1">SUBTOTAL(9,$BQ$9:BQ142)</f>
        <v>58</v>
      </c>
      <c r="B142" s="543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30" t="e">
        <f ca="1">IF(B142="Контрольно-исполнительная съемка","б/н",MID(B142,SEARCH("№",B142,1),SEARCH(" ",B142,SEARCH("№",B142,1))-SEARCH("№",B142,1)))</f>
        <v>#VALUE!</v>
      </c>
      <c r="D142" s="731"/>
      <c r="E142" s="731"/>
      <c r="F142" s="731"/>
      <c r="G142" s="731"/>
      <c r="H142" s="731"/>
      <c r="I142" s="731"/>
      <c r="J142" s="731"/>
      <c r="K142" s="731"/>
      <c r="L142" s="731"/>
      <c r="M142" s="731"/>
      <c r="N142" s="731"/>
      <c r="O142" s="731"/>
      <c r="P142" s="731"/>
      <c r="Q142" s="731"/>
      <c r="R142" s="731"/>
      <c r="S142" s="731"/>
      <c r="T142" s="731"/>
      <c r="U142" s="731"/>
      <c r="V142" s="731"/>
      <c r="W142" s="731"/>
      <c r="X142" s="731"/>
      <c r="Y142" s="732"/>
      <c r="Z142" s="727">
        <f ca="1">IFERROR(IF(OR(IFERROR(B142,0)=0,B142=""),0,1),0)</f>
        <v>0</v>
      </c>
      <c r="AA142" s="727"/>
      <c r="AB142" s="727"/>
      <c r="AC142" s="727"/>
      <c r="AD142" s="727"/>
      <c r="AE142" s="727"/>
      <c r="AF142" s="727"/>
      <c r="AG142" s="727"/>
      <c r="AH142" s="727"/>
      <c r="AI142" s="727"/>
      <c r="AJ142" s="727"/>
      <c r="AK142" s="727"/>
      <c r="AL142" s="727"/>
      <c r="AM142" s="727"/>
      <c r="AN142" s="727"/>
      <c r="AO142" s="727"/>
      <c r="AP142" s="727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729"/>
      <c r="BL142" s="729"/>
      <c r="BM142" s="729"/>
      <c r="BN142" s="729"/>
      <c r="BO142" s="729"/>
      <c r="BP142" s="729"/>
      <c r="BQ142" s="19">
        <f t="shared" ca="1" si="6"/>
        <v>0</v>
      </c>
    </row>
    <row r="143" spans="1:74" hidden="1">
      <c r="A143" s="542">
        <f ca="1">SUBTOTAL(9,$BQ$9:BQ143)</f>
        <v>58</v>
      </c>
      <c r="B143" s="543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30" t="e">
        <f ca="1">IF(B143="Контрольно-исполнительная съемка","б/н",MID(B143,SEARCH("№",B143,1),SEARCH(" ",B143,SEARCH("№",B143,1))-SEARCH("№",B143,1)))</f>
        <v>#VALUE!</v>
      </c>
      <c r="D143" s="731"/>
      <c r="E143" s="731"/>
      <c r="F143" s="731"/>
      <c r="G143" s="731"/>
      <c r="H143" s="731"/>
      <c r="I143" s="731"/>
      <c r="J143" s="731"/>
      <c r="K143" s="731"/>
      <c r="L143" s="731"/>
      <c r="M143" s="731"/>
      <c r="N143" s="731"/>
      <c r="O143" s="731"/>
      <c r="P143" s="731"/>
      <c r="Q143" s="731"/>
      <c r="R143" s="731"/>
      <c r="S143" s="731"/>
      <c r="T143" s="731"/>
      <c r="U143" s="731"/>
      <c r="V143" s="731"/>
      <c r="W143" s="731"/>
      <c r="X143" s="731"/>
      <c r="Y143" s="732"/>
      <c r="Z143" s="727">
        <f ca="1">IFERROR(IF(OR(IFERROR(B143,0)=0,B143=""),0,1),0)</f>
        <v>0</v>
      </c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729"/>
      <c r="BL143" s="729"/>
      <c r="BM143" s="729"/>
      <c r="BN143" s="729"/>
      <c r="BO143" s="729"/>
      <c r="BP143" s="729"/>
      <c r="BQ143" s="19">
        <f t="shared" ca="1" si="6"/>
        <v>0</v>
      </c>
      <c r="BV143" s="19" t="str">
        <f>MID(BV127,1,LEN(BV127))</f>
        <v/>
      </c>
    </row>
    <row r="144" spans="1:74" hidden="1">
      <c r="A144" s="542">
        <f ca="1">SUBTOTAL(9,$BQ$9:BQ144)</f>
        <v>58</v>
      </c>
      <c r="B144" s="543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30" t="e">
        <f ca="1">IF(B144="Контрольно-исполнительная съемка","б/н",MID(B144,SEARCH("№",B144,1),SEARCH(" ",B144,SEARCH("№",B144,1))-SEARCH("№",B144,1)))</f>
        <v>#VALUE!</v>
      </c>
      <c r="D144" s="731"/>
      <c r="E144" s="731"/>
      <c r="F144" s="731"/>
      <c r="G144" s="731"/>
      <c r="H144" s="731"/>
      <c r="I144" s="731"/>
      <c r="J144" s="731"/>
      <c r="K144" s="731"/>
      <c r="L144" s="731"/>
      <c r="M144" s="731"/>
      <c r="N144" s="731"/>
      <c r="O144" s="731"/>
      <c r="P144" s="731"/>
      <c r="Q144" s="731"/>
      <c r="R144" s="731"/>
      <c r="S144" s="731"/>
      <c r="T144" s="731"/>
      <c r="U144" s="731"/>
      <c r="V144" s="731"/>
      <c r="W144" s="731"/>
      <c r="X144" s="731"/>
      <c r="Y144" s="732"/>
      <c r="Z144" s="727">
        <f ca="1">IFERROR(IF(OR(IFERROR(B144,0)=0,B144=""),0,1),0)</f>
        <v>0</v>
      </c>
      <c r="AA144" s="727"/>
      <c r="AB144" s="727"/>
      <c r="AC144" s="727"/>
      <c r="AD144" s="727"/>
      <c r="AE144" s="727"/>
      <c r="AF144" s="727"/>
      <c r="AG144" s="727"/>
      <c r="AH144" s="727"/>
      <c r="AI144" s="727"/>
      <c r="AJ144" s="727"/>
      <c r="AK144" s="727"/>
      <c r="AL144" s="727"/>
      <c r="AM144" s="727"/>
      <c r="AN144" s="727"/>
      <c r="AO144" s="727"/>
      <c r="AP144" s="727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9"/>
      <c r="BL144" s="729"/>
      <c r="BM144" s="729"/>
      <c r="BN144" s="729"/>
      <c r="BO144" s="729"/>
      <c r="BP144" s="729"/>
      <c r="BQ144" s="19">
        <f t="shared" ca="1" si="6"/>
        <v>0</v>
      </c>
    </row>
    <row r="145" spans="1:74" ht="52">
      <c r="A145" s="542">
        <f ca="1">SUBTOTAL(9,$BQ$9:BQ145)</f>
        <v>59</v>
      </c>
      <c r="B145" s="543" t="str">
        <f ca="1">VLOOKUP(BS140,'АКТЫ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45" s="727" t="str">
        <f ca="1">IF(B145&lt;&gt;"-","б/н","")</f>
        <v>б/н</v>
      </c>
      <c r="D145" s="727"/>
      <c r="E145" s="727"/>
      <c r="F145" s="727"/>
      <c r="G145" s="727"/>
      <c r="H145" s="727"/>
      <c r="I145" s="727"/>
      <c r="J145" s="727"/>
      <c r="K145" s="727"/>
      <c r="L145" s="727"/>
      <c r="M145" s="727"/>
      <c r="N145" s="727"/>
      <c r="O145" s="727"/>
      <c r="P145" s="727"/>
      <c r="Q145" s="727"/>
      <c r="R145" s="727"/>
      <c r="S145" s="727"/>
      <c r="T145" s="727"/>
      <c r="U145" s="727"/>
      <c r="V145" s="727"/>
      <c r="W145" s="727"/>
      <c r="X145" s="727"/>
      <c r="Y145" s="727"/>
      <c r="Z145" s="727" t="str">
        <f ca="1">IFERROR(IF(OR(IFERROR(B145,0)=0,B145="-"),0,"1 компл"),0)</f>
        <v>1 компл</v>
      </c>
      <c r="AA145" s="727"/>
      <c r="AB145" s="727"/>
      <c r="AC145" s="727"/>
      <c r="AD145" s="727"/>
      <c r="AE145" s="727"/>
      <c r="AF145" s="727"/>
      <c r="AG145" s="727"/>
      <c r="AH145" s="727"/>
      <c r="AI145" s="727"/>
      <c r="AJ145" s="727"/>
      <c r="AK145" s="727"/>
      <c r="AL145" s="727"/>
      <c r="AM145" s="727"/>
      <c r="AN145" s="727"/>
      <c r="AO145" s="727"/>
      <c r="AP145" s="727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729"/>
      <c r="BL145" s="729"/>
      <c r="BM145" s="729"/>
      <c r="BN145" s="729"/>
      <c r="BO145" s="729"/>
      <c r="BP145" s="729"/>
      <c r="BQ145" s="19">
        <f t="shared" ca="1" si="6"/>
        <v>1</v>
      </c>
    </row>
    <row r="146" spans="1:74" ht="26">
      <c r="A146" s="542">
        <f ca="1">SUBTOTAL(9,$BQ$9:BQ146)</f>
        <v>60</v>
      </c>
      <c r="B146" s="543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'Огрунтовка и окраска сварных соединений'</v>
      </c>
      <c r="C146" s="727" t="str">
        <f ca="1">CONCATENATE("№",VLOOKUP(BS146,'АКТЫ скрытых работ'!A:O,2,FALSE))</f>
        <v>№4-КЗ_КК_1</v>
      </c>
      <c r="D146" s="727"/>
      <c r="E146" s="727"/>
      <c r="F146" s="727"/>
      <c r="G146" s="727"/>
      <c r="H146" s="727"/>
      <c r="I146" s="727"/>
      <c r="J146" s="727"/>
      <c r="K146" s="727"/>
      <c r="L146" s="727"/>
      <c r="M146" s="727"/>
      <c r="N146" s="727"/>
      <c r="O146" s="727"/>
      <c r="P146" s="727"/>
      <c r="Q146" s="727"/>
      <c r="R146" s="727"/>
      <c r="S146" s="727"/>
      <c r="T146" s="727"/>
      <c r="U146" s="727"/>
      <c r="V146" s="727"/>
      <c r="W146" s="727"/>
      <c r="X146" s="727"/>
      <c r="Y146" s="727"/>
      <c r="Z146" s="727">
        <f ca="1">IF(BS146="АООК_",0,1)</f>
        <v>1</v>
      </c>
      <c r="AA146" s="727"/>
      <c r="AB146" s="727"/>
      <c r="AC146" s="727"/>
      <c r="AD146" s="727"/>
      <c r="AE146" s="727"/>
      <c r="AF146" s="727"/>
      <c r="AG146" s="727"/>
      <c r="AH146" s="727"/>
      <c r="AI146" s="727"/>
      <c r="AJ146" s="727"/>
      <c r="AK146" s="727"/>
      <c r="AL146" s="727"/>
      <c r="AM146" s="727"/>
      <c r="AN146" s="727"/>
      <c r="AO146" s="727"/>
      <c r="AP146" s="727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729"/>
      <c r="BL146" s="729"/>
      <c r="BM146" s="729"/>
      <c r="BN146" s="729"/>
      <c r="BO146" s="729"/>
      <c r="BP146" s="729"/>
      <c r="BQ146" s="19">
        <f t="shared" ca="1" si="6"/>
        <v>1</v>
      </c>
      <c r="BS146" s="569" t="str">
        <f ca="1">IF(INDIRECT("'АКТЫ скрытых работ'!R"&amp;BU146&amp;"C1",0)=CONCATENATE("АОСР_",BT146),CONCATENATE("АОСР_",BT146),CONCATENATE("АООК_",BT146))</f>
        <v>АОСР_12</v>
      </c>
      <c r="BT146" s="569">
        <v>12</v>
      </c>
      <c r="BU146" s="570">
        <f>BT146+1</f>
        <v>13</v>
      </c>
    </row>
    <row r="147" spans="1:74" ht="26">
      <c r="A147" s="542">
        <f ca="1">SUBTOTAL(9,$BQ$9:BQ147)</f>
        <v>61</v>
      </c>
      <c r="B147" s="545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№1 Монтаж контура заземления КК-0,4кВ</v>
      </c>
      <c r="C147" s="730" t="str">
        <f ca="1">IF(B147="Контрольно-исполнительная съемка","б/н",MID(B147,SEARCH("№",B147,1),SEARCH(" ",B147,SEARCH("№",B147,1))-SEARCH("№",B147,1)))</f>
        <v>№1</v>
      </c>
      <c r="D147" s="731"/>
      <c r="E147" s="731"/>
      <c r="F147" s="731"/>
      <c r="G147" s="731"/>
      <c r="H147" s="731"/>
      <c r="I147" s="731"/>
      <c r="J147" s="731"/>
      <c r="K147" s="731"/>
      <c r="L147" s="731"/>
      <c r="M147" s="731"/>
      <c r="N147" s="731"/>
      <c r="O147" s="731"/>
      <c r="P147" s="731"/>
      <c r="Q147" s="731"/>
      <c r="R147" s="731"/>
      <c r="S147" s="731"/>
      <c r="T147" s="731"/>
      <c r="U147" s="731"/>
      <c r="V147" s="731"/>
      <c r="W147" s="731"/>
      <c r="X147" s="731"/>
      <c r="Y147" s="732"/>
      <c r="Z147" s="727">
        <f ca="1">IFERROR(IF(OR(IFERROR(B147,0)=0,B147="-"),0,1),0)</f>
        <v>1</v>
      </c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729"/>
      <c r="BL147" s="729"/>
      <c r="BM147" s="729"/>
      <c r="BN147" s="729"/>
      <c r="BO147" s="729"/>
      <c r="BP147" s="729"/>
      <c r="BQ147" s="19">
        <f t="shared" ca="1" si="6"/>
        <v>1</v>
      </c>
    </row>
    <row r="148" spans="1:74" hidden="1">
      <c r="A148" s="542">
        <f ca="1">SUBTOTAL(9,$BQ$9:BQ148)</f>
        <v>61</v>
      </c>
      <c r="B148" s="543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30" t="e">
        <f ca="1">IF(B148="Контрольно-исполнительная съемка","б/н",MID(B148,SEARCH("№",B148,1),SEARCH(" ",B148,SEARCH("№",B148,1))-SEARCH("№",B148,1)))</f>
        <v>#VALUE!</v>
      </c>
      <c r="D148" s="731"/>
      <c r="E148" s="731"/>
      <c r="F148" s="731"/>
      <c r="G148" s="731"/>
      <c r="H148" s="731"/>
      <c r="I148" s="731"/>
      <c r="J148" s="731"/>
      <c r="K148" s="731"/>
      <c r="L148" s="731"/>
      <c r="M148" s="731"/>
      <c r="N148" s="731"/>
      <c r="O148" s="731"/>
      <c r="P148" s="731"/>
      <c r="Q148" s="731"/>
      <c r="R148" s="731"/>
      <c r="S148" s="731"/>
      <c r="T148" s="731"/>
      <c r="U148" s="731"/>
      <c r="V148" s="731"/>
      <c r="W148" s="731"/>
      <c r="X148" s="731"/>
      <c r="Y148" s="732"/>
      <c r="Z148" s="727">
        <f ca="1">IFERROR(IF(OR(IFERROR(B148,0)=0,B148=""),0,1),0)</f>
        <v>0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  <c r="AN148" s="727"/>
      <c r="AO148" s="727"/>
      <c r="AP148" s="727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9"/>
      <c r="BL148" s="729"/>
      <c r="BM148" s="729"/>
      <c r="BN148" s="729"/>
      <c r="BO148" s="729"/>
      <c r="BP148" s="729"/>
      <c r="BQ148" s="19">
        <f t="shared" ca="1" si="6"/>
        <v>0</v>
      </c>
    </row>
    <row r="149" spans="1:74" hidden="1">
      <c r="A149" s="542">
        <f ca="1">SUBTOTAL(9,$BQ$9:BQ149)</f>
        <v>61</v>
      </c>
      <c r="B149" s="543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30" t="e">
        <f ca="1">IF(B149="Контрольно-исполнительная съемка","б/н",MID(B149,SEARCH("№",B149,1),SEARCH(" ",B149,SEARCH("№",B149,1))-SEARCH("№",B149,1)))</f>
        <v>#VALUE!</v>
      </c>
      <c r="D149" s="731"/>
      <c r="E149" s="731"/>
      <c r="F149" s="731"/>
      <c r="G149" s="731"/>
      <c r="H149" s="731"/>
      <c r="I149" s="731"/>
      <c r="J149" s="731"/>
      <c r="K149" s="731"/>
      <c r="L149" s="731"/>
      <c r="M149" s="731"/>
      <c r="N149" s="731"/>
      <c r="O149" s="731"/>
      <c r="P149" s="731"/>
      <c r="Q149" s="731"/>
      <c r="R149" s="731"/>
      <c r="S149" s="731"/>
      <c r="T149" s="731"/>
      <c r="U149" s="731"/>
      <c r="V149" s="731"/>
      <c r="W149" s="731"/>
      <c r="X149" s="731"/>
      <c r="Y149" s="732"/>
      <c r="Z149" s="727">
        <f ca="1">IFERROR(IF(OR(IFERROR(B149,0)=0,B149=""),0,1),0)</f>
        <v>0</v>
      </c>
      <c r="AA149" s="727"/>
      <c r="AB149" s="727"/>
      <c r="AC149" s="727"/>
      <c r="AD149" s="727"/>
      <c r="AE149" s="727"/>
      <c r="AF149" s="727"/>
      <c r="AG149" s="727"/>
      <c r="AH149" s="727"/>
      <c r="AI149" s="727"/>
      <c r="AJ149" s="727"/>
      <c r="AK149" s="727"/>
      <c r="AL149" s="727"/>
      <c r="AM149" s="727"/>
      <c r="AN149" s="727"/>
      <c r="AO149" s="727"/>
      <c r="AP149" s="727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729"/>
      <c r="BL149" s="729"/>
      <c r="BM149" s="729"/>
      <c r="BN149" s="729"/>
      <c r="BO149" s="729"/>
      <c r="BP149" s="729"/>
      <c r="BQ149" s="19">
        <f t="shared" ca="1" si="6"/>
        <v>0</v>
      </c>
      <c r="BV149" s="19" t="str">
        <f>MID(BV133,1,LEN(BV133))</f>
        <v/>
      </c>
    </row>
    <row r="150" spans="1:74" hidden="1">
      <c r="A150" s="542">
        <f ca="1">SUBTOTAL(9,$BQ$9:BQ150)</f>
        <v>61</v>
      </c>
      <c r="B150" s="543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30" t="e">
        <f ca="1">IF(B150="Контрольно-исполнительная съемка","б/н",MID(B150,SEARCH("№",B150,1),SEARCH(" ",B150,SEARCH("№",B150,1))-SEARCH("№",B150,1)))</f>
        <v>#VALUE!</v>
      </c>
      <c r="D150" s="731"/>
      <c r="E150" s="731"/>
      <c r="F150" s="731"/>
      <c r="G150" s="731"/>
      <c r="H150" s="731"/>
      <c r="I150" s="731"/>
      <c r="J150" s="731"/>
      <c r="K150" s="731"/>
      <c r="L150" s="731"/>
      <c r="M150" s="731"/>
      <c r="N150" s="731"/>
      <c r="O150" s="731"/>
      <c r="P150" s="731"/>
      <c r="Q150" s="731"/>
      <c r="R150" s="731"/>
      <c r="S150" s="731"/>
      <c r="T150" s="731"/>
      <c r="U150" s="731"/>
      <c r="V150" s="731"/>
      <c r="W150" s="731"/>
      <c r="X150" s="731"/>
      <c r="Y150" s="732"/>
      <c r="Z150" s="727">
        <f ca="1">IFERROR(IF(OR(IFERROR(B150,0)=0,B150=""),0,1),0)</f>
        <v>0</v>
      </c>
      <c r="AA150" s="727"/>
      <c r="AB150" s="727"/>
      <c r="AC150" s="727"/>
      <c r="AD150" s="727"/>
      <c r="AE150" s="727"/>
      <c r="AF150" s="727"/>
      <c r="AG150" s="727"/>
      <c r="AH150" s="727"/>
      <c r="AI150" s="727"/>
      <c r="AJ150" s="727"/>
      <c r="AK150" s="727"/>
      <c r="AL150" s="727"/>
      <c r="AM150" s="727"/>
      <c r="AN150" s="727"/>
      <c r="AO150" s="727"/>
      <c r="AP150" s="727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729"/>
      <c r="BL150" s="729"/>
      <c r="BM150" s="729"/>
      <c r="BN150" s="729"/>
      <c r="BO150" s="729"/>
      <c r="BP150" s="729"/>
      <c r="BQ150" s="19">
        <f t="shared" ca="1" si="6"/>
        <v>0</v>
      </c>
    </row>
    <row r="151" spans="1:74" ht="26">
      <c r="A151" s="542">
        <f ca="1">SUBTOTAL(9,$BQ$9:BQ151)</f>
        <v>62</v>
      </c>
      <c r="B151" s="543" t="str">
        <f ca="1">VLOOKUP(BS146,'АКТЫ скрытых работ'!A:O,14,FALSE)</f>
        <v>Отказное письмо исх. №60-12/2020 от 12.05.2020 ООО "Биквест-Центр"</v>
      </c>
      <c r="C151" s="727" t="str">
        <f ca="1">IF(B151&lt;&gt;"-","б/н","")</f>
        <v>б/н</v>
      </c>
      <c r="D151" s="727"/>
      <c r="E151" s="727"/>
      <c r="F151" s="727"/>
      <c r="G151" s="727"/>
      <c r="H151" s="727"/>
      <c r="I151" s="727"/>
      <c r="J151" s="727"/>
      <c r="K151" s="727"/>
      <c r="L151" s="727"/>
      <c r="M151" s="727"/>
      <c r="N151" s="727"/>
      <c r="O151" s="727"/>
      <c r="P151" s="727"/>
      <c r="Q151" s="727"/>
      <c r="R151" s="727"/>
      <c r="S151" s="727"/>
      <c r="T151" s="727"/>
      <c r="U151" s="727"/>
      <c r="V151" s="727"/>
      <c r="W151" s="727"/>
      <c r="X151" s="727"/>
      <c r="Y151" s="727"/>
      <c r="Z151" s="727" t="str">
        <f ca="1">IFERROR(IF(OR(IFERROR(B151,0)=0,B151="-"),0,"1 компл"),0)</f>
        <v>1 компл</v>
      </c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729"/>
      <c r="BL151" s="729"/>
      <c r="BM151" s="729"/>
      <c r="BN151" s="729"/>
      <c r="BO151" s="729"/>
      <c r="BP151" s="729"/>
      <c r="BQ151" s="19">
        <f t="shared" ca="1" si="6"/>
        <v>1</v>
      </c>
    </row>
    <row r="152" spans="1:74" ht="26">
      <c r="A152" s="542">
        <f ca="1">SUBTOTAL(9,$BQ$9:BQ152)</f>
        <v>63</v>
      </c>
      <c r="B152" s="543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'Обратная засыпка траншеи'</v>
      </c>
      <c r="C152" s="727" t="str">
        <f ca="1">CONCATENATE("№",VLOOKUP(BS152,'АКТЫ скрытых работ'!A:O,2,FALSE))</f>
        <v>№5-КЗ_КК_1</v>
      </c>
      <c r="D152" s="727"/>
      <c r="E152" s="727"/>
      <c r="F152" s="727"/>
      <c r="G152" s="727"/>
      <c r="H152" s="727"/>
      <c r="I152" s="727"/>
      <c r="J152" s="727"/>
      <c r="K152" s="727"/>
      <c r="L152" s="727"/>
      <c r="M152" s="727"/>
      <c r="N152" s="727"/>
      <c r="O152" s="727"/>
      <c r="P152" s="727"/>
      <c r="Q152" s="727"/>
      <c r="R152" s="727"/>
      <c r="S152" s="727"/>
      <c r="T152" s="727"/>
      <c r="U152" s="727"/>
      <c r="V152" s="727"/>
      <c r="W152" s="727"/>
      <c r="X152" s="727"/>
      <c r="Y152" s="727"/>
      <c r="Z152" s="727">
        <f ca="1">IF(BS152="АООК_",0,1)</f>
        <v>1</v>
      </c>
      <c r="AA152" s="727"/>
      <c r="AB152" s="727"/>
      <c r="AC152" s="727"/>
      <c r="AD152" s="727"/>
      <c r="AE152" s="727"/>
      <c r="AF152" s="727"/>
      <c r="AG152" s="727"/>
      <c r="AH152" s="727"/>
      <c r="AI152" s="727"/>
      <c r="AJ152" s="727"/>
      <c r="AK152" s="727"/>
      <c r="AL152" s="727"/>
      <c r="AM152" s="727"/>
      <c r="AN152" s="727"/>
      <c r="AO152" s="727"/>
      <c r="AP152" s="727"/>
      <c r="AQ152" s="729"/>
      <c r="AR152" s="729"/>
      <c r="AS152" s="729"/>
      <c r="AT152" s="729"/>
      <c r="AU152" s="729"/>
      <c r="AV152" s="729"/>
      <c r="AW152" s="729"/>
      <c r="AX152" s="729"/>
      <c r="AY152" s="729"/>
      <c r="AZ152" s="729"/>
      <c r="BA152" s="729"/>
      <c r="BB152" s="729"/>
      <c r="BC152" s="729"/>
      <c r="BD152" s="729"/>
      <c r="BE152" s="729"/>
      <c r="BF152" s="729"/>
      <c r="BG152" s="729"/>
      <c r="BH152" s="729"/>
      <c r="BI152" s="729"/>
      <c r="BJ152" s="729"/>
      <c r="BK152" s="729"/>
      <c r="BL152" s="729"/>
      <c r="BM152" s="729"/>
      <c r="BN152" s="729"/>
      <c r="BO152" s="729"/>
      <c r="BP152" s="729"/>
      <c r="BQ152" s="19">
        <f t="shared" ref="BQ152:BQ160" ca="1" si="7">IF(Z152&gt;0,1,0)</f>
        <v>1</v>
      </c>
      <c r="BS152" s="569" t="str">
        <f ca="1">IF(INDIRECT("'АКТЫ скрытых работ'!R"&amp;BU152&amp;"C1",0)=CONCATENATE("АОСР_",BT152),CONCATENATE("АОСР_",BT152),CONCATENATE("АООК_",BT152))</f>
        <v>АОСР_13</v>
      </c>
      <c r="BT152" s="569">
        <v>13</v>
      </c>
      <c r="BU152" s="570">
        <f>BT152+1</f>
        <v>14</v>
      </c>
    </row>
    <row r="153" spans="1:74" ht="26">
      <c r="A153" s="542">
        <f ca="1">SUBTOTAL(9,$BQ$9:BQ153)</f>
        <v>64</v>
      </c>
      <c r="B153" s="545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№1 Монтаж контура заземления КК-0,4кВ</v>
      </c>
      <c r="C153" s="730" t="str">
        <f ca="1">IF(B153="Контрольно-исполнительная съемка","б/н",MID(B153,SEARCH("№",B153,1),SEARCH(" ",B153,SEARCH("№",B153,1))-SEARCH("№",B153,1)))</f>
        <v>№1</v>
      </c>
      <c r="D153" s="731"/>
      <c r="E153" s="731"/>
      <c r="F153" s="731"/>
      <c r="G153" s="731"/>
      <c r="H153" s="731"/>
      <c r="I153" s="731"/>
      <c r="J153" s="731"/>
      <c r="K153" s="731"/>
      <c r="L153" s="731"/>
      <c r="M153" s="731"/>
      <c r="N153" s="731"/>
      <c r="O153" s="731"/>
      <c r="P153" s="731"/>
      <c r="Q153" s="731"/>
      <c r="R153" s="731"/>
      <c r="S153" s="731"/>
      <c r="T153" s="731"/>
      <c r="U153" s="731"/>
      <c r="V153" s="731"/>
      <c r="W153" s="731"/>
      <c r="X153" s="731"/>
      <c r="Y153" s="732"/>
      <c r="Z153" s="727">
        <f ca="1">IFERROR(IF(OR(IFERROR(B153,0)=0,B153="-"),0,1),0)</f>
        <v>1</v>
      </c>
      <c r="AA153" s="727"/>
      <c r="AB153" s="727"/>
      <c r="AC153" s="727"/>
      <c r="AD153" s="727"/>
      <c r="AE153" s="727"/>
      <c r="AF153" s="727"/>
      <c r="AG153" s="727"/>
      <c r="AH153" s="727"/>
      <c r="AI153" s="727"/>
      <c r="AJ153" s="727"/>
      <c r="AK153" s="727"/>
      <c r="AL153" s="727"/>
      <c r="AM153" s="727"/>
      <c r="AN153" s="727"/>
      <c r="AO153" s="727"/>
      <c r="AP153" s="727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9"/>
      <c r="BL153" s="729"/>
      <c r="BM153" s="729"/>
      <c r="BN153" s="729"/>
      <c r="BO153" s="729"/>
      <c r="BP153" s="729"/>
      <c r="BQ153" s="19">
        <f t="shared" ca="1" si="7"/>
        <v>1</v>
      </c>
    </row>
    <row r="154" spans="1:74" hidden="1">
      <c r="A154" s="542">
        <f ca="1">SUBTOTAL(9,$BQ$9:BQ154)</f>
        <v>64</v>
      </c>
      <c r="B154" s="543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30" t="e">
        <f ca="1">IF(B154="Контрольно-исполнительная съемка","б/н",MID(B154,SEARCH("№",B154,1),SEARCH(" ",B154,SEARCH("№",B154,1))-SEARCH("№",B154,1)))</f>
        <v>#VALUE!</v>
      </c>
      <c r="D154" s="731"/>
      <c r="E154" s="731"/>
      <c r="F154" s="731"/>
      <c r="G154" s="731"/>
      <c r="H154" s="731"/>
      <c r="I154" s="731"/>
      <c r="J154" s="731"/>
      <c r="K154" s="731"/>
      <c r="L154" s="731"/>
      <c r="M154" s="731"/>
      <c r="N154" s="731"/>
      <c r="O154" s="731"/>
      <c r="P154" s="731"/>
      <c r="Q154" s="731"/>
      <c r="R154" s="731"/>
      <c r="S154" s="731"/>
      <c r="T154" s="731"/>
      <c r="U154" s="731"/>
      <c r="V154" s="731"/>
      <c r="W154" s="731"/>
      <c r="X154" s="731"/>
      <c r="Y154" s="732"/>
      <c r="Z154" s="727">
        <f ca="1">IFERROR(IF(OR(IFERROR(B154,0)=0,B154=""),0,1),0)</f>
        <v>0</v>
      </c>
      <c r="AA154" s="727"/>
      <c r="AB154" s="727"/>
      <c r="AC154" s="727"/>
      <c r="AD154" s="727"/>
      <c r="AE154" s="727"/>
      <c r="AF154" s="727"/>
      <c r="AG154" s="727"/>
      <c r="AH154" s="727"/>
      <c r="AI154" s="727"/>
      <c r="AJ154" s="727"/>
      <c r="AK154" s="727"/>
      <c r="AL154" s="727"/>
      <c r="AM154" s="727"/>
      <c r="AN154" s="727"/>
      <c r="AO154" s="727"/>
      <c r="AP154" s="727"/>
      <c r="AQ154" s="729"/>
      <c r="AR154" s="729"/>
      <c r="AS154" s="729"/>
      <c r="AT154" s="729"/>
      <c r="AU154" s="729"/>
      <c r="AV154" s="729"/>
      <c r="AW154" s="729"/>
      <c r="AX154" s="729"/>
      <c r="AY154" s="729"/>
      <c r="AZ154" s="729"/>
      <c r="BA154" s="729"/>
      <c r="BB154" s="729"/>
      <c r="BC154" s="729"/>
      <c r="BD154" s="729"/>
      <c r="BE154" s="729"/>
      <c r="BF154" s="729"/>
      <c r="BG154" s="729"/>
      <c r="BH154" s="729"/>
      <c r="BI154" s="729"/>
      <c r="BJ154" s="729"/>
      <c r="BK154" s="729"/>
      <c r="BL154" s="729"/>
      <c r="BM154" s="729"/>
      <c r="BN154" s="729"/>
      <c r="BO154" s="729"/>
      <c r="BP154" s="729"/>
      <c r="BQ154" s="19">
        <f t="shared" ca="1" si="7"/>
        <v>0</v>
      </c>
    </row>
    <row r="155" spans="1:74" hidden="1">
      <c r="A155" s="542">
        <f ca="1">SUBTOTAL(9,$BQ$9:BQ155)</f>
        <v>64</v>
      </c>
      <c r="B155" s="543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30" t="e">
        <f ca="1">IF(B155="Контрольно-исполнительная съемка","б/н",MID(B155,SEARCH("№",B155,1),SEARCH(" ",B155,SEARCH("№",B155,1))-SEARCH("№",B155,1)))</f>
        <v>#VALUE!</v>
      </c>
      <c r="D155" s="731"/>
      <c r="E155" s="731"/>
      <c r="F155" s="731"/>
      <c r="G155" s="731"/>
      <c r="H155" s="731"/>
      <c r="I155" s="731"/>
      <c r="J155" s="731"/>
      <c r="K155" s="731"/>
      <c r="L155" s="731"/>
      <c r="M155" s="731"/>
      <c r="N155" s="731"/>
      <c r="O155" s="731"/>
      <c r="P155" s="731"/>
      <c r="Q155" s="731"/>
      <c r="R155" s="731"/>
      <c r="S155" s="731"/>
      <c r="T155" s="731"/>
      <c r="U155" s="731"/>
      <c r="V155" s="731"/>
      <c r="W155" s="731"/>
      <c r="X155" s="731"/>
      <c r="Y155" s="732"/>
      <c r="Z155" s="727">
        <f ca="1">IFERROR(IF(OR(IFERROR(B155,0)=0,B155=""),0,1),0)</f>
        <v>0</v>
      </c>
      <c r="AA155" s="727"/>
      <c r="AB155" s="727"/>
      <c r="AC155" s="727"/>
      <c r="AD155" s="727"/>
      <c r="AE155" s="727"/>
      <c r="AF155" s="727"/>
      <c r="AG155" s="727"/>
      <c r="AH155" s="727"/>
      <c r="AI155" s="727"/>
      <c r="AJ155" s="727"/>
      <c r="AK155" s="727"/>
      <c r="AL155" s="727"/>
      <c r="AM155" s="727"/>
      <c r="AN155" s="727"/>
      <c r="AO155" s="727"/>
      <c r="AP155" s="727"/>
      <c r="AQ155" s="729"/>
      <c r="AR155" s="729"/>
      <c r="AS155" s="729"/>
      <c r="AT155" s="729"/>
      <c r="AU155" s="729"/>
      <c r="AV155" s="729"/>
      <c r="AW155" s="729"/>
      <c r="AX155" s="729"/>
      <c r="AY155" s="729"/>
      <c r="AZ155" s="729"/>
      <c r="BA155" s="729"/>
      <c r="BB155" s="729"/>
      <c r="BC155" s="729"/>
      <c r="BD155" s="729"/>
      <c r="BE155" s="729"/>
      <c r="BF155" s="729"/>
      <c r="BG155" s="729"/>
      <c r="BH155" s="729"/>
      <c r="BI155" s="729"/>
      <c r="BJ155" s="729"/>
      <c r="BK155" s="729"/>
      <c r="BL155" s="729"/>
      <c r="BM155" s="729"/>
      <c r="BN155" s="729"/>
      <c r="BO155" s="729"/>
      <c r="BP155" s="729"/>
      <c r="BQ155" s="19">
        <f t="shared" ca="1" si="7"/>
        <v>0</v>
      </c>
      <c r="BV155" s="19" t="str">
        <f>MID(BV139,1,LEN(BV139))</f>
        <v/>
      </c>
    </row>
    <row r="156" spans="1:74" hidden="1">
      <c r="A156" s="542">
        <f ca="1">SUBTOTAL(9,$BQ$9:BQ156)</f>
        <v>64</v>
      </c>
      <c r="B156" s="543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30" t="e">
        <f ca="1">IF(B156="Контрольно-исполнительная съемка","б/н",MID(B156,SEARCH("№",B156,1),SEARCH(" ",B156,SEARCH("№",B156,1))-SEARCH("№",B156,1)))</f>
        <v>#VALUE!</v>
      </c>
      <c r="D156" s="731"/>
      <c r="E156" s="731"/>
      <c r="F156" s="731"/>
      <c r="G156" s="731"/>
      <c r="H156" s="731"/>
      <c r="I156" s="731"/>
      <c r="J156" s="731"/>
      <c r="K156" s="731"/>
      <c r="L156" s="731"/>
      <c r="M156" s="731"/>
      <c r="N156" s="731"/>
      <c r="O156" s="731"/>
      <c r="P156" s="731"/>
      <c r="Q156" s="731"/>
      <c r="R156" s="731"/>
      <c r="S156" s="731"/>
      <c r="T156" s="731"/>
      <c r="U156" s="731"/>
      <c r="V156" s="731"/>
      <c r="W156" s="731"/>
      <c r="X156" s="731"/>
      <c r="Y156" s="732"/>
      <c r="Z156" s="727">
        <f ca="1">IFERROR(IF(OR(IFERROR(B156,0)=0,B156=""),0,1),0)</f>
        <v>0</v>
      </c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9"/>
      <c r="AR156" s="729"/>
      <c r="AS156" s="729"/>
      <c r="AT156" s="729"/>
      <c r="AU156" s="729"/>
      <c r="AV156" s="729"/>
      <c r="AW156" s="729"/>
      <c r="AX156" s="729"/>
      <c r="AY156" s="729"/>
      <c r="AZ156" s="729"/>
      <c r="BA156" s="729"/>
      <c r="BB156" s="729"/>
      <c r="BC156" s="729"/>
      <c r="BD156" s="729"/>
      <c r="BE156" s="729"/>
      <c r="BF156" s="729"/>
      <c r="BG156" s="729"/>
      <c r="BH156" s="729"/>
      <c r="BI156" s="729"/>
      <c r="BJ156" s="729"/>
      <c r="BK156" s="729"/>
      <c r="BL156" s="729"/>
      <c r="BM156" s="729"/>
      <c r="BN156" s="729"/>
      <c r="BO156" s="729"/>
      <c r="BP156" s="729"/>
      <c r="BQ156" s="19">
        <f t="shared" ca="1" si="7"/>
        <v>0</v>
      </c>
    </row>
    <row r="157" spans="1:74" hidden="1">
      <c r="A157" s="542">
        <f ca="1">SUBTOTAL(9,$BQ$9:BQ157)</f>
        <v>64</v>
      </c>
      <c r="B157" s="543" t="str">
        <f ca="1">VLOOKUP(BS152,'АКТЫ скрытых работ'!A:O,14,FALSE)</f>
        <v>-</v>
      </c>
      <c r="C157" s="727" t="str">
        <f ca="1">IF(B157&lt;&gt;"-","б/н","")</f>
        <v/>
      </c>
      <c r="D157" s="727"/>
      <c r="E157" s="727"/>
      <c r="F157" s="727"/>
      <c r="G157" s="727"/>
      <c r="H157" s="727"/>
      <c r="I157" s="727"/>
      <c r="J157" s="727"/>
      <c r="K157" s="727"/>
      <c r="L157" s="727"/>
      <c r="M157" s="727"/>
      <c r="N157" s="727"/>
      <c r="O157" s="727"/>
      <c r="P157" s="727"/>
      <c r="Q157" s="727"/>
      <c r="R157" s="727"/>
      <c r="S157" s="727"/>
      <c r="T157" s="727"/>
      <c r="U157" s="727"/>
      <c r="V157" s="727"/>
      <c r="W157" s="727"/>
      <c r="X157" s="727"/>
      <c r="Y157" s="727"/>
      <c r="Z157" s="727">
        <f ca="1">IFERROR(IF(OR(IFERROR(B157,0)=0,B157="-"),0,"1 компл"),0)</f>
        <v>0</v>
      </c>
      <c r="AA157" s="727"/>
      <c r="AB157" s="727"/>
      <c r="AC157" s="727"/>
      <c r="AD157" s="727"/>
      <c r="AE157" s="727"/>
      <c r="AF157" s="727"/>
      <c r="AG157" s="727"/>
      <c r="AH157" s="727"/>
      <c r="AI157" s="727"/>
      <c r="AJ157" s="727"/>
      <c r="AK157" s="727"/>
      <c r="AL157" s="727"/>
      <c r="AM157" s="727"/>
      <c r="AN157" s="727"/>
      <c r="AO157" s="727"/>
      <c r="AP157" s="727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9"/>
      <c r="BL157" s="729"/>
      <c r="BM157" s="729"/>
      <c r="BN157" s="729"/>
      <c r="BO157" s="729"/>
      <c r="BP157" s="729"/>
      <c r="BQ157" s="19">
        <f t="shared" ca="1" si="7"/>
        <v>0</v>
      </c>
    </row>
    <row r="158" spans="1:74" ht="26">
      <c r="A158" s="542">
        <f ca="1">SUBTOTAL(9,$BQ$9:BQ158)</f>
        <v>65</v>
      </c>
      <c r="B158" s="543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'Разработка грунта траншеи'</v>
      </c>
      <c r="C158" s="727" t="str">
        <f ca="1">CONCATENATE("№",VLOOKUP(BS158,'АКТЫ скрытых работ'!A:O,2,FALSE))</f>
        <v>№1-КЗ_КК_2</v>
      </c>
      <c r="D158" s="727"/>
      <c r="E158" s="727"/>
      <c r="F158" s="727"/>
      <c r="G158" s="727"/>
      <c r="H158" s="727"/>
      <c r="I158" s="727"/>
      <c r="J158" s="727"/>
      <c r="K158" s="727"/>
      <c r="L158" s="727"/>
      <c r="M158" s="727"/>
      <c r="N158" s="727"/>
      <c r="O158" s="727"/>
      <c r="P158" s="727"/>
      <c r="Q158" s="727"/>
      <c r="R158" s="727"/>
      <c r="S158" s="727"/>
      <c r="T158" s="727"/>
      <c r="U158" s="727"/>
      <c r="V158" s="727"/>
      <c r="W158" s="727"/>
      <c r="X158" s="727"/>
      <c r="Y158" s="727"/>
      <c r="Z158" s="727">
        <f ca="1">IF(BS158="АООК_",0,1)</f>
        <v>1</v>
      </c>
      <c r="AA158" s="727"/>
      <c r="AB158" s="727"/>
      <c r="AC158" s="727"/>
      <c r="AD158" s="727"/>
      <c r="AE158" s="727"/>
      <c r="AF158" s="727"/>
      <c r="AG158" s="727"/>
      <c r="AH158" s="727"/>
      <c r="AI158" s="727"/>
      <c r="AJ158" s="727"/>
      <c r="AK158" s="727"/>
      <c r="AL158" s="727"/>
      <c r="AM158" s="727"/>
      <c r="AN158" s="727"/>
      <c r="AO158" s="727"/>
      <c r="AP158" s="727"/>
      <c r="AQ158" s="729"/>
      <c r="AR158" s="729"/>
      <c r="AS158" s="729"/>
      <c r="AT158" s="729"/>
      <c r="AU158" s="729"/>
      <c r="AV158" s="729"/>
      <c r="AW158" s="729"/>
      <c r="AX158" s="729"/>
      <c r="AY158" s="729"/>
      <c r="AZ158" s="729"/>
      <c r="BA158" s="729"/>
      <c r="BB158" s="729"/>
      <c r="BC158" s="729"/>
      <c r="BD158" s="729"/>
      <c r="BE158" s="729"/>
      <c r="BF158" s="729"/>
      <c r="BG158" s="729"/>
      <c r="BH158" s="729"/>
      <c r="BI158" s="729"/>
      <c r="BJ158" s="729"/>
      <c r="BK158" s="729"/>
      <c r="BL158" s="729"/>
      <c r="BM158" s="729"/>
      <c r="BN158" s="729"/>
      <c r="BO158" s="729"/>
      <c r="BP158" s="729"/>
      <c r="BQ158" s="19">
        <f t="shared" ca="1" si="7"/>
        <v>1</v>
      </c>
      <c r="BR158" s="726"/>
      <c r="BS158" s="569" t="str">
        <f ca="1">IF(INDIRECT("'АКТЫ скрытых работ'!R"&amp;BU158&amp;"C1",0)=CONCATENATE("АОСР_",BT158),CONCATENATE("АОСР_",BT158),CONCATENATE("АООК_",BT158))</f>
        <v>АОСР_14</v>
      </c>
      <c r="BT158" s="569">
        <v>14</v>
      </c>
      <c r="BU158" s="570">
        <f>BT158+1</f>
        <v>15</v>
      </c>
    </row>
    <row r="159" spans="1:74" ht="26">
      <c r="A159" s="542">
        <f ca="1">SUBTOTAL(9,$BQ$9:BQ159)</f>
        <v>66</v>
      </c>
      <c r="B159" s="545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№1 Монтаж контура заземления КК-0,4кВ</v>
      </c>
      <c r="C159" s="730" t="str">
        <f ca="1">IF(B159="Контрольно-исполнительная съемка","б/н",MID(B159,SEARCH("№",B159,1),SEARCH(" ",B159,SEARCH("№",B159,1))-SEARCH("№",B159,1)))</f>
        <v>№1</v>
      </c>
      <c r="D159" s="731"/>
      <c r="E159" s="731"/>
      <c r="F159" s="731"/>
      <c r="G159" s="731"/>
      <c r="H159" s="731"/>
      <c r="I159" s="731"/>
      <c r="J159" s="731"/>
      <c r="K159" s="731"/>
      <c r="L159" s="731"/>
      <c r="M159" s="731"/>
      <c r="N159" s="731"/>
      <c r="O159" s="731"/>
      <c r="P159" s="731"/>
      <c r="Q159" s="731"/>
      <c r="R159" s="731"/>
      <c r="S159" s="731"/>
      <c r="T159" s="731"/>
      <c r="U159" s="731"/>
      <c r="V159" s="731"/>
      <c r="W159" s="731"/>
      <c r="X159" s="731"/>
      <c r="Y159" s="732"/>
      <c r="Z159" s="727">
        <f ca="1">IFERROR(IF(OR(IFERROR(B159,0)=0,B159="-"),0,1),0)</f>
        <v>1</v>
      </c>
      <c r="AA159" s="727"/>
      <c r="AB159" s="727"/>
      <c r="AC159" s="727"/>
      <c r="AD159" s="727"/>
      <c r="AE159" s="727"/>
      <c r="AF159" s="727"/>
      <c r="AG159" s="727"/>
      <c r="AH159" s="727"/>
      <c r="AI159" s="727"/>
      <c r="AJ159" s="727"/>
      <c r="AK159" s="727"/>
      <c r="AL159" s="727"/>
      <c r="AM159" s="727"/>
      <c r="AN159" s="727"/>
      <c r="AO159" s="727"/>
      <c r="AP159" s="727"/>
      <c r="AQ159" s="729"/>
      <c r="AR159" s="729"/>
      <c r="AS159" s="729"/>
      <c r="AT159" s="729"/>
      <c r="AU159" s="729"/>
      <c r="AV159" s="729"/>
      <c r="AW159" s="729"/>
      <c r="AX159" s="729"/>
      <c r="AY159" s="729"/>
      <c r="AZ159" s="729"/>
      <c r="BA159" s="729"/>
      <c r="BB159" s="729"/>
      <c r="BC159" s="729"/>
      <c r="BD159" s="729"/>
      <c r="BE159" s="729"/>
      <c r="BF159" s="729"/>
      <c r="BG159" s="729"/>
      <c r="BH159" s="729"/>
      <c r="BI159" s="729"/>
      <c r="BJ159" s="729"/>
      <c r="BK159" s="729"/>
      <c r="BL159" s="729"/>
      <c r="BM159" s="729"/>
      <c r="BN159" s="729"/>
      <c r="BO159" s="729"/>
      <c r="BP159" s="729"/>
      <c r="BQ159" s="19">
        <f t="shared" ca="1" si="7"/>
        <v>1</v>
      </c>
      <c r="BR159" s="726"/>
    </row>
    <row r="160" spans="1:74" hidden="1">
      <c r="A160" s="542">
        <f ca="1">SUBTOTAL(9,$BQ$9:BQ160)</f>
        <v>66</v>
      </c>
      <c r="B160" s="543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30" t="e">
        <f ca="1">IF(B160="Контрольно-исполнительная съемка","б/н",MID(B160,SEARCH("№",B160,1),SEARCH(" ",B160,SEARCH("№",B160,1))-SEARCH("№",B160,1)))</f>
        <v>#VALUE!</v>
      </c>
      <c r="D160" s="731"/>
      <c r="E160" s="731"/>
      <c r="F160" s="731"/>
      <c r="G160" s="731"/>
      <c r="H160" s="731"/>
      <c r="I160" s="731"/>
      <c r="J160" s="731"/>
      <c r="K160" s="731"/>
      <c r="L160" s="731"/>
      <c r="M160" s="731"/>
      <c r="N160" s="731"/>
      <c r="O160" s="731"/>
      <c r="P160" s="731"/>
      <c r="Q160" s="731"/>
      <c r="R160" s="731"/>
      <c r="S160" s="731"/>
      <c r="T160" s="731"/>
      <c r="U160" s="731"/>
      <c r="V160" s="731"/>
      <c r="W160" s="731"/>
      <c r="X160" s="731"/>
      <c r="Y160" s="732"/>
      <c r="Z160" s="727">
        <f ca="1">IFERROR(IF(OR(IFERROR(B160,0)=0,B160=""),0,1),0)</f>
        <v>0</v>
      </c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9"/>
      <c r="AR160" s="729"/>
      <c r="AS160" s="729"/>
      <c r="AT160" s="729"/>
      <c r="AU160" s="729"/>
      <c r="AV160" s="729"/>
      <c r="AW160" s="729"/>
      <c r="AX160" s="729"/>
      <c r="AY160" s="729"/>
      <c r="AZ160" s="729"/>
      <c r="BA160" s="729"/>
      <c r="BB160" s="729"/>
      <c r="BC160" s="729"/>
      <c r="BD160" s="729"/>
      <c r="BE160" s="729"/>
      <c r="BF160" s="729"/>
      <c r="BG160" s="729"/>
      <c r="BH160" s="729"/>
      <c r="BI160" s="729"/>
      <c r="BJ160" s="729"/>
      <c r="BK160" s="729"/>
      <c r="BL160" s="729"/>
      <c r="BM160" s="729"/>
      <c r="BN160" s="729"/>
      <c r="BO160" s="729"/>
      <c r="BP160" s="729"/>
      <c r="BQ160" s="19">
        <f t="shared" ca="1" si="7"/>
        <v>0</v>
      </c>
      <c r="BR160" s="726"/>
    </row>
    <row r="161" spans="1:74" hidden="1">
      <c r="A161" s="542">
        <f ca="1">SUBTOTAL(9,$BQ$9:BQ161)</f>
        <v>66</v>
      </c>
      <c r="B161" s="543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30" t="e">
        <f ca="1">IF(B161="Контрольно-исполнительная съемка","б/н",MID(B161,SEARCH("№",B161,1),SEARCH(" ",B161,SEARCH("№",B161,1))-SEARCH("№",B161,1)))</f>
        <v>#VALUE!</v>
      </c>
      <c r="D161" s="731"/>
      <c r="E161" s="731"/>
      <c r="F161" s="731"/>
      <c r="G161" s="731"/>
      <c r="H161" s="731"/>
      <c r="I161" s="731"/>
      <c r="J161" s="731"/>
      <c r="K161" s="731"/>
      <c r="L161" s="731"/>
      <c r="M161" s="731"/>
      <c r="N161" s="731"/>
      <c r="O161" s="731"/>
      <c r="P161" s="731"/>
      <c r="Q161" s="731"/>
      <c r="R161" s="731"/>
      <c r="S161" s="731"/>
      <c r="T161" s="731"/>
      <c r="U161" s="731"/>
      <c r="V161" s="731"/>
      <c r="W161" s="731"/>
      <c r="X161" s="731"/>
      <c r="Y161" s="732"/>
      <c r="Z161" s="727">
        <f ca="1">IFERROR(IF(OR(IFERROR(B161,0)=0,B161=""),0,1),0)</f>
        <v>0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9"/>
      <c r="BL161" s="729"/>
      <c r="BM161" s="729"/>
      <c r="BN161" s="729"/>
      <c r="BO161" s="729"/>
      <c r="BP161" s="729"/>
      <c r="BQ161" s="19">
        <f ca="1">IF(Z161&gt;0,1,0)</f>
        <v>0</v>
      </c>
      <c r="BR161" s="726"/>
      <c r="BV161" s="19" t="str">
        <f>MID(BV145,1,LEN(BV145))</f>
        <v/>
      </c>
    </row>
    <row r="162" spans="1:74" hidden="1">
      <c r="A162" s="542">
        <f ca="1">SUBTOTAL(9,$BQ$9:BQ162)</f>
        <v>66</v>
      </c>
      <c r="B162" s="543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30" t="e">
        <f ca="1">IF(B162="Контрольно-исполнительная съемка","б/н",MID(B162,SEARCH("№",B162,1),SEARCH(" ",B162,SEARCH("№",B162,1))-SEARCH("№",B162,1)))</f>
        <v>#VALUE!</v>
      </c>
      <c r="D162" s="731"/>
      <c r="E162" s="731"/>
      <c r="F162" s="731"/>
      <c r="G162" s="731"/>
      <c r="H162" s="731"/>
      <c r="I162" s="731"/>
      <c r="J162" s="731"/>
      <c r="K162" s="731"/>
      <c r="L162" s="731"/>
      <c r="M162" s="731"/>
      <c r="N162" s="731"/>
      <c r="O162" s="731"/>
      <c r="P162" s="731"/>
      <c r="Q162" s="731"/>
      <c r="R162" s="731"/>
      <c r="S162" s="731"/>
      <c r="T162" s="731"/>
      <c r="U162" s="731"/>
      <c r="V162" s="731"/>
      <c r="W162" s="731"/>
      <c r="X162" s="731"/>
      <c r="Y162" s="732"/>
      <c r="Z162" s="727">
        <f ca="1">IFERROR(IF(OR(IFERROR(B162,0)=0,B162=""),0,1),0)</f>
        <v>0</v>
      </c>
      <c r="AA162" s="727"/>
      <c r="AB162" s="727"/>
      <c r="AC162" s="727"/>
      <c r="AD162" s="727"/>
      <c r="AE162" s="727"/>
      <c r="AF162" s="727"/>
      <c r="AG162" s="727"/>
      <c r="AH162" s="727"/>
      <c r="AI162" s="727"/>
      <c r="AJ162" s="727"/>
      <c r="AK162" s="727"/>
      <c r="AL162" s="727"/>
      <c r="AM162" s="727"/>
      <c r="AN162" s="727"/>
      <c r="AO162" s="727"/>
      <c r="AP162" s="727"/>
      <c r="AQ162" s="729"/>
      <c r="AR162" s="729"/>
      <c r="AS162" s="729"/>
      <c r="AT162" s="729"/>
      <c r="AU162" s="729"/>
      <c r="AV162" s="729"/>
      <c r="AW162" s="729"/>
      <c r="AX162" s="729"/>
      <c r="AY162" s="729"/>
      <c r="AZ162" s="729"/>
      <c r="BA162" s="729"/>
      <c r="BB162" s="729"/>
      <c r="BC162" s="729"/>
      <c r="BD162" s="729"/>
      <c r="BE162" s="729"/>
      <c r="BF162" s="729"/>
      <c r="BG162" s="729"/>
      <c r="BH162" s="729"/>
      <c r="BI162" s="729"/>
      <c r="BJ162" s="729"/>
      <c r="BK162" s="729"/>
      <c r="BL162" s="729"/>
      <c r="BM162" s="729"/>
      <c r="BN162" s="729"/>
      <c r="BO162" s="729"/>
      <c r="BP162" s="729"/>
      <c r="BQ162" s="19">
        <f ca="1">IF(Z162&gt;0,1,0)</f>
        <v>0</v>
      </c>
      <c r="BR162" s="726"/>
    </row>
    <row r="163" spans="1:74" hidden="1">
      <c r="A163" s="542">
        <f ca="1">SUBTOTAL(9,$BQ$9:BQ163)</f>
        <v>66</v>
      </c>
      <c r="B163" s="543" t="str">
        <f ca="1">VLOOKUP(BS158,'АКТЫ скрытых работ'!A:O,14,FALSE)</f>
        <v>-</v>
      </c>
      <c r="C163" s="727" t="str">
        <f ca="1">IF(B163&lt;&gt;"-","б/н","")</f>
        <v/>
      </c>
      <c r="D163" s="727"/>
      <c r="E163" s="727"/>
      <c r="F163" s="727"/>
      <c r="G163" s="727"/>
      <c r="H163" s="727"/>
      <c r="I163" s="727"/>
      <c r="J163" s="727"/>
      <c r="K163" s="727"/>
      <c r="L163" s="727"/>
      <c r="M163" s="727"/>
      <c r="N163" s="727"/>
      <c r="O163" s="727"/>
      <c r="P163" s="727"/>
      <c r="Q163" s="727"/>
      <c r="R163" s="727"/>
      <c r="S163" s="727"/>
      <c r="T163" s="727"/>
      <c r="U163" s="727"/>
      <c r="V163" s="727"/>
      <c r="W163" s="727"/>
      <c r="X163" s="727"/>
      <c r="Y163" s="727"/>
      <c r="Z163" s="727">
        <f ca="1">IFERROR(IF(OR(IFERROR(B163,0)=0,B163="-"),0,"1 компл"),0)</f>
        <v>0</v>
      </c>
      <c r="AA163" s="727"/>
      <c r="AB163" s="727"/>
      <c r="AC163" s="727"/>
      <c r="AD163" s="727"/>
      <c r="AE163" s="727"/>
      <c r="AF163" s="727"/>
      <c r="AG163" s="727"/>
      <c r="AH163" s="727"/>
      <c r="AI163" s="727"/>
      <c r="AJ163" s="727"/>
      <c r="AK163" s="727"/>
      <c r="AL163" s="727"/>
      <c r="AM163" s="727"/>
      <c r="AN163" s="727"/>
      <c r="AO163" s="727"/>
      <c r="AP163" s="727"/>
      <c r="AQ163" s="729"/>
      <c r="AR163" s="729"/>
      <c r="AS163" s="729"/>
      <c r="AT163" s="729"/>
      <c r="AU163" s="729"/>
      <c r="AV163" s="729"/>
      <c r="AW163" s="729"/>
      <c r="AX163" s="729"/>
      <c r="AY163" s="729"/>
      <c r="AZ163" s="729"/>
      <c r="BA163" s="729"/>
      <c r="BB163" s="729"/>
      <c r="BC163" s="729"/>
      <c r="BD163" s="729"/>
      <c r="BE163" s="729"/>
      <c r="BF163" s="729"/>
      <c r="BG163" s="729"/>
      <c r="BH163" s="729"/>
      <c r="BI163" s="729"/>
      <c r="BJ163" s="729"/>
      <c r="BK163" s="729"/>
      <c r="BL163" s="729"/>
      <c r="BM163" s="729"/>
      <c r="BN163" s="729"/>
      <c r="BO163" s="729"/>
      <c r="BP163" s="729"/>
      <c r="BQ163" s="19">
        <f t="shared" ref="BQ163:BQ226" ca="1" si="8">IF(Z163&gt;0,1,0)</f>
        <v>0</v>
      </c>
      <c r="BR163" s="726"/>
    </row>
    <row r="164" spans="1:74" ht="26">
      <c r="A164" s="542">
        <f ca="1">SUBTOTAL(9,$BQ$9:BQ164)</f>
        <v>67</v>
      </c>
      <c r="B164" s="543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вертикальных электродов контура заземления'</v>
      </c>
      <c r="C164" s="727" t="str">
        <f ca="1">CONCATENATE("№",VLOOKUP(BS164,'АКТЫ скрытых работ'!A:O,2,FALSE))</f>
        <v>№2-КЗ_КК_2</v>
      </c>
      <c r="D164" s="727"/>
      <c r="E164" s="727"/>
      <c r="F164" s="727"/>
      <c r="G164" s="727"/>
      <c r="H164" s="727"/>
      <c r="I164" s="727"/>
      <c r="J164" s="727"/>
      <c r="K164" s="727"/>
      <c r="L164" s="727"/>
      <c r="M164" s="727"/>
      <c r="N164" s="727"/>
      <c r="O164" s="727"/>
      <c r="P164" s="727"/>
      <c r="Q164" s="727"/>
      <c r="R164" s="727"/>
      <c r="S164" s="727"/>
      <c r="T164" s="727"/>
      <c r="U164" s="727"/>
      <c r="V164" s="727"/>
      <c r="W164" s="727"/>
      <c r="X164" s="727"/>
      <c r="Y164" s="727"/>
      <c r="Z164" s="727">
        <f ca="1">IF(BS164="АООК_",0,1)</f>
        <v>1</v>
      </c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9"/>
      <c r="AR164" s="729"/>
      <c r="AS164" s="729"/>
      <c r="AT164" s="729"/>
      <c r="AU164" s="729"/>
      <c r="AV164" s="729"/>
      <c r="AW164" s="729"/>
      <c r="AX164" s="729"/>
      <c r="AY164" s="729"/>
      <c r="AZ164" s="729"/>
      <c r="BA164" s="729"/>
      <c r="BB164" s="729"/>
      <c r="BC164" s="729"/>
      <c r="BD164" s="729"/>
      <c r="BE164" s="729"/>
      <c r="BF164" s="729"/>
      <c r="BG164" s="729"/>
      <c r="BH164" s="729"/>
      <c r="BI164" s="729"/>
      <c r="BJ164" s="729"/>
      <c r="BK164" s="729"/>
      <c r="BL164" s="729"/>
      <c r="BM164" s="729"/>
      <c r="BN164" s="729"/>
      <c r="BO164" s="729"/>
      <c r="BP164" s="729"/>
      <c r="BQ164" s="19">
        <f t="shared" ca="1" si="8"/>
        <v>1</v>
      </c>
      <c r="BS164" s="569" t="str">
        <f ca="1">IF(INDIRECT("'АКТЫ скрытых работ'!R"&amp;BU164&amp;"C1",0)=CONCATENATE("АОСР_",BT164),CONCATENATE("АОСР_",BT164),CONCATENATE("АООК_",BT164))</f>
        <v>АОСР_15</v>
      </c>
      <c r="BT164" s="569">
        <v>15</v>
      </c>
      <c r="BU164" s="570">
        <f>BT164+1</f>
        <v>16</v>
      </c>
    </row>
    <row r="165" spans="1:74" ht="26">
      <c r="A165" s="542">
        <f ca="1">SUBTOTAL(9,$BQ$9:BQ165)</f>
        <v>68</v>
      </c>
      <c r="B165" s="545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№1 Монтаж контура заземления КК-0,4кВ</v>
      </c>
      <c r="C165" s="730" t="str">
        <f ca="1">IF(B165="Контрольно-исполнительная съемка","б/н",MID(B165,SEARCH("№",B165,1),SEARCH(" ",B165,SEARCH("№",B165,1))-SEARCH("№",B165,1)))</f>
        <v>№1</v>
      </c>
      <c r="D165" s="731"/>
      <c r="E165" s="731"/>
      <c r="F165" s="731"/>
      <c r="G165" s="731"/>
      <c r="H165" s="731"/>
      <c r="I165" s="731"/>
      <c r="J165" s="731"/>
      <c r="K165" s="731"/>
      <c r="L165" s="731"/>
      <c r="M165" s="731"/>
      <c r="N165" s="731"/>
      <c r="O165" s="731"/>
      <c r="P165" s="731"/>
      <c r="Q165" s="731"/>
      <c r="R165" s="731"/>
      <c r="S165" s="731"/>
      <c r="T165" s="731"/>
      <c r="U165" s="731"/>
      <c r="V165" s="731"/>
      <c r="W165" s="731"/>
      <c r="X165" s="731"/>
      <c r="Y165" s="732"/>
      <c r="Z165" s="727">
        <f ca="1">IFERROR(IF(OR(IFERROR(B165,0)=0,B165="-"),0,1),0)</f>
        <v>1</v>
      </c>
      <c r="AA165" s="727"/>
      <c r="AB165" s="727"/>
      <c r="AC165" s="727"/>
      <c r="AD165" s="727"/>
      <c r="AE165" s="727"/>
      <c r="AF165" s="727"/>
      <c r="AG165" s="727"/>
      <c r="AH165" s="727"/>
      <c r="AI165" s="727"/>
      <c r="AJ165" s="727"/>
      <c r="AK165" s="727"/>
      <c r="AL165" s="727"/>
      <c r="AM165" s="727"/>
      <c r="AN165" s="727"/>
      <c r="AO165" s="727"/>
      <c r="AP165" s="727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9"/>
      <c r="BL165" s="729"/>
      <c r="BM165" s="729"/>
      <c r="BN165" s="729"/>
      <c r="BO165" s="729"/>
      <c r="BP165" s="729"/>
      <c r="BQ165" s="19">
        <f t="shared" ca="1" si="8"/>
        <v>1</v>
      </c>
    </row>
    <row r="166" spans="1:74" hidden="1">
      <c r="A166" s="542">
        <f ca="1">SUBTOTAL(9,$BQ$9:BQ166)</f>
        <v>68</v>
      </c>
      <c r="B166" s="543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30" t="e">
        <f ca="1">IF(B166="Контрольно-исполнительная съемка","б/н",MID(B166,SEARCH("№",B166,1),SEARCH(" ",B166,SEARCH("№",B166,1))-SEARCH("№",B166,1)))</f>
        <v>#VALUE!</v>
      </c>
      <c r="D166" s="731"/>
      <c r="E166" s="731"/>
      <c r="F166" s="731"/>
      <c r="G166" s="731"/>
      <c r="H166" s="731"/>
      <c r="I166" s="731"/>
      <c r="J166" s="731"/>
      <c r="K166" s="731"/>
      <c r="L166" s="731"/>
      <c r="M166" s="731"/>
      <c r="N166" s="731"/>
      <c r="O166" s="731"/>
      <c r="P166" s="731"/>
      <c r="Q166" s="731"/>
      <c r="R166" s="731"/>
      <c r="S166" s="731"/>
      <c r="T166" s="731"/>
      <c r="U166" s="731"/>
      <c r="V166" s="731"/>
      <c r="W166" s="731"/>
      <c r="X166" s="731"/>
      <c r="Y166" s="732"/>
      <c r="Z166" s="727">
        <f ca="1">IFERROR(IF(OR(IFERROR(B166,0)=0,B166=""),0,1),0)</f>
        <v>0</v>
      </c>
      <c r="AA166" s="727"/>
      <c r="AB166" s="727"/>
      <c r="AC166" s="727"/>
      <c r="AD166" s="727"/>
      <c r="AE166" s="727"/>
      <c r="AF166" s="727"/>
      <c r="AG166" s="727"/>
      <c r="AH166" s="727"/>
      <c r="AI166" s="727"/>
      <c r="AJ166" s="727"/>
      <c r="AK166" s="727"/>
      <c r="AL166" s="727"/>
      <c r="AM166" s="727"/>
      <c r="AN166" s="727"/>
      <c r="AO166" s="727"/>
      <c r="AP166" s="727"/>
      <c r="AQ166" s="729"/>
      <c r="AR166" s="729"/>
      <c r="AS166" s="729"/>
      <c r="AT166" s="729"/>
      <c r="AU166" s="729"/>
      <c r="AV166" s="729"/>
      <c r="AW166" s="729"/>
      <c r="AX166" s="729"/>
      <c r="AY166" s="729"/>
      <c r="AZ166" s="729"/>
      <c r="BA166" s="729"/>
      <c r="BB166" s="729"/>
      <c r="BC166" s="729"/>
      <c r="BD166" s="729"/>
      <c r="BE166" s="729"/>
      <c r="BF166" s="729"/>
      <c r="BG166" s="729"/>
      <c r="BH166" s="729"/>
      <c r="BI166" s="729"/>
      <c r="BJ166" s="729"/>
      <c r="BK166" s="729"/>
      <c r="BL166" s="729"/>
      <c r="BM166" s="729"/>
      <c r="BN166" s="729"/>
      <c r="BO166" s="729"/>
      <c r="BP166" s="729"/>
      <c r="BQ166" s="19">
        <f t="shared" ca="1" si="8"/>
        <v>0</v>
      </c>
    </row>
    <row r="167" spans="1:74" hidden="1">
      <c r="A167" s="542">
        <f ca="1">SUBTOTAL(9,$BQ$9:BQ167)</f>
        <v>68</v>
      </c>
      <c r="B167" s="543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30" t="e">
        <f ca="1">IF(B167="Контрольно-исполнительная съемка","б/н",MID(B167,SEARCH("№",B167,1),SEARCH(" ",B167,SEARCH("№",B167,1))-SEARCH("№",B167,1)))</f>
        <v>#VALUE!</v>
      </c>
      <c r="D167" s="731"/>
      <c r="E167" s="731"/>
      <c r="F167" s="731"/>
      <c r="G167" s="731"/>
      <c r="H167" s="731"/>
      <c r="I167" s="731"/>
      <c r="J167" s="731"/>
      <c r="K167" s="731"/>
      <c r="L167" s="731"/>
      <c r="M167" s="731"/>
      <c r="N167" s="731"/>
      <c r="O167" s="731"/>
      <c r="P167" s="731"/>
      <c r="Q167" s="731"/>
      <c r="R167" s="731"/>
      <c r="S167" s="731"/>
      <c r="T167" s="731"/>
      <c r="U167" s="731"/>
      <c r="V167" s="731"/>
      <c r="W167" s="731"/>
      <c r="X167" s="731"/>
      <c r="Y167" s="732"/>
      <c r="Z167" s="727">
        <f ca="1">IFERROR(IF(OR(IFERROR(B167,0)=0,B167=""),0,1),0)</f>
        <v>0</v>
      </c>
      <c r="AA167" s="727"/>
      <c r="AB167" s="727"/>
      <c r="AC167" s="727"/>
      <c r="AD167" s="727"/>
      <c r="AE167" s="727"/>
      <c r="AF167" s="727"/>
      <c r="AG167" s="727"/>
      <c r="AH167" s="727"/>
      <c r="AI167" s="727"/>
      <c r="AJ167" s="727"/>
      <c r="AK167" s="727"/>
      <c r="AL167" s="727"/>
      <c r="AM167" s="727"/>
      <c r="AN167" s="727"/>
      <c r="AO167" s="727"/>
      <c r="AP167" s="727"/>
      <c r="AQ167" s="729"/>
      <c r="AR167" s="729"/>
      <c r="AS167" s="729"/>
      <c r="AT167" s="729"/>
      <c r="AU167" s="729"/>
      <c r="AV167" s="729"/>
      <c r="AW167" s="729"/>
      <c r="AX167" s="729"/>
      <c r="AY167" s="729"/>
      <c r="AZ167" s="729"/>
      <c r="BA167" s="729"/>
      <c r="BB167" s="729"/>
      <c r="BC167" s="729"/>
      <c r="BD167" s="729"/>
      <c r="BE167" s="729"/>
      <c r="BF167" s="729"/>
      <c r="BG167" s="729"/>
      <c r="BH167" s="729"/>
      <c r="BI167" s="729"/>
      <c r="BJ167" s="729"/>
      <c r="BK167" s="729"/>
      <c r="BL167" s="729"/>
      <c r="BM167" s="729"/>
      <c r="BN167" s="729"/>
      <c r="BO167" s="729"/>
      <c r="BP167" s="729"/>
      <c r="BQ167" s="19">
        <f t="shared" ca="1" si="8"/>
        <v>0</v>
      </c>
      <c r="BV167" s="19" t="str">
        <f>MID(BV151,1,LEN(BV151))</f>
        <v/>
      </c>
    </row>
    <row r="168" spans="1:74" hidden="1">
      <c r="A168" s="542">
        <f ca="1">SUBTOTAL(9,$BQ$9:BQ168)</f>
        <v>68</v>
      </c>
      <c r="B168" s="543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30" t="e">
        <f ca="1">IF(B168="Контрольно-исполнительная съемка","б/н",MID(B168,SEARCH("№",B168,1),SEARCH(" ",B168,SEARCH("№",B168,1))-SEARCH("№",B168,1)))</f>
        <v>#VALUE!</v>
      </c>
      <c r="D168" s="731"/>
      <c r="E168" s="731"/>
      <c r="F168" s="731"/>
      <c r="G168" s="731"/>
      <c r="H168" s="731"/>
      <c r="I168" s="731"/>
      <c r="J168" s="731"/>
      <c r="K168" s="731"/>
      <c r="L168" s="731"/>
      <c r="M168" s="731"/>
      <c r="N168" s="731"/>
      <c r="O168" s="731"/>
      <c r="P168" s="731"/>
      <c r="Q168" s="731"/>
      <c r="R168" s="731"/>
      <c r="S168" s="731"/>
      <c r="T168" s="731"/>
      <c r="U168" s="731"/>
      <c r="V168" s="731"/>
      <c r="W168" s="731"/>
      <c r="X168" s="731"/>
      <c r="Y168" s="732"/>
      <c r="Z168" s="727">
        <f ca="1">IFERROR(IF(OR(IFERROR(B168,0)=0,B168=""),0,1),0)</f>
        <v>0</v>
      </c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9"/>
      <c r="AR168" s="729"/>
      <c r="AS168" s="729"/>
      <c r="AT168" s="729"/>
      <c r="AU168" s="729"/>
      <c r="AV168" s="729"/>
      <c r="AW168" s="729"/>
      <c r="AX168" s="729"/>
      <c r="AY168" s="729"/>
      <c r="AZ168" s="729"/>
      <c r="BA168" s="729"/>
      <c r="BB168" s="729"/>
      <c r="BC168" s="729"/>
      <c r="BD168" s="729"/>
      <c r="BE168" s="729"/>
      <c r="BF168" s="729"/>
      <c r="BG168" s="729"/>
      <c r="BH168" s="729"/>
      <c r="BI168" s="729"/>
      <c r="BJ168" s="729"/>
      <c r="BK168" s="729"/>
      <c r="BL168" s="729"/>
      <c r="BM168" s="729"/>
      <c r="BN168" s="729"/>
      <c r="BO168" s="729"/>
      <c r="BP168" s="729"/>
      <c r="BQ168" s="19">
        <f t="shared" ca="1" si="8"/>
        <v>0</v>
      </c>
    </row>
    <row r="169" spans="1:74" ht="39">
      <c r="A169" s="542">
        <f ca="1">SUBTOTAL(9,$BQ$9:BQ169)</f>
        <v>69</v>
      </c>
      <c r="B169" s="543" t="str">
        <f ca="1">VLOOKUP(BS164,'АКТЫ скрытых работ'!A:O,14,FALSE)</f>
        <v>Информационное письмо №1157 от 26.10.2016 "Центр Декларирования Сертификации" (ООО "ЦДС)"</v>
      </c>
      <c r="C169" s="727" t="str">
        <f ca="1">IF(B169&lt;&gt;"-","б/н","")</f>
        <v>б/н</v>
      </c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27"/>
      <c r="U169" s="727"/>
      <c r="V169" s="727"/>
      <c r="W169" s="727"/>
      <c r="X169" s="727"/>
      <c r="Y169" s="727"/>
      <c r="Z169" s="727" t="str">
        <f ca="1">IFERROR(IF(OR(IFERROR(B169,0)=0,B169="-"),0,"1 компл"),0)</f>
        <v>1 компл</v>
      </c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27"/>
      <c r="AN169" s="727"/>
      <c r="AO169" s="727"/>
      <c r="AP169" s="727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9"/>
      <c r="BL169" s="729"/>
      <c r="BM169" s="729"/>
      <c r="BN169" s="729"/>
      <c r="BO169" s="729"/>
      <c r="BP169" s="729"/>
      <c r="BQ169" s="19">
        <f t="shared" ca="1" si="8"/>
        <v>1</v>
      </c>
    </row>
    <row r="170" spans="1:74" ht="26">
      <c r="A170" s="542">
        <f ca="1">SUBTOTAL(9,$BQ$9:BQ170)</f>
        <v>70</v>
      </c>
      <c r="B170" s="543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'Монтаж горизонтального заземлителя'</v>
      </c>
      <c r="C170" s="727" t="str">
        <f ca="1">CONCATENATE("№",VLOOKUP(BS170,'АКТЫ скрытых работ'!A:O,2,FALSE))</f>
        <v>№3-КЗ_КК_2</v>
      </c>
      <c r="D170" s="727"/>
      <c r="E170" s="727"/>
      <c r="F170" s="727"/>
      <c r="G170" s="727"/>
      <c r="H170" s="727"/>
      <c r="I170" s="727"/>
      <c r="J170" s="727"/>
      <c r="K170" s="727"/>
      <c r="L170" s="727"/>
      <c r="M170" s="727"/>
      <c r="N170" s="727"/>
      <c r="O170" s="727"/>
      <c r="P170" s="727"/>
      <c r="Q170" s="727"/>
      <c r="R170" s="727"/>
      <c r="S170" s="727"/>
      <c r="T170" s="727"/>
      <c r="U170" s="727"/>
      <c r="V170" s="727"/>
      <c r="W170" s="727"/>
      <c r="X170" s="727"/>
      <c r="Y170" s="727"/>
      <c r="Z170" s="727">
        <f ca="1">IF(BS170="АООК_",0,1)</f>
        <v>1</v>
      </c>
      <c r="AA170" s="727"/>
      <c r="AB170" s="727"/>
      <c r="AC170" s="727"/>
      <c r="AD170" s="727"/>
      <c r="AE170" s="727"/>
      <c r="AF170" s="727"/>
      <c r="AG170" s="727"/>
      <c r="AH170" s="727"/>
      <c r="AI170" s="727"/>
      <c r="AJ170" s="727"/>
      <c r="AK170" s="727"/>
      <c r="AL170" s="727"/>
      <c r="AM170" s="727"/>
      <c r="AN170" s="727"/>
      <c r="AO170" s="727"/>
      <c r="AP170" s="727"/>
      <c r="AQ170" s="729"/>
      <c r="AR170" s="729"/>
      <c r="AS170" s="729"/>
      <c r="AT170" s="729"/>
      <c r="AU170" s="729"/>
      <c r="AV170" s="729"/>
      <c r="AW170" s="729"/>
      <c r="AX170" s="729"/>
      <c r="AY170" s="729"/>
      <c r="AZ170" s="729"/>
      <c r="BA170" s="729"/>
      <c r="BB170" s="729"/>
      <c r="BC170" s="729"/>
      <c r="BD170" s="729"/>
      <c r="BE170" s="729"/>
      <c r="BF170" s="729"/>
      <c r="BG170" s="729"/>
      <c r="BH170" s="729"/>
      <c r="BI170" s="729"/>
      <c r="BJ170" s="729"/>
      <c r="BK170" s="729"/>
      <c r="BL170" s="729"/>
      <c r="BM170" s="729"/>
      <c r="BN170" s="729"/>
      <c r="BO170" s="729"/>
      <c r="BP170" s="729"/>
      <c r="BQ170" s="19">
        <f t="shared" ca="1" si="8"/>
        <v>1</v>
      </c>
      <c r="BS170" s="569" t="str">
        <f ca="1">IF(INDIRECT("'АКТЫ скрытых работ'!R"&amp;BU170&amp;"C1",0)=CONCATENATE("АОСР_",BT170),CONCATENATE("АОСР_",BT170),CONCATENATE("АООК_",BT170))</f>
        <v>АОСР_16</v>
      </c>
      <c r="BT170" s="569">
        <v>16</v>
      </c>
      <c r="BU170" s="570">
        <f>BT170+1</f>
        <v>17</v>
      </c>
    </row>
    <row r="171" spans="1:74" ht="26">
      <c r="A171" s="542">
        <f ca="1">SUBTOTAL(9,$BQ$9:BQ171)</f>
        <v>71</v>
      </c>
      <c r="B171" s="545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№1 Монтаж контура заземления КК-0,4кВ</v>
      </c>
      <c r="C171" s="730" t="str">
        <f ca="1">IF(B171="Контрольно-исполнительная съемка","б/н",MID(B171,SEARCH("№",B171,1),SEARCH(" ",B171,SEARCH("№",B171,1))-SEARCH("№",B171,1)))</f>
        <v>№1</v>
      </c>
      <c r="D171" s="731"/>
      <c r="E171" s="731"/>
      <c r="F171" s="731"/>
      <c r="G171" s="731"/>
      <c r="H171" s="731"/>
      <c r="I171" s="731"/>
      <c r="J171" s="731"/>
      <c r="K171" s="731"/>
      <c r="L171" s="731"/>
      <c r="M171" s="731"/>
      <c r="N171" s="731"/>
      <c r="O171" s="731"/>
      <c r="P171" s="731"/>
      <c r="Q171" s="731"/>
      <c r="R171" s="731"/>
      <c r="S171" s="731"/>
      <c r="T171" s="731"/>
      <c r="U171" s="731"/>
      <c r="V171" s="731"/>
      <c r="W171" s="731"/>
      <c r="X171" s="731"/>
      <c r="Y171" s="732"/>
      <c r="Z171" s="727">
        <f ca="1">IFERROR(IF(OR(IFERROR(B171,0)=0,B171="-"),0,1),0)</f>
        <v>1</v>
      </c>
      <c r="AA171" s="727"/>
      <c r="AB171" s="727"/>
      <c r="AC171" s="727"/>
      <c r="AD171" s="727"/>
      <c r="AE171" s="727"/>
      <c r="AF171" s="727"/>
      <c r="AG171" s="727"/>
      <c r="AH171" s="727"/>
      <c r="AI171" s="727"/>
      <c r="AJ171" s="727"/>
      <c r="AK171" s="727"/>
      <c r="AL171" s="727"/>
      <c r="AM171" s="727"/>
      <c r="AN171" s="727"/>
      <c r="AO171" s="727"/>
      <c r="AP171" s="727"/>
      <c r="AQ171" s="729"/>
      <c r="AR171" s="729"/>
      <c r="AS171" s="729"/>
      <c r="AT171" s="729"/>
      <c r="AU171" s="729"/>
      <c r="AV171" s="729"/>
      <c r="AW171" s="729"/>
      <c r="AX171" s="729"/>
      <c r="AY171" s="729"/>
      <c r="AZ171" s="729"/>
      <c r="BA171" s="729"/>
      <c r="BB171" s="729"/>
      <c r="BC171" s="729"/>
      <c r="BD171" s="729"/>
      <c r="BE171" s="729"/>
      <c r="BF171" s="729"/>
      <c r="BG171" s="729"/>
      <c r="BH171" s="729"/>
      <c r="BI171" s="729"/>
      <c r="BJ171" s="729"/>
      <c r="BK171" s="729"/>
      <c r="BL171" s="729"/>
      <c r="BM171" s="729"/>
      <c r="BN171" s="729"/>
      <c r="BO171" s="729"/>
      <c r="BP171" s="729"/>
      <c r="BQ171" s="19">
        <f t="shared" ca="1" si="8"/>
        <v>1</v>
      </c>
    </row>
    <row r="172" spans="1:74" hidden="1">
      <c r="A172" s="542">
        <f ca="1">SUBTOTAL(9,$BQ$9:BQ172)</f>
        <v>71</v>
      </c>
      <c r="B172" s="543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30" t="e">
        <f ca="1">IF(B172="Контрольно-исполнительная съемка","б/н",MID(B172,SEARCH("№",B172,1),SEARCH(" ",B172,SEARCH("№",B172,1))-SEARCH("№",B172,1)))</f>
        <v>#VALUE!</v>
      </c>
      <c r="D172" s="731"/>
      <c r="E172" s="731"/>
      <c r="F172" s="731"/>
      <c r="G172" s="731"/>
      <c r="H172" s="731"/>
      <c r="I172" s="731"/>
      <c r="J172" s="731"/>
      <c r="K172" s="731"/>
      <c r="L172" s="731"/>
      <c r="M172" s="731"/>
      <c r="N172" s="731"/>
      <c r="O172" s="731"/>
      <c r="P172" s="731"/>
      <c r="Q172" s="731"/>
      <c r="R172" s="731"/>
      <c r="S172" s="731"/>
      <c r="T172" s="731"/>
      <c r="U172" s="731"/>
      <c r="V172" s="731"/>
      <c r="W172" s="731"/>
      <c r="X172" s="731"/>
      <c r="Y172" s="732"/>
      <c r="Z172" s="727">
        <f ca="1">IFERROR(IF(OR(IFERROR(B172,0)=0,B172=""),0,1),0)</f>
        <v>0</v>
      </c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9"/>
      <c r="AR172" s="729"/>
      <c r="AS172" s="729"/>
      <c r="AT172" s="729"/>
      <c r="AU172" s="729"/>
      <c r="AV172" s="729"/>
      <c r="AW172" s="729"/>
      <c r="AX172" s="729"/>
      <c r="AY172" s="729"/>
      <c r="AZ172" s="729"/>
      <c r="BA172" s="729"/>
      <c r="BB172" s="729"/>
      <c r="BC172" s="729"/>
      <c r="BD172" s="729"/>
      <c r="BE172" s="729"/>
      <c r="BF172" s="729"/>
      <c r="BG172" s="729"/>
      <c r="BH172" s="729"/>
      <c r="BI172" s="729"/>
      <c r="BJ172" s="729"/>
      <c r="BK172" s="729"/>
      <c r="BL172" s="729"/>
      <c r="BM172" s="729"/>
      <c r="BN172" s="729"/>
      <c r="BO172" s="729"/>
      <c r="BP172" s="729"/>
      <c r="BQ172" s="19">
        <f t="shared" ca="1" si="8"/>
        <v>0</v>
      </c>
    </row>
    <row r="173" spans="1:74" hidden="1">
      <c r="A173" s="542">
        <f ca="1">SUBTOTAL(9,$BQ$9:BQ173)</f>
        <v>71</v>
      </c>
      <c r="B173" s="543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30" t="e">
        <f ca="1">IF(B173="Контрольно-исполнительная съемка","б/н",MID(B173,SEARCH("№",B173,1),SEARCH(" ",B173,SEARCH("№",B173,1))-SEARCH("№",B173,1)))</f>
        <v>#VALUE!</v>
      </c>
      <c r="D173" s="731"/>
      <c r="E173" s="731"/>
      <c r="F173" s="731"/>
      <c r="G173" s="731"/>
      <c r="H173" s="731"/>
      <c r="I173" s="731"/>
      <c r="J173" s="731"/>
      <c r="K173" s="731"/>
      <c r="L173" s="731"/>
      <c r="M173" s="731"/>
      <c r="N173" s="731"/>
      <c r="O173" s="731"/>
      <c r="P173" s="731"/>
      <c r="Q173" s="731"/>
      <c r="R173" s="731"/>
      <c r="S173" s="731"/>
      <c r="T173" s="731"/>
      <c r="U173" s="731"/>
      <c r="V173" s="731"/>
      <c r="W173" s="731"/>
      <c r="X173" s="731"/>
      <c r="Y173" s="732"/>
      <c r="Z173" s="727">
        <f ca="1">IFERROR(IF(OR(IFERROR(B173,0)=0,B173=""),0,1),0)</f>
        <v>0</v>
      </c>
      <c r="AA173" s="727"/>
      <c r="AB173" s="727"/>
      <c r="AC173" s="727"/>
      <c r="AD173" s="727"/>
      <c r="AE173" s="727"/>
      <c r="AF173" s="727"/>
      <c r="AG173" s="727"/>
      <c r="AH173" s="727"/>
      <c r="AI173" s="727"/>
      <c r="AJ173" s="727"/>
      <c r="AK173" s="727"/>
      <c r="AL173" s="727"/>
      <c r="AM173" s="727"/>
      <c r="AN173" s="727"/>
      <c r="AO173" s="727"/>
      <c r="AP173" s="727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9"/>
      <c r="BL173" s="729"/>
      <c r="BM173" s="729"/>
      <c r="BN173" s="729"/>
      <c r="BO173" s="729"/>
      <c r="BP173" s="729"/>
      <c r="BQ173" s="19">
        <f t="shared" ca="1" si="8"/>
        <v>0</v>
      </c>
      <c r="BV173" s="19" t="str">
        <f>MID(BV157,1,LEN(BV157))</f>
        <v/>
      </c>
    </row>
    <row r="174" spans="1:74" hidden="1">
      <c r="A174" s="542">
        <f ca="1">SUBTOTAL(9,$BQ$9:BQ174)</f>
        <v>71</v>
      </c>
      <c r="B174" s="543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30" t="e">
        <f ca="1">IF(B174="Контрольно-исполнительная съемка","б/н",MID(B174,SEARCH("№",B174,1),SEARCH(" ",B174,SEARCH("№",B174,1))-SEARCH("№",B174,1)))</f>
        <v>#VALUE!</v>
      </c>
      <c r="D174" s="731"/>
      <c r="E174" s="731"/>
      <c r="F174" s="731"/>
      <c r="G174" s="731"/>
      <c r="H174" s="731"/>
      <c r="I174" s="731"/>
      <c r="J174" s="731"/>
      <c r="K174" s="731"/>
      <c r="L174" s="731"/>
      <c r="M174" s="731"/>
      <c r="N174" s="731"/>
      <c r="O174" s="731"/>
      <c r="P174" s="731"/>
      <c r="Q174" s="731"/>
      <c r="R174" s="731"/>
      <c r="S174" s="731"/>
      <c r="T174" s="731"/>
      <c r="U174" s="731"/>
      <c r="V174" s="731"/>
      <c r="W174" s="731"/>
      <c r="X174" s="731"/>
      <c r="Y174" s="732"/>
      <c r="Z174" s="727">
        <f ca="1">IFERROR(IF(OR(IFERROR(B174,0)=0,B174=""),0,1),0)</f>
        <v>0</v>
      </c>
      <c r="AA174" s="727"/>
      <c r="AB174" s="727"/>
      <c r="AC174" s="727"/>
      <c r="AD174" s="727"/>
      <c r="AE174" s="727"/>
      <c r="AF174" s="727"/>
      <c r="AG174" s="727"/>
      <c r="AH174" s="727"/>
      <c r="AI174" s="727"/>
      <c r="AJ174" s="727"/>
      <c r="AK174" s="727"/>
      <c r="AL174" s="727"/>
      <c r="AM174" s="727"/>
      <c r="AN174" s="727"/>
      <c r="AO174" s="727"/>
      <c r="AP174" s="727"/>
      <c r="AQ174" s="729"/>
      <c r="AR174" s="729"/>
      <c r="AS174" s="729"/>
      <c r="AT174" s="729"/>
      <c r="AU174" s="729"/>
      <c r="AV174" s="729"/>
      <c r="AW174" s="729"/>
      <c r="AX174" s="729"/>
      <c r="AY174" s="729"/>
      <c r="AZ174" s="729"/>
      <c r="BA174" s="729"/>
      <c r="BB174" s="729"/>
      <c r="BC174" s="729"/>
      <c r="BD174" s="729"/>
      <c r="BE174" s="729"/>
      <c r="BF174" s="729"/>
      <c r="BG174" s="729"/>
      <c r="BH174" s="729"/>
      <c r="BI174" s="729"/>
      <c r="BJ174" s="729"/>
      <c r="BK174" s="729"/>
      <c r="BL174" s="729"/>
      <c r="BM174" s="729"/>
      <c r="BN174" s="729"/>
      <c r="BO174" s="729"/>
      <c r="BP174" s="729"/>
      <c r="BQ174" s="19">
        <f t="shared" ca="1" si="8"/>
        <v>0</v>
      </c>
    </row>
    <row r="175" spans="1:74" ht="52">
      <c r="A175" s="542">
        <f ca="1">SUBTOTAL(9,$BQ$9:BQ175)</f>
        <v>72</v>
      </c>
      <c r="B175" s="543" t="str">
        <f ca="1">VLOOKUP(BS170,'АКТЫ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75" s="727" t="str">
        <f ca="1">IF(B175&lt;&gt;"-","б/н","")</f>
        <v>б/н</v>
      </c>
      <c r="D175" s="727"/>
      <c r="E175" s="727"/>
      <c r="F175" s="727"/>
      <c r="G175" s="727"/>
      <c r="H175" s="727"/>
      <c r="I175" s="727"/>
      <c r="J175" s="727"/>
      <c r="K175" s="727"/>
      <c r="L175" s="727"/>
      <c r="M175" s="727"/>
      <c r="N175" s="727"/>
      <c r="O175" s="727"/>
      <c r="P175" s="727"/>
      <c r="Q175" s="727"/>
      <c r="R175" s="727"/>
      <c r="S175" s="727"/>
      <c r="T175" s="727"/>
      <c r="U175" s="727"/>
      <c r="V175" s="727"/>
      <c r="W175" s="727"/>
      <c r="X175" s="727"/>
      <c r="Y175" s="727"/>
      <c r="Z175" s="727" t="str">
        <f ca="1">IFERROR(IF(OR(IFERROR(B175,0)=0,B175="-"),0,"1 компл"),0)</f>
        <v>1 компл</v>
      </c>
      <c r="AA175" s="727"/>
      <c r="AB175" s="727"/>
      <c r="AC175" s="727"/>
      <c r="AD175" s="727"/>
      <c r="AE175" s="727"/>
      <c r="AF175" s="727"/>
      <c r="AG175" s="727"/>
      <c r="AH175" s="727"/>
      <c r="AI175" s="727"/>
      <c r="AJ175" s="727"/>
      <c r="AK175" s="727"/>
      <c r="AL175" s="727"/>
      <c r="AM175" s="727"/>
      <c r="AN175" s="727"/>
      <c r="AO175" s="727"/>
      <c r="AP175" s="727"/>
      <c r="AQ175" s="729"/>
      <c r="AR175" s="729"/>
      <c r="AS175" s="729"/>
      <c r="AT175" s="729"/>
      <c r="AU175" s="729"/>
      <c r="AV175" s="729"/>
      <c r="AW175" s="729"/>
      <c r="AX175" s="729"/>
      <c r="AY175" s="729"/>
      <c r="AZ175" s="729"/>
      <c r="BA175" s="729"/>
      <c r="BB175" s="729"/>
      <c r="BC175" s="729"/>
      <c r="BD175" s="729"/>
      <c r="BE175" s="729"/>
      <c r="BF175" s="729"/>
      <c r="BG175" s="729"/>
      <c r="BH175" s="729"/>
      <c r="BI175" s="729"/>
      <c r="BJ175" s="729"/>
      <c r="BK175" s="729"/>
      <c r="BL175" s="729"/>
      <c r="BM175" s="729"/>
      <c r="BN175" s="729"/>
      <c r="BO175" s="729"/>
      <c r="BP175" s="729"/>
      <c r="BQ175" s="19">
        <f t="shared" ca="1" si="8"/>
        <v>1</v>
      </c>
    </row>
    <row r="176" spans="1:74" ht="26">
      <c r="A176" s="542">
        <f ca="1">SUBTOTAL(9,$BQ$9:BQ176)</f>
        <v>73</v>
      </c>
      <c r="B176" s="543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'Огрунтовка и окраска сварных соединений'</v>
      </c>
      <c r="C176" s="727" t="str">
        <f ca="1">CONCATENATE("№",VLOOKUP(BS176,'АКТЫ скрытых работ'!A:O,2,FALSE))</f>
        <v>№4-КЗ_КК_2</v>
      </c>
      <c r="D176" s="727"/>
      <c r="E176" s="727"/>
      <c r="F176" s="727"/>
      <c r="G176" s="727"/>
      <c r="H176" s="727"/>
      <c r="I176" s="727"/>
      <c r="J176" s="727"/>
      <c r="K176" s="727"/>
      <c r="L176" s="727"/>
      <c r="M176" s="727"/>
      <c r="N176" s="727"/>
      <c r="O176" s="727"/>
      <c r="P176" s="727"/>
      <c r="Q176" s="727"/>
      <c r="R176" s="727"/>
      <c r="S176" s="727"/>
      <c r="T176" s="727"/>
      <c r="U176" s="727"/>
      <c r="V176" s="727"/>
      <c r="W176" s="727"/>
      <c r="X176" s="727"/>
      <c r="Y176" s="727"/>
      <c r="Z176" s="727">
        <f ca="1">IF(BS176="АООК_",0,1)</f>
        <v>1</v>
      </c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9"/>
      <c r="AR176" s="729"/>
      <c r="AS176" s="729"/>
      <c r="AT176" s="729"/>
      <c r="AU176" s="729"/>
      <c r="AV176" s="729"/>
      <c r="AW176" s="729"/>
      <c r="AX176" s="729"/>
      <c r="AY176" s="729"/>
      <c r="AZ176" s="729"/>
      <c r="BA176" s="729"/>
      <c r="BB176" s="729"/>
      <c r="BC176" s="729"/>
      <c r="BD176" s="729"/>
      <c r="BE176" s="729"/>
      <c r="BF176" s="729"/>
      <c r="BG176" s="729"/>
      <c r="BH176" s="729"/>
      <c r="BI176" s="729"/>
      <c r="BJ176" s="729"/>
      <c r="BK176" s="729"/>
      <c r="BL176" s="729"/>
      <c r="BM176" s="729"/>
      <c r="BN176" s="729"/>
      <c r="BO176" s="729"/>
      <c r="BP176" s="729"/>
      <c r="BQ176" s="19">
        <f t="shared" ca="1" si="8"/>
        <v>1</v>
      </c>
      <c r="BS176" s="569" t="str">
        <f ca="1">IF(INDIRECT("'АКТЫ скрытых работ'!R"&amp;BU176&amp;"C1",0)=CONCATENATE("АОСР_",BT176),CONCATENATE("АОСР_",BT176),CONCATENATE("АООК_",BT176))</f>
        <v>АОСР_17</v>
      </c>
      <c r="BT176" s="569">
        <v>17</v>
      </c>
      <c r="BU176" s="570">
        <f>BT176+1</f>
        <v>18</v>
      </c>
    </row>
    <row r="177" spans="1:74" ht="26">
      <c r="A177" s="542">
        <f ca="1">SUBTOTAL(9,$BQ$9:BQ177)</f>
        <v>74</v>
      </c>
      <c r="B177" s="545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№1 Монтаж контура заземления КК-0,4кВ</v>
      </c>
      <c r="C177" s="730" t="str">
        <f ca="1">IF(B177="Контрольно-исполнительная съемка","б/н",MID(B177,SEARCH("№",B177,1),SEARCH(" ",B177,SEARCH("№",B177,1))-SEARCH("№",B177,1)))</f>
        <v>№1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31"/>
      <c r="V177" s="731"/>
      <c r="W177" s="731"/>
      <c r="X177" s="731"/>
      <c r="Y177" s="732"/>
      <c r="Z177" s="727">
        <f ca="1">IFERROR(IF(OR(IFERROR(B177,0)=0,B177="-"),0,1),0)</f>
        <v>1</v>
      </c>
      <c r="AA177" s="727"/>
      <c r="AB177" s="727"/>
      <c r="AC177" s="727"/>
      <c r="AD177" s="727"/>
      <c r="AE177" s="727"/>
      <c r="AF177" s="727"/>
      <c r="AG177" s="727"/>
      <c r="AH177" s="727"/>
      <c r="AI177" s="727"/>
      <c r="AJ177" s="727"/>
      <c r="AK177" s="727"/>
      <c r="AL177" s="727"/>
      <c r="AM177" s="727"/>
      <c r="AN177" s="727"/>
      <c r="AO177" s="727"/>
      <c r="AP177" s="727"/>
      <c r="AQ177" s="729"/>
      <c r="AR177" s="729"/>
      <c r="AS177" s="729"/>
      <c r="AT177" s="729"/>
      <c r="AU177" s="729"/>
      <c r="AV177" s="729"/>
      <c r="AW177" s="729"/>
      <c r="AX177" s="729"/>
      <c r="AY177" s="729"/>
      <c r="AZ177" s="729"/>
      <c r="BA177" s="729"/>
      <c r="BB177" s="729"/>
      <c r="BC177" s="729"/>
      <c r="BD177" s="729"/>
      <c r="BE177" s="729"/>
      <c r="BF177" s="729"/>
      <c r="BG177" s="729"/>
      <c r="BH177" s="729"/>
      <c r="BI177" s="729"/>
      <c r="BJ177" s="729"/>
      <c r="BK177" s="729"/>
      <c r="BL177" s="729"/>
      <c r="BM177" s="729"/>
      <c r="BN177" s="729"/>
      <c r="BO177" s="729"/>
      <c r="BP177" s="729"/>
      <c r="BQ177" s="19">
        <f t="shared" ca="1" si="8"/>
        <v>1</v>
      </c>
    </row>
    <row r="178" spans="1:74" hidden="1">
      <c r="A178" s="542">
        <f ca="1">SUBTOTAL(9,$BQ$9:BQ178)</f>
        <v>74</v>
      </c>
      <c r="B178" s="543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730" t="e">
        <f ca="1">IF(B178="Контрольно-исполнительная съемка","б/н",MID(B178,SEARCH("№",B178,1),SEARCH(" ",B178,SEARCH("№",B178,1))-SEARCH("№",B178,1)))</f>
        <v>#VALUE!</v>
      </c>
      <c r="D178" s="731"/>
      <c r="E178" s="731"/>
      <c r="F178" s="731"/>
      <c r="G178" s="731"/>
      <c r="H178" s="731"/>
      <c r="I178" s="731"/>
      <c r="J178" s="731"/>
      <c r="K178" s="731"/>
      <c r="L178" s="731"/>
      <c r="M178" s="731"/>
      <c r="N178" s="731"/>
      <c r="O178" s="731"/>
      <c r="P178" s="731"/>
      <c r="Q178" s="731"/>
      <c r="R178" s="731"/>
      <c r="S178" s="731"/>
      <c r="T178" s="731"/>
      <c r="U178" s="731"/>
      <c r="V178" s="731"/>
      <c r="W178" s="731"/>
      <c r="X178" s="731"/>
      <c r="Y178" s="732"/>
      <c r="Z178" s="727">
        <f ca="1">IFERROR(IF(OR(IFERROR(B178,0)=0,B178=""),0,1),0)</f>
        <v>0</v>
      </c>
      <c r="AA178" s="727"/>
      <c r="AB178" s="727"/>
      <c r="AC178" s="727"/>
      <c r="AD178" s="727"/>
      <c r="AE178" s="727"/>
      <c r="AF178" s="727"/>
      <c r="AG178" s="727"/>
      <c r="AH178" s="727"/>
      <c r="AI178" s="727"/>
      <c r="AJ178" s="727"/>
      <c r="AK178" s="727"/>
      <c r="AL178" s="727"/>
      <c r="AM178" s="727"/>
      <c r="AN178" s="727"/>
      <c r="AO178" s="727"/>
      <c r="AP178" s="727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9"/>
      <c r="BL178" s="729"/>
      <c r="BM178" s="729"/>
      <c r="BN178" s="729"/>
      <c r="BO178" s="729"/>
      <c r="BP178" s="729"/>
      <c r="BQ178" s="19">
        <f t="shared" ca="1" si="8"/>
        <v>0</v>
      </c>
    </row>
    <row r="179" spans="1:74" hidden="1">
      <c r="A179" s="542">
        <f ca="1">SUBTOTAL(9,$BQ$9:BQ179)</f>
        <v>74</v>
      </c>
      <c r="B179" s="543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730" t="e">
        <f ca="1">IF(B179="Контрольно-исполнительная съемка","б/н",MID(B179,SEARCH("№",B179,1),SEARCH(" ",B179,SEARCH("№",B179,1))-SEARCH("№",B179,1)))</f>
        <v>#VALUE!</v>
      </c>
      <c r="D179" s="731"/>
      <c r="E179" s="731"/>
      <c r="F179" s="731"/>
      <c r="G179" s="731"/>
      <c r="H179" s="731"/>
      <c r="I179" s="731"/>
      <c r="J179" s="731"/>
      <c r="K179" s="731"/>
      <c r="L179" s="731"/>
      <c r="M179" s="731"/>
      <c r="N179" s="731"/>
      <c r="O179" s="731"/>
      <c r="P179" s="731"/>
      <c r="Q179" s="731"/>
      <c r="R179" s="731"/>
      <c r="S179" s="731"/>
      <c r="T179" s="731"/>
      <c r="U179" s="731"/>
      <c r="V179" s="731"/>
      <c r="W179" s="731"/>
      <c r="X179" s="731"/>
      <c r="Y179" s="732"/>
      <c r="Z179" s="727">
        <f ca="1">IFERROR(IF(OR(IFERROR(B179,0)=0,B179=""),0,1),0)</f>
        <v>0</v>
      </c>
      <c r="AA179" s="727"/>
      <c r="AB179" s="727"/>
      <c r="AC179" s="727"/>
      <c r="AD179" s="727"/>
      <c r="AE179" s="727"/>
      <c r="AF179" s="727"/>
      <c r="AG179" s="727"/>
      <c r="AH179" s="727"/>
      <c r="AI179" s="727"/>
      <c r="AJ179" s="727"/>
      <c r="AK179" s="727"/>
      <c r="AL179" s="727"/>
      <c r="AM179" s="727"/>
      <c r="AN179" s="727"/>
      <c r="AO179" s="727"/>
      <c r="AP179" s="727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729"/>
      <c r="BL179" s="729"/>
      <c r="BM179" s="729"/>
      <c r="BN179" s="729"/>
      <c r="BO179" s="729"/>
      <c r="BP179" s="729"/>
      <c r="BQ179" s="19">
        <f t="shared" ca="1" si="8"/>
        <v>0</v>
      </c>
      <c r="BV179" s="19" t="str">
        <f>MID(BV163,1,LEN(BV163))</f>
        <v/>
      </c>
    </row>
    <row r="180" spans="1:74" hidden="1">
      <c r="A180" s="542">
        <f ca="1">SUBTOTAL(9,$BQ$9:BQ180)</f>
        <v>74</v>
      </c>
      <c r="B180" s="543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730" t="e">
        <f ca="1">IF(B180="Контрольно-исполнительная съемка","б/н",MID(B180,SEARCH("№",B180,1),SEARCH(" ",B180,SEARCH("№",B180,1))-SEARCH("№",B180,1)))</f>
        <v>#VALUE!</v>
      </c>
      <c r="D180" s="731"/>
      <c r="E180" s="731"/>
      <c r="F180" s="731"/>
      <c r="G180" s="731"/>
      <c r="H180" s="731"/>
      <c r="I180" s="731"/>
      <c r="J180" s="731"/>
      <c r="K180" s="731"/>
      <c r="L180" s="731"/>
      <c r="M180" s="731"/>
      <c r="N180" s="731"/>
      <c r="O180" s="731"/>
      <c r="P180" s="731"/>
      <c r="Q180" s="731"/>
      <c r="R180" s="731"/>
      <c r="S180" s="731"/>
      <c r="T180" s="731"/>
      <c r="U180" s="731"/>
      <c r="V180" s="731"/>
      <c r="W180" s="731"/>
      <c r="X180" s="731"/>
      <c r="Y180" s="732"/>
      <c r="Z180" s="727">
        <f ca="1">IFERROR(IF(OR(IFERROR(B180,0)=0,B180=""),0,1),0)</f>
        <v>0</v>
      </c>
      <c r="AA180" s="727"/>
      <c r="AB180" s="727"/>
      <c r="AC180" s="727"/>
      <c r="AD180" s="727"/>
      <c r="AE180" s="727"/>
      <c r="AF180" s="727"/>
      <c r="AG180" s="727"/>
      <c r="AH180" s="727"/>
      <c r="AI180" s="727"/>
      <c r="AJ180" s="727"/>
      <c r="AK180" s="727"/>
      <c r="AL180" s="727"/>
      <c r="AM180" s="727"/>
      <c r="AN180" s="727"/>
      <c r="AO180" s="727"/>
      <c r="AP180" s="727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729"/>
      <c r="BL180" s="729"/>
      <c r="BM180" s="729"/>
      <c r="BN180" s="729"/>
      <c r="BO180" s="729"/>
      <c r="BP180" s="729"/>
      <c r="BQ180" s="19">
        <f t="shared" ca="1" si="8"/>
        <v>0</v>
      </c>
    </row>
    <row r="181" spans="1:74" ht="26">
      <c r="A181" s="542">
        <f ca="1">SUBTOTAL(9,$BQ$9:BQ181)</f>
        <v>75</v>
      </c>
      <c r="B181" s="543" t="str">
        <f ca="1">VLOOKUP(BS176,'АКТЫ скрытых работ'!A:O,14,FALSE)</f>
        <v>Отказное письмо исх. №60-12/2020 от 12.05.2020 ООО "Биквест-Центр"</v>
      </c>
      <c r="C181" s="727" t="str">
        <f ca="1">IF(B181&lt;&gt;"-","б/н","")</f>
        <v>б/н</v>
      </c>
      <c r="D181" s="727"/>
      <c r="E181" s="727"/>
      <c r="F181" s="727"/>
      <c r="G181" s="727"/>
      <c r="H181" s="727"/>
      <c r="I181" s="727"/>
      <c r="J181" s="727"/>
      <c r="K181" s="727"/>
      <c r="L181" s="727"/>
      <c r="M181" s="727"/>
      <c r="N181" s="727"/>
      <c r="O181" s="727"/>
      <c r="P181" s="727"/>
      <c r="Q181" s="727"/>
      <c r="R181" s="727"/>
      <c r="S181" s="727"/>
      <c r="T181" s="727"/>
      <c r="U181" s="727"/>
      <c r="V181" s="727"/>
      <c r="W181" s="727"/>
      <c r="X181" s="727"/>
      <c r="Y181" s="727"/>
      <c r="Z181" s="727" t="str">
        <f ca="1">IFERROR(IF(OR(IFERROR(B181,0)=0,B181="-"),0,"1 компл"),0)</f>
        <v>1 компл</v>
      </c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729"/>
      <c r="BL181" s="729"/>
      <c r="BM181" s="729"/>
      <c r="BN181" s="729"/>
      <c r="BO181" s="729"/>
      <c r="BP181" s="729"/>
      <c r="BQ181" s="19">
        <f t="shared" ca="1" si="8"/>
        <v>1</v>
      </c>
    </row>
    <row r="182" spans="1:74" ht="26">
      <c r="A182" s="542">
        <f ca="1">SUBTOTAL(9,$BQ$9:BQ182)</f>
        <v>76</v>
      </c>
      <c r="B182" s="543" t="str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Акт освидетельствования скрытых работ 'Обратная засыпка траншеи'</v>
      </c>
      <c r="C182" s="727" t="str">
        <f ca="1">CONCATENATE("№",VLOOKUP(BS182,'АКТЫ скрытых работ'!A:O,2,FALSE))</f>
        <v>№5-КЗ_КК_2</v>
      </c>
      <c r="D182" s="727"/>
      <c r="E182" s="727"/>
      <c r="F182" s="727"/>
      <c r="G182" s="727"/>
      <c r="H182" s="727"/>
      <c r="I182" s="727"/>
      <c r="J182" s="727"/>
      <c r="K182" s="727"/>
      <c r="L182" s="727"/>
      <c r="M182" s="727"/>
      <c r="N182" s="727"/>
      <c r="O182" s="727"/>
      <c r="P182" s="727"/>
      <c r="Q182" s="727"/>
      <c r="R182" s="727"/>
      <c r="S182" s="727"/>
      <c r="T182" s="727"/>
      <c r="U182" s="727"/>
      <c r="V182" s="727"/>
      <c r="W182" s="727"/>
      <c r="X182" s="727"/>
      <c r="Y182" s="727"/>
      <c r="Z182" s="727">
        <f ca="1">IF(BS182="АООК_",0,1)</f>
        <v>1</v>
      </c>
      <c r="AA182" s="727"/>
      <c r="AB182" s="727"/>
      <c r="AC182" s="727"/>
      <c r="AD182" s="727"/>
      <c r="AE182" s="727"/>
      <c r="AF182" s="727"/>
      <c r="AG182" s="727"/>
      <c r="AH182" s="727"/>
      <c r="AI182" s="727"/>
      <c r="AJ182" s="727"/>
      <c r="AK182" s="727"/>
      <c r="AL182" s="727"/>
      <c r="AM182" s="727"/>
      <c r="AN182" s="727"/>
      <c r="AO182" s="727"/>
      <c r="AP182" s="727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9"/>
      <c r="BL182" s="729"/>
      <c r="BM182" s="729"/>
      <c r="BN182" s="729"/>
      <c r="BO182" s="729"/>
      <c r="BP182" s="729"/>
      <c r="BQ182" s="19">
        <f t="shared" ca="1" si="8"/>
        <v>1</v>
      </c>
      <c r="BS182" s="569" t="str">
        <f ca="1">IF(INDIRECT("'АКТЫ скрытых работ'!R"&amp;BU182&amp;"C1",0)=CONCATENATE("АОСР_",BT182),CONCATENATE("АОСР_",BT182),CONCATENATE("АООК_",BT182))</f>
        <v>АОСР_18</v>
      </c>
      <c r="BT182" s="569">
        <v>18</v>
      </c>
      <c r="BU182" s="570">
        <f>BT182+1</f>
        <v>19</v>
      </c>
    </row>
    <row r="183" spans="1:74" ht="26">
      <c r="A183" s="542">
        <f ca="1">SUBTOTAL(9,$BQ$9:BQ183)</f>
        <v>77</v>
      </c>
      <c r="B183" s="545" t="str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Исполнительная схема №1 Монтаж контура заземления КК-0,4кВ</v>
      </c>
      <c r="C183" s="730" t="str">
        <f ca="1">IF(B183="Контрольно-исполнительная съемка","б/н",MID(B183,SEARCH("№",B183,1),SEARCH(" ",B183,SEARCH("№",B183,1))-SEARCH("№",B183,1)))</f>
        <v>№1</v>
      </c>
      <c r="D183" s="731"/>
      <c r="E183" s="731"/>
      <c r="F183" s="731"/>
      <c r="G183" s="731"/>
      <c r="H183" s="731"/>
      <c r="I183" s="731"/>
      <c r="J183" s="731"/>
      <c r="K183" s="731"/>
      <c r="L183" s="731"/>
      <c r="M183" s="731"/>
      <c r="N183" s="731"/>
      <c r="O183" s="731"/>
      <c r="P183" s="731"/>
      <c r="Q183" s="731"/>
      <c r="R183" s="731"/>
      <c r="S183" s="731"/>
      <c r="T183" s="731"/>
      <c r="U183" s="731"/>
      <c r="V183" s="731"/>
      <c r="W183" s="731"/>
      <c r="X183" s="731"/>
      <c r="Y183" s="732"/>
      <c r="Z183" s="727">
        <f ca="1">IFERROR(IF(OR(IFERROR(B183,0)=0,B183="-"),0,1),0)</f>
        <v>1</v>
      </c>
      <c r="AA183" s="727"/>
      <c r="AB183" s="727"/>
      <c r="AC183" s="727"/>
      <c r="AD183" s="727"/>
      <c r="AE183" s="727"/>
      <c r="AF183" s="727"/>
      <c r="AG183" s="727"/>
      <c r="AH183" s="727"/>
      <c r="AI183" s="727"/>
      <c r="AJ183" s="727"/>
      <c r="AK183" s="727"/>
      <c r="AL183" s="727"/>
      <c r="AM183" s="727"/>
      <c r="AN183" s="727"/>
      <c r="AO183" s="727"/>
      <c r="AP183" s="727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729"/>
      <c r="BL183" s="729"/>
      <c r="BM183" s="729"/>
      <c r="BN183" s="729"/>
      <c r="BO183" s="729"/>
      <c r="BP183" s="729"/>
      <c r="BQ183" s="19">
        <f t="shared" ca="1" si="8"/>
        <v>1</v>
      </c>
    </row>
    <row r="184" spans="1:74" hidden="1">
      <c r="A184" s="542">
        <f ca="1">SUBTOTAL(9,$BQ$9:BQ184)</f>
        <v>77</v>
      </c>
      <c r="B184" s="543" t="str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/>
      </c>
      <c r="C184" s="730" t="e">
        <f ca="1">IF(B184="Контрольно-исполнительная съемка","б/н",MID(B184,SEARCH("№",B184,1),SEARCH(" ",B184,SEARCH("№",B184,1))-SEARCH("№",B184,1)))</f>
        <v>#VALUE!</v>
      </c>
      <c r="D184" s="731"/>
      <c r="E184" s="731"/>
      <c r="F184" s="731"/>
      <c r="G184" s="731"/>
      <c r="H184" s="731"/>
      <c r="I184" s="731"/>
      <c r="J184" s="731"/>
      <c r="K184" s="731"/>
      <c r="L184" s="731"/>
      <c r="M184" s="731"/>
      <c r="N184" s="731"/>
      <c r="O184" s="731"/>
      <c r="P184" s="731"/>
      <c r="Q184" s="731"/>
      <c r="R184" s="731"/>
      <c r="S184" s="731"/>
      <c r="T184" s="731"/>
      <c r="U184" s="731"/>
      <c r="V184" s="731"/>
      <c r="W184" s="731"/>
      <c r="X184" s="731"/>
      <c r="Y184" s="732"/>
      <c r="Z184" s="727">
        <f ca="1">IFERROR(IF(OR(IFERROR(B184,0)=0,B184=""),0,1),0)</f>
        <v>0</v>
      </c>
      <c r="AA184" s="727"/>
      <c r="AB184" s="727"/>
      <c r="AC184" s="727"/>
      <c r="AD184" s="727"/>
      <c r="AE184" s="727"/>
      <c r="AF184" s="727"/>
      <c r="AG184" s="727"/>
      <c r="AH184" s="727"/>
      <c r="AI184" s="727"/>
      <c r="AJ184" s="727"/>
      <c r="AK184" s="727"/>
      <c r="AL184" s="727"/>
      <c r="AM184" s="727"/>
      <c r="AN184" s="727"/>
      <c r="AO184" s="727"/>
      <c r="AP184" s="727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729"/>
      <c r="BL184" s="729"/>
      <c r="BM184" s="729"/>
      <c r="BN184" s="729"/>
      <c r="BO184" s="729"/>
      <c r="BP184" s="729"/>
      <c r="BQ184" s="19">
        <f t="shared" ca="1" si="8"/>
        <v>0</v>
      </c>
    </row>
    <row r="185" spans="1:74" hidden="1">
      <c r="A185" s="542">
        <f ca="1">SUBTOTAL(9,$BQ$9:BQ185)</f>
        <v>77</v>
      </c>
      <c r="B185" s="543" t="str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/>
      </c>
      <c r="C185" s="730" t="e">
        <f ca="1">IF(B185="Контрольно-исполнительная съемка","б/н",MID(B185,SEARCH("№",B185,1),SEARCH(" ",B185,SEARCH("№",B185,1))-SEARCH("№",B185,1)))</f>
        <v>#VALUE!</v>
      </c>
      <c r="D185" s="731"/>
      <c r="E185" s="731"/>
      <c r="F185" s="731"/>
      <c r="G185" s="731"/>
      <c r="H185" s="731"/>
      <c r="I185" s="731"/>
      <c r="J185" s="731"/>
      <c r="K185" s="731"/>
      <c r="L185" s="731"/>
      <c r="M185" s="731"/>
      <c r="N185" s="731"/>
      <c r="O185" s="731"/>
      <c r="P185" s="731"/>
      <c r="Q185" s="731"/>
      <c r="R185" s="731"/>
      <c r="S185" s="731"/>
      <c r="T185" s="731"/>
      <c r="U185" s="731"/>
      <c r="V185" s="731"/>
      <c r="W185" s="731"/>
      <c r="X185" s="731"/>
      <c r="Y185" s="732"/>
      <c r="Z185" s="727">
        <f ca="1">IFERROR(IF(OR(IFERROR(B185,0)=0,B185=""),0,1),0)</f>
        <v>0</v>
      </c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729"/>
      <c r="BL185" s="729"/>
      <c r="BM185" s="729"/>
      <c r="BN185" s="729"/>
      <c r="BO185" s="729"/>
      <c r="BP185" s="729"/>
      <c r="BQ185" s="19">
        <f t="shared" ca="1" si="8"/>
        <v>0</v>
      </c>
      <c r="BV185" s="19" t="str">
        <f>MID(BV169,1,LEN(BV169))</f>
        <v/>
      </c>
    </row>
    <row r="186" spans="1:74" hidden="1">
      <c r="A186" s="542">
        <f ca="1">SUBTOTAL(9,$BQ$9:BQ186)</f>
        <v>77</v>
      </c>
      <c r="B186" s="543" t="str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/>
      </c>
      <c r="C186" s="730" t="e">
        <f ca="1">IF(B186="Контрольно-исполнительная съемка","б/н",MID(B186,SEARCH("№",B186,1),SEARCH(" ",B186,SEARCH("№",B186,1))-SEARCH("№",B186,1)))</f>
        <v>#VALUE!</v>
      </c>
      <c r="D186" s="731"/>
      <c r="E186" s="731"/>
      <c r="F186" s="731"/>
      <c r="G186" s="731"/>
      <c r="H186" s="731"/>
      <c r="I186" s="731"/>
      <c r="J186" s="731"/>
      <c r="K186" s="731"/>
      <c r="L186" s="731"/>
      <c r="M186" s="731"/>
      <c r="N186" s="731"/>
      <c r="O186" s="731"/>
      <c r="P186" s="731"/>
      <c r="Q186" s="731"/>
      <c r="R186" s="731"/>
      <c r="S186" s="731"/>
      <c r="T186" s="731"/>
      <c r="U186" s="731"/>
      <c r="V186" s="731"/>
      <c r="W186" s="731"/>
      <c r="X186" s="731"/>
      <c r="Y186" s="732"/>
      <c r="Z186" s="727">
        <f ca="1">IFERROR(IF(OR(IFERROR(B186,0)=0,B186=""),0,1),0)</f>
        <v>0</v>
      </c>
      <c r="AA186" s="727"/>
      <c r="AB186" s="727"/>
      <c r="AC186" s="727"/>
      <c r="AD186" s="727"/>
      <c r="AE186" s="727"/>
      <c r="AF186" s="727"/>
      <c r="AG186" s="727"/>
      <c r="AH186" s="727"/>
      <c r="AI186" s="727"/>
      <c r="AJ186" s="727"/>
      <c r="AK186" s="727"/>
      <c r="AL186" s="727"/>
      <c r="AM186" s="727"/>
      <c r="AN186" s="727"/>
      <c r="AO186" s="727"/>
      <c r="AP186" s="727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9"/>
      <c r="BL186" s="729"/>
      <c r="BM186" s="729"/>
      <c r="BN186" s="729"/>
      <c r="BO186" s="729"/>
      <c r="BP186" s="729"/>
      <c r="BQ186" s="19">
        <f t="shared" ca="1" si="8"/>
        <v>0</v>
      </c>
    </row>
    <row r="187" spans="1:74" hidden="1">
      <c r="A187" s="542">
        <f ca="1">SUBTOTAL(9,$BQ$9:BQ187)</f>
        <v>77</v>
      </c>
      <c r="B187" s="543" t="str">
        <f ca="1">VLOOKUP(BS182,'АКТЫ скрытых работ'!A:O,14,FALSE)</f>
        <v>-</v>
      </c>
      <c r="C187" s="727" t="str">
        <f ca="1">IF(B187&lt;&gt;"-","б/н","")</f>
        <v/>
      </c>
      <c r="D187" s="727"/>
      <c r="E187" s="727"/>
      <c r="F187" s="727"/>
      <c r="G187" s="727"/>
      <c r="H187" s="727"/>
      <c r="I187" s="727"/>
      <c r="J187" s="727"/>
      <c r="K187" s="727"/>
      <c r="L187" s="727"/>
      <c r="M187" s="727"/>
      <c r="N187" s="727"/>
      <c r="O187" s="727"/>
      <c r="P187" s="727"/>
      <c r="Q187" s="727"/>
      <c r="R187" s="727"/>
      <c r="S187" s="727"/>
      <c r="T187" s="727"/>
      <c r="U187" s="727"/>
      <c r="V187" s="727"/>
      <c r="W187" s="727"/>
      <c r="X187" s="727"/>
      <c r="Y187" s="727"/>
      <c r="Z187" s="727">
        <f ca="1">IFERROR(IF(OR(IFERROR(B187,0)=0,B187="-"),0,"1 компл"),0)</f>
        <v>0</v>
      </c>
      <c r="AA187" s="727"/>
      <c r="AB187" s="727"/>
      <c r="AC187" s="727"/>
      <c r="AD187" s="727"/>
      <c r="AE187" s="727"/>
      <c r="AF187" s="727"/>
      <c r="AG187" s="727"/>
      <c r="AH187" s="727"/>
      <c r="AI187" s="727"/>
      <c r="AJ187" s="727"/>
      <c r="AK187" s="727"/>
      <c r="AL187" s="727"/>
      <c r="AM187" s="727"/>
      <c r="AN187" s="727"/>
      <c r="AO187" s="727"/>
      <c r="AP187" s="727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729"/>
      <c r="BL187" s="729"/>
      <c r="BM187" s="729"/>
      <c r="BN187" s="729"/>
      <c r="BO187" s="729"/>
      <c r="BP187" s="729"/>
      <c r="BQ187" s="19">
        <f t="shared" ca="1" si="8"/>
        <v>0</v>
      </c>
    </row>
    <row r="188" spans="1:74" ht="26">
      <c r="A188" s="542">
        <f ca="1">SUBTOTAL(9,$BQ$9:BQ188)</f>
        <v>78</v>
      </c>
      <c r="B188" s="543" t="str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Акт освидетельствования скрытых работ 'Разработка грунта траншеи'</v>
      </c>
      <c r="C188" s="727" t="str">
        <f ca="1">CONCATENATE("№",VLOOKUP(BS188,'АКТЫ скрытых работ'!A:O,2,FALSE))</f>
        <v>№1-КЗ_КК_3</v>
      </c>
      <c r="D188" s="727"/>
      <c r="E188" s="727"/>
      <c r="F188" s="727"/>
      <c r="G188" s="727"/>
      <c r="H188" s="727"/>
      <c r="I188" s="727"/>
      <c r="J188" s="727"/>
      <c r="K188" s="727"/>
      <c r="L188" s="727"/>
      <c r="M188" s="727"/>
      <c r="N188" s="727"/>
      <c r="O188" s="727"/>
      <c r="P188" s="727"/>
      <c r="Q188" s="727"/>
      <c r="R188" s="727"/>
      <c r="S188" s="727"/>
      <c r="T188" s="727"/>
      <c r="U188" s="727"/>
      <c r="V188" s="727"/>
      <c r="W188" s="727"/>
      <c r="X188" s="727"/>
      <c r="Y188" s="727"/>
      <c r="Z188" s="727">
        <f ca="1">IF(BS188="АООК_",0,1)</f>
        <v>1</v>
      </c>
      <c r="AA188" s="727"/>
      <c r="AB188" s="727"/>
      <c r="AC188" s="727"/>
      <c r="AD188" s="727"/>
      <c r="AE188" s="727"/>
      <c r="AF188" s="727"/>
      <c r="AG188" s="727"/>
      <c r="AH188" s="727"/>
      <c r="AI188" s="727"/>
      <c r="AJ188" s="727"/>
      <c r="AK188" s="727"/>
      <c r="AL188" s="727"/>
      <c r="AM188" s="727"/>
      <c r="AN188" s="727"/>
      <c r="AO188" s="727"/>
      <c r="AP188" s="727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729"/>
      <c r="BL188" s="729"/>
      <c r="BM188" s="729"/>
      <c r="BN188" s="729"/>
      <c r="BO188" s="729"/>
      <c r="BP188" s="729"/>
      <c r="BQ188" s="19">
        <f t="shared" ca="1" si="8"/>
        <v>1</v>
      </c>
      <c r="BS188" s="569" t="str">
        <f ca="1">IF(INDIRECT("'АКТЫ скрытых работ'!R"&amp;BU188&amp;"C1",0)=CONCATENATE("АОСР_",BT188),CONCATENATE("АОСР_",BT188),CONCATENATE("АООК_",BT188))</f>
        <v>АОСР_19</v>
      </c>
      <c r="BT188" s="569">
        <v>19</v>
      </c>
      <c r="BU188" s="570">
        <f>BT188+1</f>
        <v>20</v>
      </c>
    </row>
    <row r="189" spans="1:74" ht="26">
      <c r="A189" s="542">
        <f ca="1">SUBTOTAL(9,$BQ$9:BQ189)</f>
        <v>79</v>
      </c>
      <c r="B189" s="545" t="str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Исполнительная схема №1 Монтаж контура заземления КК-0,4кВ</v>
      </c>
      <c r="C189" s="730" t="str">
        <f ca="1">IF(B189="Контрольно-исполнительная съемка","б/н",MID(B189,SEARCH("№",B189,1),SEARCH(" ",B189,SEARCH("№",B189,1))-SEARCH("№",B189,1)))</f>
        <v>№1</v>
      </c>
      <c r="D189" s="731"/>
      <c r="E189" s="731"/>
      <c r="F189" s="731"/>
      <c r="G189" s="731"/>
      <c r="H189" s="731"/>
      <c r="I189" s="731"/>
      <c r="J189" s="731"/>
      <c r="K189" s="731"/>
      <c r="L189" s="731"/>
      <c r="M189" s="731"/>
      <c r="N189" s="731"/>
      <c r="O189" s="731"/>
      <c r="P189" s="731"/>
      <c r="Q189" s="731"/>
      <c r="R189" s="731"/>
      <c r="S189" s="731"/>
      <c r="T189" s="731"/>
      <c r="U189" s="731"/>
      <c r="V189" s="731"/>
      <c r="W189" s="731"/>
      <c r="X189" s="731"/>
      <c r="Y189" s="732"/>
      <c r="Z189" s="727">
        <f ca="1">IFERROR(IF(OR(IFERROR(B189,0)=0,B189="-"),0,1),0)</f>
        <v>1</v>
      </c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729"/>
      <c r="BL189" s="729"/>
      <c r="BM189" s="729"/>
      <c r="BN189" s="729"/>
      <c r="BO189" s="729"/>
      <c r="BP189" s="729"/>
      <c r="BQ189" s="19">
        <f t="shared" ca="1" si="8"/>
        <v>1</v>
      </c>
    </row>
    <row r="190" spans="1:74" hidden="1">
      <c r="A190" s="542">
        <f ca="1">SUBTOTAL(9,$BQ$9:BQ190)</f>
        <v>79</v>
      </c>
      <c r="B190" s="543" t="str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/>
      </c>
      <c r="C190" s="730" t="e">
        <f ca="1">IF(B190="Контрольно-исполнительная съемка","б/н",MID(B190,SEARCH("№",B190,1),SEARCH(" ",B190,SEARCH("№",B190,1))-SEARCH("№",B190,1)))</f>
        <v>#VALUE!</v>
      </c>
      <c r="D190" s="731"/>
      <c r="E190" s="731"/>
      <c r="F190" s="731"/>
      <c r="G190" s="731"/>
      <c r="H190" s="731"/>
      <c r="I190" s="731"/>
      <c r="J190" s="731"/>
      <c r="K190" s="731"/>
      <c r="L190" s="731"/>
      <c r="M190" s="731"/>
      <c r="N190" s="731"/>
      <c r="O190" s="731"/>
      <c r="P190" s="731"/>
      <c r="Q190" s="731"/>
      <c r="R190" s="731"/>
      <c r="S190" s="731"/>
      <c r="T190" s="731"/>
      <c r="U190" s="731"/>
      <c r="V190" s="731"/>
      <c r="W190" s="731"/>
      <c r="X190" s="731"/>
      <c r="Y190" s="732"/>
      <c r="Z190" s="727">
        <f ca="1">IFERROR(IF(OR(IFERROR(B190,0)=0,B190=""),0,1),0)</f>
        <v>0</v>
      </c>
      <c r="AA190" s="727"/>
      <c r="AB190" s="727"/>
      <c r="AC190" s="727"/>
      <c r="AD190" s="727"/>
      <c r="AE190" s="727"/>
      <c r="AF190" s="727"/>
      <c r="AG190" s="727"/>
      <c r="AH190" s="727"/>
      <c r="AI190" s="727"/>
      <c r="AJ190" s="727"/>
      <c r="AK190" s="727"/>
      <c r="AL190" s="727"/>
      <c r="AM190" s="727"/>
      <c r="AN190" s="727"/>
      <c r="AO190" s="727"/>
      <c r="AP190" s="727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9"/>
      <c r="BL190" s="729"/>
      <c r="BM190" s="729"/>
      <c r="BN190" s="729"/>
      <c r="BO190" s="729"/>
      <c r="BP190" s="729"/>
      <c r="BQ190" s="19">
        <f t="shared" ca="1" si="8"/>
        <v>0</v>
      </c>
    </row>
    <row r="191" spans="1:74" hidden="1">
      <c r="A191" s="542">
        <f ca="1">SUBTOTAL(9,$BQ$9:BQ191)</f>
        <v>79</v>
      </c>
      <c r="B191" s="543" t="str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/>
      </c>
      <c r="C191" s="730" t="e">
        <f ca="1">IF(B191="Контрольно-исполнительная съемка","б/н",MID(B191,SEARCH("№",B191,1),SEARCH(" ",B191,SEARCH("№",B191,1))-SEARCH("№",B191,1)))</f>
        <v>#VALUE!</v>
      </c>
      <c r="D191" s="731"/>
      <c r="E191" s="731"/>
      <c r="F191" s="731"/>
      <c r="G191" s="731"/>
      <c r="H191" s="731"/>
      <c r="I191" s="731"/>
      <c r="J191" s="731"/>
      <c r="K191" s="731"/>
      <c r="L191" s="731"/>
      <c r="M191" s="731"/>
      <c r="N191" s="731"/>
      <c r="O191" s="731"/>
      <c r="P191" s="731"/>
      <c r="Q191" s="731"/>
      <c r="R191" s="731"/>
      <c r="S191" s="731"/>
      <c r="T191" s="731"/>
      <c r="U191" s="731"/>
      <c r="V191" s="731"/>
      <c r="W191" s="731"/>
      <c r="X191" s="731"/>
      <c r="Y191" s="732"/>
      <c r="Z191" s="727">
        <f ca="1">IFERROR(IF(OR(IFERROR(B191,0)=0,B191=""),0,1),0)</f>
        <v>0</v>
      </c>
      <c r="AA191" s="727"/>
      <c r="AB191" s="727"/>
      <c r="AC191" s="727"/>
      <c r="AD191" s="727"/>
      <c r="AE191" s="727"/>
      <c r="AF191" s="727"/>
      <c r="AG191" s="727"/>
      <c r="AH191" s="727"/>
      <c r="AI191" s="727"/>
      <c r="AJ191" s="727"/>
      <c r="AK191" s="727"/>
      <c r="AL191" s="727"/>
      <c r="AM191" s="727"/>
      <c r="AN191" s="727"/>
      <c r="AO191" s="727"/>
      <c r="AP191" s="727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729"/>
      <c r="BL191" s="729"/>
      <c r="BM191" s="729"/>
      <c r="BN191" s="729"/>
      <c r="BO191" s="729"/>
      <c r="BP191" s="729"/>
      <c r="BQ191" s="19">
        <f t="shared" ca="1" si="8"/>
        <v>0</v>
      </c>
      <c r="BV191" s="19" t="str">
        <f>MID(BV175,1,LEN(BV175))</f>
        <v/>
      </c>
    </row>
    <row r="192" spans="1:74" hidden="1">
      <c r="A192" s="542">
        <f ca="1">SUBTOTAL(9,$BQ$9:BQ192)</f>
        <v>79</v>
      </c>
      <c r="B192" s="543" t="str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/>
      </c>
      <c r="C192" s="730" t="e">
        <f ca="1">IF(B192="Контрольно-исполнительная съемка","б/н",MID(B192,SEARCH("№",B192,1),SEARCH(" ",B192,SEARCH("№",B192,1))-SEARCH("№",B192,1)))</f>
        <v>#VALUE!</v>
      </c>
      <c r="D192" s="731"/>
      <c r="E192" s="731"/>
      <c r="F192" s="731"/>
      <c r="G192" s="731"/>
      <c r="H192" s="731"/>
      <c r="I192" s="731"/>
      <c r="J192" s="731"/>
      <c r="K192" s="731"/>
      <c r="L192" s="731"/>
      <c r="M192" s="731"/>
      <c r="N192" s="731"/>
      <c r="O192" s="731"/>
      <c r="P192" s="731"/>
      <c r="Q192" s="731"/>
      <c r="R192" s="731"/>
      <c r="S192" s="731"/>
      <c r="T192" s="731"/>
      <c r="U192" s="731"/>
      <c r="V192" s="731"/>
      <c r="W192" s="731"/>
      <c r="X192" s="731"/>
      <c r="Y192" s="732"/>
      <c r="Z192" s="727">
        <f ca="1">IFERROR(IF(OR(IFERROR(B192,0)=0,B192=""),0,1),0)</f>
        <v>0</v>
      </c>
      <c r="AA192" s="727"/>
      <c r="AB192" s="727"/>
      <c r="AC192" s="727"/>
      <c r="AD192" s="727"/>
      <c r="AE192" s="727"/>
      <c r="AF192" s="727"/>
      <c r="AG192" s="727"/>
      <c r="AH192" s="727"/>
      <c r="AI192" s="727"/>
      <c r="AJ192" s="727"/>
      <c r="AK192" s="727"/>
      <c r="AL192" s="727"/>
      <c r="AM192" s="727"/>
      <c r="AN192" s="727"/>
      <c r="AO192" s="727"/>
      <c r="AP192" s="727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729"/>
      <c r="BL192" s="729"/>
      <c r="BM192" s="729"/>
      <c r="BN192" s="729"/>
      <c r="BO192" s="729"/>
      <c r="BP192" s="729"/>
      <c r="BQ192" s="19">
        <f t="shared" ca="1" si="8"/>
        <v>0</v>
      </c>
    </row>
    <row r="193" spans="1:74" hidden="1">
      <c r="A193" s="542">
        <f ca="1">SUBTOTAL(9,$BQ$9:BQ193)</f>
        <v>79</v>
      </c>
      <c r="B193" s="543" t="str">
        <f ca="1">VLOOKUP(BS188,'АКТЫ скрытых работ'!A:O,14,FALSE)</f>
        <v>-</v>
      </c>
      <c r="C193" s="727" t="str">
        <f ca="1">IF(B193&lt;&gt;"-","б/н","")</f>
        <v/>
      </c>
      <c r="D193" s="727"/>
      <c r="E193" s="727"/>
      <c r="F193" s="727"/>
      <c r="G193" s="727"/>
      <c r="H193" s="727"/>
      <c r="I193" s="727"/>
      <c r="J193" s="727"/>
      <c r="K193" s="727"/>
      <c r="L193" s="727"/>
      <c r="M193" s="727"/>
      <c r="N193" s="727"/>
      <c r="O193" s="727"/>
      <c r="P193" s="727"/>
      <c r="Q193" s="727"/>
      <c r="R193" s="727"/>
      <c r="S193" s="727"/>
      <c r="T193" s="727"/>
      <c r="U193" s="727"/>
      <c r="V193" s="727"/>
      <c r="W193" s="727"/>
      <c r="X193" s="727"/>
      <c r="Y193" s="727"/>
      <c r="Z193" s="727">
        <f ca="1">IFERROR(IF(OR(IFERROR(B193,0)=0,B193="-"),0,"1 компл"),0)</f>
        <v>0</v>
      </c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729"/>
      <c r="BL193" s="729"/>
      <c r="BM193" s="729"/>
      <c r="BN193" s="729"/>
      <c r="BO193" s="729"/>
      <c r="BP193" s="729"/>
      <c r="BQ193" s="19">
        <f t="shared" ca="1" si="8"/>
        <v>0</v>
      </c>
    </row>
    <row r="194" spans="1:74" ht="26">
      <c r="A194" s="542">
        <f ca="1">SUBTOTAL(9,$BQ$9:BQ194)</f>
        <v>80</v>
      </c>
      <c r="B194" s="543" t="str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Акт освидетельствования скрытых работ 'Монтаж вертикальных электродов контура заземления'</v>
      </c>
      <c r="C194" s="727" t="str">
        <f ca="1">CONCATENATE("№",VLOOKUP(BS194,'АКТЫ скрытых работ'!A:O,2,FALSE))</f>
        <v>№2-КЗ_КК_3</v>
      </c>
      <c r="D194" s="727"/>
      <c r="E194" s="727"/>
      <c r="F194" s="727"/>
      <c r="G194" s="727"/>
      <c r="H194" s="727"/>
      <c r="I194" s="727"/>
      <c r="J194" s="727"/>
      <c r="K194" s="727"/>
      <c r="L194" s="727"/>
      <c r="M194" s="727"/>
      <c r="N194" s="727"/>
      <c r="O194" s="727"/>
      <c r="P194" s="727"/>
      <c r="Q194" s="727"/>
      <c r="R194" s="727"/>
      <c r="S194" s="727"/>
      <c r="T194" s="727"/>
      <c r="U194" s="727"/>
      <c r="V194" s="727"/>
      <c r="W194" s="727"/>
      <c r="X194" s="727"/>
      <c r="Y194" s="727"/>
      <c r="Z194" s="727">
        <f ca="1">IF(BS194="АООК_",0,1)</f>
        <v>1</v>
      </c>
      <c r="AA194" s="727"/>
      <c r="AB194" s="727"/>
      <c r="AC194" s="727"/>
      <c r="AD194" s="727"/>
      <c r="AE194" s="727"/>
      <c r="AF194" s="727"/>
      <c r="AG194" s="727"/>
      <c r="AH194" s="727"/>
      <c r="AI194" s="727"/>
      <c r="AJ194" s="727"/>
      <c r="AK194" s="727"/>
      <c r="AL194" s="727"/>
      <c r="AM194" s="727"/>
      <c r="AN194" s="727"/>
      <c r="AO194" s="727"/>
      <c r="AP194" s="727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9"/>
      <c r="BL194" s="729"/>
      <c r="BM194" s="729"/>
      <c r="BN194" s="729"/>
      <c r="BO194" s="729"/>
      <c r="BP194" s="729"/>
      <c r="BQ194" s="19">
        <f t="shared" ca="1" si="8"/>
        <v>1</v>
      </c>
      <c r="BS194" s="569" t="str">
        <f ca="1">IF(INDIRECT("'АКТЫ скрытых работ'!R"&amp;BU194&amp;"C1",0)=CONCATENATE("АОСР_",BT194),CONCATENATE("АОСР_",BT194),CONCATENATE("АООК_",BT194))</f>
        <v>АОСР_20</v>
      </c>
      <c r="BT194" s="569">
        <v>20</v>
      </c>
      <c r="BU194" s="570">
        <f>BT194+1</f>
        <v>21</v>
      </c>
    </row>
    <row r="195" spans="1:74" ht="26">
      <c r="A195" s="542">
        <f ca="1">SUBTOTAL(9,$BQ$9:BQ195)</f>
        <v>81</v>
      </c>
      <c r="B195" s="545" t="str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Исполнительная схема №1 Монтаж контура заземления КК-0,4кВ</v>
      </c>
      <c r="C195" s="730" t="str">
        <f ca="1">IF(B195="Контрольно-исполнительная съемка","б/н",MID(B195,SEARCH("№",B195,1),SEARCH(" ",B195,SEARCH("№",B195,1))-SEARCH("№",B195,1)))</f>
        <v>№1</v>
      </c>
      <c r="D195" s="731"/>
      <c r="E195" s="731"/>
      <c r="F195" s="731"/>
      <c r="G195" s="731"/>
      <c r="H195" s="731"/>
      <c r="I195" s="731"/>
      <c r="J195" s="731"/>
      <c r="K195" s="731"/>
      <c r="L195" s="731"/>
      <c r="M195" s="731"/>
      <c r="N195" s="731"/>
      <c r="O195" s="731"/>
      <c r="P195" s="731"/>
      <c r="Q195" s="731"/>
      <c r="R195" s="731"/>
      <c r="S195" s="731"/>
      <c r="T195" s="731"/>
      <c r="U195" s="731"/>
      <c r="V195" s="731"/>
      <c r="W195" s="731"/>
      <c r="X195" s="731"/>
      <c r="Y195" s="732"/>
      <c r="Z195" s="727">
        <f ca="1">IFERROR(IF(OR(IFERROR(B195,0)=0,B195="-"),0,1),0)</f>
        <v>1</v>
      </c>
      <c r="AA195" s="727"/>
      <c r="AB195" s="727"/>
      <c r="AC195" s="727"/>
      <c r="AD195" s="727"/>
      <c r="AE195" s="727"/>
      <c r="AF195" s="727"/>
      <c r="AG195" s="727"/>
      <c r="AH195" s="727"/>
      <c r="AI195" s="727"/>
      <c r="AJ195" s="727"/>
      <c r="AK195" s="727"/>
      <c r="AL195" s="727"/>
      <c r="AM195" s="727"/>
      <c r="AN195" s="727"/>
      <c r="AO195" s="727"/>
      <c r="AP195" s="727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729"/>
      <c r="BL195" s="729"/>
      <c r="BM195" s="729"/>
      <c r="BN195" s="729"/>
      <c r="BO195" s="729"/>
      <c r="BP195" s="729"/>
      <c r="BQ195" s="19">
        <f t="shared" ca="1" si="8"/>
        <v>1</v>
      </c>
    </row>
    <row r="196" spans="1:74" hidden="1">
      <c r="A196" s="542">
        <f ca="1">SUBTOTAL(9,$BQ$9:BQ196)</f>
        <v>81</v>
      </c>
      <c r="B196" s="543" t="str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/>
      </c>
      <c r="C196" s="730" t="e">
        <f ca="1">IF(B196="Контрольно-исполнительная съемка","б/н",MID(B196,SEARCH("№",B196,1),SEARCH(" ",B196,SEARCH("№",B196,1))-SEARCH("№",B196,1)))</f>
        <v>#VALUE!</v>
      </c>
      <c r="D196" s="731"/>
      <c r="E196" s="731"/>
      <c r="F196" s="731"/>
      <c r="G196" s="731"/>
      <c r="H196" s="731"/>
      <c r="I196" s="731"/>
      <c r="J196" s="731"/>
      <c r="K196" s="731"/>
      <c r="L196" s="731"/>
      <c r="M196" s="731"/>
      <c r="N196" s="731"/>
      <c r="O196" s="731"/>
      <c r="P196" s="731"/>
      <c r="Q196" s="731"/>
      <c r="R196" s="731"/>
      <c r="S196" s="731"/>
      <c r="T196" s="731"/>
      <c r="U196" s="731"/>
      <c r="V196" s="731"/>
      <c r="W196" s="731"/>
      <c r="X196" s="731"/>
      <c r="Y196" s="732"/>
      <c r="Z196" s="727">
        <f ca="1">IFERROR(IF(OR(IFERROR(B196,0)=0,B196=""),0,1),0)</f>
        <v>0</v>
      </c>
      <c r="AA196" s="727"/>
      <c r="AB196" s="727"/>
      <c r="AC196" s="727"/>
      <c r="AD196" s="727"/>
      <c r="AE196" s="727"/>
      <c r="AF196" s="727"/>
      <c r="AG196" s="727"/>
      <c r="AH196" s="727"/>
      <c r="AI196" s="727"/>
      <c r="AJ196" s="727"/>
      <c r="AK196" s="727"/>
      <c r="AL196" s="727"/>
      <c r="AM196" s="727"/>
      <c r="AN196" s="727"/>
      <c r="AO196" s="727"/>
      <c r="AP196" s="727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729"/>
      <c r="BL196" s="729"/>
      <c r="BM196" s="729"/>
      <c r="BN196" s="729"/>
      <c r="BO196" s="729"/>
      <c r="BP196" s="729"/>
      <c r="BQ196" s="19">
        <f t="shared" ca="1" si="8"/>
        <v>0</v>
      </c>
    </row>
    <row r="197" spans="1:74" hidden="1">
      <c r="A197" s="542">
        <f ca="1">SUBTOTAL(9,$BQ$9:BQ197)</f>
        <v>81</v>
      </c>
      <c r="B197" s="543" t="str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/>
      </c>
      <c r="C197" s="730" t="e">
        <f ca="1">IF(B197="Контрольно-исполнительная съемка","б/н",MID(B197,SEARCH("№",B197,1),SEARCH(" ",B197,SEARCH("№",B197,1))-SEARCH("№",B197,1)))</f>
        <v>#VALUE!</v>
      </c>
      <c r="D197" s="731"/>
      <c r="E197" s="731"/>
      <c r="F197" s="731"/>
      <c r="G197" s="731"/>
      <c r="H197" s="731"/>
      <c r="I197" s="731"/>
      <c r="J197" s="731"/>
      <c r="K197" s="731"/>
      <c r="L197" s="731"/>
      <c r="M197" s="731"/>
      <c r="N197" s="731"/>
      <c r="O197" s="731"/>
      <c r="P197" s="731"/>
      <c r="Q197" s="731"/>
      <c r="R197" s="731"/>
      <c r="S197" s="731"/>
      <c r="T197" s="731"/>
      <c r="U197" s="731"/>
      <c r="V197" s="731"/>
      <c r="W197" s="731"/>
      <c r="X197" s="731"/>
      <c r="Y197" s="732"/>
      <c r="Z197" s="727">
        <f ca="1">IFERROR(IF(OR(IFERROR(B197,0)=0,B197=""),0,1),0)</f>
        <v>0</v>
      </c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729"/>
      <c r="BL197" s="729"/>
      <c r="BM197" s="729"/>
      <c r="BN197" s="729"/>
      <c r="BO197" s="729"/>
      <c r="BP197" s="729"/>
      <c r="BQ197" s="19">
        <f t="shared" ca="1" si="8"/>
        <v>0</v>
      </c>
      <c r="BV197" s="19" t="str">
        <f>MID(BV181,1,LEN(BV181))</f>
        <v/>
      </c>
    </row>
    <row r="198" spans="1:74" hidden="1">
      <c r="A198" s="542">
        <f ca="1">SUBTOTAL(9,$BQ$9:BQ198)</f>
        <v>81</v>
      </c>
      <c r="B198" s="543" t="str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/>
      </c>
      <c r="C198" s="730" t="e">
        <f ca="1">IF(B198="Контрольно-исполнительная съемка","б/н",MID(B198,SEARCH("№",B198,1),SEARCH(" ",B198,SEARCH("№",B198,1))-SEARCH("№",B198,1)))</f>
        <v>#VALUE!</v>
      </c>
      <c r="D198" s="731"/>
      <c r="E198" s="731"/>
      <c r="F198" s="731"/>
      <c r="G198" s="731"/>
      <c r="H198" s="731"/>
      <c r="I198" s="731"/>
      <c r="J198" s="731"/>
      <c r="K198" s="731"/>
      <c r="L198" s="731"/>
      <c r="M198" s="731"/>
      <c r="N198" s="731"/>
      <c r="O198" s="731"/>
      <c r="P198" s="731"/>
      <c r="Q198" s="731"/>
      <c r="R198" s="731"/>
      <c r="S198" s="731"/>
      <c r="T198" s="731"/>
      <c r="U198" s="731"/>
      <c r="V198" s="731"/>
      <c r="W198" s="731"/>
      <c r="X198" s="731"/>
      <c r="Y198" s="732"/>
      <c r="Z198" s="727">
        <f ca="1">IFERROR(IF(OR(IFERROR(B198,0)=0,B198=""),0,1),0)</f>
        <v>0</v>
      </c>
      <c r="AA198" s="727"/>
      <c r="AB198" s="727"/>
      <c r="AC198" s="727"/>
      <c r="AD198" s="727"/>
      <c r="AE198" s="727"/>
      <c r="AF198" s="727"/>
      <c r="AG198" s="727"/>
      <c r="AH198" s="727"/>
      <c r="AI198" s="727"/>
      <c r="AJ198" s="727"/>
      <c r="AK198" s="727"/>
      <c r="AL198" s="727"/>
      <c r="AM198" s="727"/>
      <c r="AN198" s="727"/>
      <c r="AO198" s="727"/>
      <c r="AP198" s="727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9"/>
      <c r="BL198" s="729"/>
      <c r="BM198" s="729"/>
      <c r="BN198" s="729"/>
      <c r="BO198" s="729"/>
      <c r="BP198" s="729"/>
      <c r="BQ198" s="19">
        <f t="shared" ca="1" si="8"/>
        <v>0</v>
      </c>
    </row>
    <row r="199" spans="1:74" ht="39">
      <c r="A199" s="542">
        <f ca="1">SUBTOTAL(9,$BQ$9:BQ199)</f>
        <v>82</v>
      </c>
      <c r="B199" s="543" t="str">
        <f ca="1">VLOOKUP(BS194,'АКТЫ скрытых работ'!A:O,14,FALSE)</f>
        <v>Информационное письмо №1157 от 26.10.2016 "Центр Декларирования Сертификации" (ООО "ЦДС)"</v>
      </c>
      <c r="C199" s="727" t="str">
        <f ca="1">IF(B199&lt;&gt;"-","б/н","")</f>
        <v>б/н</v>
      </c>
      <c r="D199" s="727"/>
      <c r="E199" s="727"/>
      <c r="F199" s="727"/>
      <c r="G199" s="727"/>
      <c r="H199" s="727"/>
      <c r="I199" s="727"/>
      <c r="J199" s="727"/>
      <c r="K199" s="727"/>
      <c r="L199" s="727"/>
      <c r="M199" s="727"/>
      <c r="N199" s="727"/>
      <c r="O199" s="727"/>
      <c r="P199" s="727"/>
      <c r="Q199" s="727"/>
      <c r="R199" s="727"/>
      <c r="S199" s="727"/>
      <c r="T199" s="727"/>
      <c r="U199" s="727"/>
      <c r="V199" s="727"/>
      <c r="W199" s="727"/>
      <c r="X199" s="727"/>
      <c r="Y199" s="727"/>
      <c r="Z199" s="727" t="str">
        <f ca="1">IFERROR(IF(OR(IFERROR(B199,0)=0,B199="-"),0,"1 компл"),0)</f>
        <v>1 компл</v>
      </c>
      <c r="AA199" s="727"/>
      <c r="AB199" s="727"/>
      <c r="AC199" s="727"/>
      <c r="AD199" s="727"/>
      <c r="AE199" s="727"/>
      <c r="AF199" s="727"/>
      <c r="AG199" s="727"/>
      <c r="AH199" s="727"/>
      <c r="AI199" s="727"/>
      <c r="AJ199" s="727"/>
      <c r="AK199" s="727"/>
      <c r="AL199" s="727"/>
      <c r="AM199" s="727"/>
      <c r="AN199" s="727"/>
      <c r="AO199" s="727"/>
      <c r="AP199" s="727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729"/>
      <c r="BL199" s="729"/>
      <c r="BM199" s="729"/>
      <c r="BN199" s="729"/>
      <c r="BO199" s="729"/>
      <c r="BP199" s="729"/>
      <c r="BQ199" s="19">
        <f t="shared" ca="1" si="8"/>
        <v>1</v>
      </c>
    </row>
    <row r="200" spans="1:74" ht="26">
      <c r="A200" s="542">
        <f ca="1">SUBTOTAL(9,$BQ$9:BQ200)</f>
        <v>83</v>
      </c>
      <c r="B200" s="543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'Монтаж горизонтального заземлителя'</v>
      </c>
      <c r="C200" s="727" t="str">
        <f ca="1">CONCATENATE("№",VLOOKUP(BS200,'АКТЫ скрытых работ'!A:O,2,FALSE))</f>
        <v>№3-КЗ_КК_3</v>
      </c>
      <c r="D200" s="727"/>
      <c r="E200" s="727"/>
      <c r="F200" s="727"/>
      <c r="G200" s="727"/>
      <c r="H200" s="727"/>
      <c r="I200" s="727"/>
      <c r="J200" s="727"/>
      <c r="K200" s="727"/>
      <c r="L200" s="727"/>
      <c r="M200" s="727"/>
      <c r="N200" s="727"/>
      <c r="O200" s="727"/>
      <c r="P200" s="727"/>
      <c r="Q200" s="727"/>
      <c r="R200" s="727"/>
      <c r="S200" s="727"/>
      <c r="T200" s="727"/>
      <c r="U200" s="727"/>
      <c r="V200" s="727"/>
      <c r="W200" s="727"/>
      <c r="X200" s="727"/>
      <c r="Y200" s="727"/>
      <c r="Z200" s="727">
        <f ca="1">IF(BS200="АООК_",0,1)</f>
        <v>1</v>
      </c>
      <c r="AA200" s="727"/>
      <c r="AB200" s="727"/>
      <c r="AC200" s="727"/>
      <c r="AD200" s="727"/>
      <c r="AE200" s="727"/>
      <c r="AF200" s="727"/>
      <c r="AG200" s="727"/>
      <c r="AH200" s="727"/>
      <c r="AI200" s="727"/>
      <c r="AJ200" s="727"/>
      <c r="AK200" s="727"/>
      <c r="AL200" s="727"/>
      <c r="AM200" s="727"/>
      <c r="AN200" s="727"/>
      <c r="AO200" s="727"/>
      <c r="AP200" s="727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729"/>
      <c r="BL200" s="729"/>
      <c r="BM200" s="729"/>
      <c r="BN200" s="729"/>
      <c r="BO200" s="729"/>
      <c r="BP200" s="729"/>
      <c r="BQ200" s="19">
        <f t="shared" ca="1" si="8"/>
        <v>1</v>
      </c>
      <c r="BS200" s="569" t="str">
        <f ca="1">IF(INDIRECT("'АКТЫ скрытых работ'!R"&amp;BU200&amp;"C1",0)=CONCATENATE("АОСР_",BT200),CONCATENATE("АОСР_",BT200),CONCATENATE("АООК_",BT200))</f>
        <v>АОСР_21</v>
      </c>
      <c r="BT200" s="569">
        <v>21</v>
      </c>
      <c r="BU200" s="570">
        <f>BT200+1</f>
        <v>22</v>
      </c>
    </row>
    <row r="201" spans="1:74" ht="26">
      <c r="A201" s="542">
        <f ca="1">SUBTOTAL(9,$BQ$9:BQ201)</f>
        <v>84</v>
      </c>
      <c r="B201" s="545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№1 Монтаж контура заземления КК-0,4кВ</v>
      </c>
      <c r="C201" s="730" t="str">
        <f ca="1">IF(B201="Контрольно-исполнительная съемка","б/н",MID(B201,SEARCH("№",B201,1),SEARCH(" ",B201,SEARCH("№",B201,1))-SEARCH("№",B201,1)))</f>
        <v>№1</v>
      </c>
      <c r="D201" s="731"/>
      <c r="E201" s="731"/>
      <c r="F201" s="731"/>
      <c r="G201" s="731"/>
      <c r="H201" s="731"/>
      <c r="I201" s="731"/>
      <c r="J201" s="731"/>
      <c r="K201" s="731"/>
      <c r="L201" s="731"/>
      <c r="M201" s="731"/>
      <c r="N201" s="731"/>
      <c r="O201" s="731"/>
      <c r="P201" s="731"/>
      <c r="Q201" s="731"/>
      <c r="R201" s="731"/>
      <c r="S201" s="731"/>
      <c r="T201" s="731"/>
      <c r="U201" s="731"/>
      <c r="V201" s="731"/>
      <c r="W201" s="731"/>
      <c r="X201" s="731"/>
      <c r="Y201" s="732"/>
      <c r="Z201" s="727">
        <f ca="1">IFERROR(IF(OR(IFERROR(B201,0)=0,B201="-"),0,1),0)</f>
        <v>1</v>
      </c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729"/>
      <c r="BL201" s="729"/>
      <c r="BM201" s="729"/>
      <c r="BN201" s="729"/>
      <c r="BO201" s="729"/>
      <c r="BP201" s="729"/>
      <c r="BQ201" s="19">
        <f t="shared" ca="1" si="8"/>
        <v>1</v>
      </c>
    </row>
    <row r="202" spans="1:74" hidden="1">
      <c r="A202" s="542">
        <f ca="1">SUBTOTAL(9,$BQ$9:BQ202)</f>
        <v>84</v>
      </c>
      <c r="B202" s="543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/>
      </c>
      <c r="C202" s="730" t="e">
        <f ca="1">IF(B202="Контрольно-исполнительная съемка","б/н",MID(B202,SEARCH("№",B202,1),SEARCH(" ",B202,SEARCH("№",B202,1))-SEARCH("№",B202,1)))</f>
        <v>#VALUE!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31"/>
      <c r="V202" s="731"/>
      <c r="W202" s="731"/>
      <c r="X202" s="731"/>
      <c r="Y202" s="732"/>
      <c r="Z202" s="727">
        <f ca="1">IFERROR(IF(OR(IFERROR(B202,0)=0,B202=""),0,1),0)</f>
        <v>0</v>
      </c>
      <c r="AA202" s="727"/>
      <c r="AB202" s="727"/>
      <c r="AC202" s="727"/>
      <c r="AD202" s="727"/>
      <c r="AE202" s="727"/>
      <c r="AF202" s="727"/>
      <c r="AG202" s="727"/>
      <c r="AH202" s="727"/>
      <c r="AI202" s="727"/>
      <c r="AJ202" s="727"/>
      <c r="AK202" s="727"/>
      <c r="AL202" s="727"/>
      <c r="AM202" s="727"/>
      <c r="AN202" s="727"/>
      <c r="AO202" s="727"/>
      <c r="AP202" s="727"/>
      <c r="AQ202" s="729"/>
      <c r="AR202" s="729"/>
      <c r="AS202" s="729"/>
      <c r="AT202" s="729"/>
      <c r="AU202" s="729"/>
      <c r="AV202" s="729"/>
      <c r="AW202" s="729"/>
      <c r="AX202" s="729"/>
      <c r="AY202" s="729"/>
      <c r="AZ202" s="729"/>
      <c r="BA202" s="729"/>
      <c r="BB202" s="729"/>
      <c r="BC202" s="729"/>
      <c r="BD202" s="729"/>
      <c r="BE202" s="729"/>
      <c r="BF202" s="729"/>
      <c r="BG202" s="729"/>
      <c r="BH202" s="729"/>
      <c r="BI202" s="729"/>
      <c r="BJ202" s="729"/>
      <c r="BK202" s="729"/>
      <c r="BL202" s="729"/>
      <c r="BM202" s="729"/>
      <c r="BN202" s="729"/>
      <c r="BO202" s="729"/>
      <c r="BP202" s="729"/>
      <c r="BQ202" s="19">
        <f t="shared" ca="1" si="8"/>
        <v>0</v>
      </c>
    </row>
    <row r="203" spans="1:74" hidden="1">
      <c r="A203" s="542">
        <f ca="1">SUBTOTAL(9,$BQ$9:BQ203)</f>
        <v>84</v>
      </c>
      <c r="B203" s="543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/>
      </c>
      <c r="C203" s="730" t="e">
        <f ca="1">IF(B203="Контрольно-исполнительная съемка","б/н",MID(B203,SEARCH("№",B203,1),SEARCH(" ",B203,SEARCH("№",B203,1))-SEARCH("№",B203,1)))</f>
        <v>#VALUE!</v>
      </c>
      <c r="D203" s="731"/>
      <c r="E203" s="731"/>
      <c r="F203" s="731"/>
      <c r="G203" s="731"/>
      <c r="H203" s="731"/>
      <c r="I203" s="731"/>
      <c r="J203" s="731"/>
      <c r="K203" s="731"/>
      <c r="L203" s="731"/>
      <c r="M203" s="731"/>
      <c r="N203" s="731"/>
      <c r="O203" s="731"/>
      <c r="P203" s="731"/>
      <c r="Q203" s="731"/>
      <c r="R203" s="731"/>
      <c r="S203" s="731"/>
      <c r="T203" s="731"/>
      <c r="U203" s="731"/>
      <c r="V203" s="731"/>
      <c r="W203" s="731"/>
      <c r="X203" s="731"/>
      <c r="Y203" s="732"/>
      <c r="Z203" s="727">
        <f ca="1">IFERROR(IF(OR(IFERROR(B203,0)=0,B203=""),0,1),0)</f>
        <v>0</v>
      </c>
      <c r="AA203" s="727"/>
      <c r="AB203" s="727"/>
      <c r="AC203" s="727"/>
      <c r="AD203" s="727"/>
      <c r="AE203" s="727"/>
      <c r="AF203" s="727"/>
      <c r="AG203" s="727"/>
      <c r="AH203" s="727"/>
      <c r="AI203" s="727"/>
      <c r="AJ203" s="727"/>
      <c r="AK203" s="727"/>
      <c r="AL203" s="727"/>
      <c r="AM203" s="727"/>
      <c r="AN203" s="727"/>
      <c r="AO203" s="727"/>
      <c r="AP203" s="727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9"/>
      <c r="BL203" s="729"/>
      <c r="BM203" s="729"/>
      <c r="BN203" s="729"/>
      <c r="BO203" s="729"/>
      <c r="BP203" s="729"/>
      <c r="BQ203" s="19">
        <f t="shared" ca="1" si="8"/>
        <v>0</v>
      </c>
      <c r="BV203" s="19" t="str">
        <f>MID(BV187,1,LEN(BV187))</f>
        <v/>
      </c>
    </row>
    <row r="204" spans="1:74" hidden="1">
      <c r="A204" s="542">
        <f ca="1">SUBTOTAL(9,$BQ$9:BQ204)</f>
        <v>84</v>
      </c>
      <c r="B204" s="543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/>
      </c>
      <c r="C204" s="730" t="e">
        <f ca="1">IF(B204="Контрольно-исполнительная съемка","б/н",MID(B204,SEARCH("№",B204,1),SEARCH(" ",B204,SEARCH("№",B204,1))-SEARCH("№",B204,1)))</f>
        <v>#VALUE!</v>
      </c>
      <c r="D204" s="731"/>
      <c r="E204" s="731"/>
      <c r="F204" s="731"/>
      <c r="G204" s="731"/>
      <c r="H204" s="731"/>
      <c r="I204" s="731"/>
      <c r="J204" s="731"/>
      <c r="K204" s="731"/>
      <c r="L204" s="731"/>
      <c r="M204" s="731"/>
      <c r="N204" s="731"/>
      <c r="O204" s="731"/>
      <c r="P204" s="731"/>
      <c r="Q204" s="731"/>
      <c r="R204" s="731"/>
      <c r="S204" s="731"/>
      <c r="T204" s="731"/>
      <c r="U204" s="731"/>
      <c r="V204" s="731"/>
      <c r="W204" s="731"/>
      <c r="X204" s="731"/>
      <c r="Y204" s="732"/>
      <c r="Z204" s="727">
        <f ca="1">IFERROR(IF(OR(IFERROR(B204,0)=0,B204=""),0,1),0)</f>
        <v>0</v>
      </c>
      <c r="AA204" s="727"/>
      <c r="AB204" s="727"/>
      <c r="AC204" s="727"/>
      <c r="AD204" s="727"/>
      <c r="AE204" s="727"/>
      <c r="AF204" s="727"/>
      <c r="AG204" s="727"/>
      <c r="AH204" s="727"/>
      <c r="AI204" s="727"/>
      <c r="AJ204" s="727"/>
      <c r="AK204" s="727"/>
      <c r="AL204" s="727"/>
      <c r="AM204" s="727"/>
      <c r="AN204" s="727"/>
      <c r="AO204" s="727"/>
      <c r="AP204" s="727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729"/>
      <c r="BL204" s="729"/>
      <c r="BM204" s="729"/>
      <c r="BN204" s="729"/>
      <c r="BO204" s="729"/>
      <c r="BP204" s="729"/>
      <c r="BQ204" s="19">
        <f t="shared" ca="1" si="8"/>
        <v>0</v>
      </c>
    </row>
    <row r="205" spans="1:74" ht="52">
      <c r="A205" s="542">
        <f ca="1">SUBTOTAL(9,$BQ$9:BQ205)</f>
        <v>85</v>
      </c>
      <c r="B205" s="543" t="str">
        <f ca="1">VLOOKUP(BS200,'АКТЫ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205" s="727" t="str">
        <f ca="1">IF(B205&lt;&gt;"-","б/н","")</f>
        <v>б/н</v>
      </c>
      <c r="D205" s="727"/>
      <c r="E205" s="727"/>
      <c r="F205" s="727"/>
      <c r="G205" s="727"/>
      <c r="H205" s="727"/>
      <c r="I205" s="727"/>
      <c r="J205" s="727"/>
      <c r="K205" s="727"/>
      <c r="L205" s="727"/>
      <c r="M205" s="727"/>
      <c r="N205" s="727"/>
      <c r="O205" s="727"/>
      <c r="P205" s="727"/>
      <c r="Q205" s="727"/>
      <c r="R205" s="727"/>
      <c r="S205" s="727"/>
      <c r="T205" s="727"/>
      <c r="U205" s="727"/>
      <c r="V205" s="727"/>
      <c r="W205" s="727"/>
      <c r="X205" s="727"/>
      <c r="Y205" s="727"/>
      <c r="Z205" s="727" t="str">
        <f ca="1">IFERROR(IF(OR(IFERROR(B205,0)=0,B205="-"),0,"1 компл"),0)</f>
        <v>1 компл</v>
      </c>
      <c r="AA205" s="727"/>
      <c r="AB205" s="727"/>
      <c r="AC205" s="727"/>
      <c r="AD205" s="727"/>
      <c r="AE205" s="727"/>
      <c r="AF205" s="727"/>
      <c r="AG205" s="727"/>
      <c r="AH205" s="727"/>
      <c r="AI205" s="727"/>
      <c r="AJ205" s="727"/>
      <c r="AK205" s="727"/>
      <c r="AL205" s="727"/>
      <c r="AM205" s="727"/>
      <c r="AN205" s="727"/>
      <c r="AO205" s="727"/>
      <c r="AP205" s="727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729"/>
      <c r="BL205" s="729"/>
      <c r="BM205" s="729"/>
      <c r="BN205" s="729"/>
      <c r="BO205" s="729"/>
      <c r="BP205" s="729"/>
      <c r="BQ205" s="19">
        <f t="shared" ca="1" si="8"/>
        <v>1</v>
      </c>
    </row>
    <row r="206" spans="1:74" ht="26">
      <c r="A206" s="542">
        <f ca="1">SUBTOTAL(9,$BQ$9:BQ206)</f>
        <v>86</v>
      </c>
      <c r="B206" s="543" t="str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Акт освидетельствования скрытых работ 'Огрунтовка и окраска сварных соединений'</v>
      </c>
      <c r="C206" s="727" t="str">
        <f ca="1">CONCATENATE("№",VLOOKUP(BS206,'АКТЫ скрытых работ'!A:O,2,FALSE))</f>
        <v>№4-КЗ_КК_3</v>
      </c>
      <c r="D206" s="727"/>
      <c r="E206" s="727"/>
      <c r="F206" s="727"/>
      <c r="G206" s="727"/>
      <c r="H206" s="727"/>
      <c r="I206" s="727"/>
      <c r="J206" s="727"/>
      <c r="K206" s="727"/>
      <c r="L206" s="727"/>
      <c r="M206" s="727"/>
      <c r="N206" s="727"/>
      <c r="O206" s="727"/>
      <c r="P206" s="727"/>
      <c r="Q206" s="727"/>
      <c r="R206" s="727"/>
      <c r="S206" s="727"/>
      <c r="T206" s="727"/>
      <c r="U206" s="727"/>
      <c r="V206" s="727"/>
      <c r="W206" s="727"/>
      <c r="X206" s="727"/>
      <c r="Y206" s="727"/>
      <c r="Z206" s="727">
        <f ca="1">IF(BS206="АООК_",0,1)</f>
        <v>1</v>
      </c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729"/>
      <c r="BL206" s="729"/>
      <c r="BM206" s="729"/>
      <c r="BN206" s="729"/>
      <c r="BO206" s="729"/>
      <c r="BP206" s="729"/>
      <c r="BQ206" s="19">
        <f t="shared" ca="1" si="8"/>
        <v>1</v>
      </c>
      <c r="BS206" s="569" t="str">
        <f ca="1">IF(INDIRECT("'АКТЫ скрытых работ'!R"&amp;BU206&amp;"C1",0)=CONCATENATE("АОСР_",BT206),CONCATENATE("АОСР_",BT206),CONCATENATE("АООК_",BT206))</f>
        <v>АОСР_22</v>
      </c>
      <c r="BT206" s="569">
        <v>22</v>
      </c>
      <c r="BU206" s="570">
        <f>BT206+1</f>
        <v>23</v>
      </c>
    </row>
    <row r="207" spans="1:74" ht="26">
      <c r="A207" s="542">
        <f ca="1">SUBTOTAL(9,$BQ$9:BQ207)</f>
        <v>87</v>
      </c>
      <c r="B207" s="545" t="str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Исполнительная схема №1 Монтаж контура заземления КК-0,4кВ</v>
      </c>
      <c r="C207" s="730" t="str">
        <f ca="1">IF(B207="Контрольно-исполнительная съемка","б/н",MID(B207,SEARCH("№",B207,1),SEARCH(" ",B207,SEARCH("№",B207,1))-SEARCH("№",B207,1)))</f>
        <v>№1</v>
      </c>
      <c r="D207" s="731"/>
      <c r="E207" s="731"/>
      <c r="F207" s="731"/>
      <c r="G207" s="731"/>
      <c r="H207" s="731"/>
      <c r="I207" s="731"/>
      <c r="J207" s="731"/>
      <c r="K207" s="731"/>
      <c r="L207" s="731"/>
      <c r="M207" s="731"/>
      <c r="N207" s="731"/>
      <c r="O207" s="731"/>
      <c r="P207" s="731"/>
      <c r="Q207" s="731"/>
      <c r="R207" s="731"/>
      <c r="S207" s="731"/>
      <c r="T207" s="731"/>
      <c r="U207" s="731"/>
      <c r="V207" s="731"/>
      <c r="W207" s="731"/>
      <c r="X207" s="731"/>
      <c r="Y207" s="732"/>
      <c r="Z207" s="727">
        <f ca="1">IFERROR(IF(OR(IFERROR(B207,0)=0,B207="-"),0,1),0)</f>
        <v>1</v>
      </c>
      <c r="AA207" s="727"/>
      <c r="AB207" s="727"/>
      <c r="AC207" s="727"/>
      <c r="AD207" s="727"/>
      <c r="AE207" s="727"/>
      <c r="AF207" s="727"/>
      <c r="AG207" s="727"/>
      <c r="AH207" s="727"/>
      <c r="AI207" s="727"/>
      <c r="AJ207" s="727"/>
      <c r="AK207" s="727"/>
      <c r="AL207" s="727"/>
      <c r="AM207" s="727"/>
      <c r="AN207" s="727"/>
      <c r="AO207" s="727"/>
      <c r="AP207" s="727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9"/>
      <c r="BL207" s="729"/>
      <c r="BM207" s="729"/>
      <c r="BN207" s="729"/>
      <c r="BO207" s="729"/>
      <c r="BP207" s="729"/>
      <c r="BQ207" s="19">
        <f t="shared" ca="1" si="8"/>
        <v>1</v>
      </c>
    </row>
    <row r="208" spans="1:74" hidden="1">
      <c r="A208" s="542">
        <f ca="1">SUBTOTAL(9,$BQ$9:BQ208)</f>
        <v>87</v>
      </c>
      <c r="B208" s="543" t="str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/>
      </c>
      <c r="C208" s="730" t="e">
        <f ca="1">IF(B208="Контрольно-исполнительная съемка","б/н",MID(B208,SEARCH("№",B208,1),SEARCH(" ",B208,SEARCH("№",B208,1))-SEARCH("№",B208,1)))</f>
        <v>#VALUE!</v>
      </c>
      <c r="D208" s="731"/>
      <c r="E208" s="731"/>
      <c r="F208" s="731"/>
      <c r="G208" s="731"/>
      <c r="H208" s="731"/>
      <c r="I208" s="731"/>
      <c r="J208" s="731"/>
      <c r="K208" s="731"/>
      <c r="L208" s="731"/>
      <c r="M208" s="731"/>
      <c r="N208" s="731"/>
      <c r="O208" s="731"/>
      <c r="P208" s="731"/>
      <c r="Q208" s="731"/>
      <c r="R208" s="731"/>
      <c r="S208" s="731"/>
      <c r="T208" s="731"/>
      <c r="U208" s="731"/>
      <c r="V208" s="731"/>
      <c r="W208" s="731"/>
      <c r="X208" s="731"/>
      <c r="Y208" s="732"/>
      <c r="Z208" s="727">
        <f ca="1">IFERROR(IF(OR(IFERROR(B208,0)=0,B208=""),0,1),0)</f>
        <v>0</v>
      </c>
      <c r="AA208" s="727"/>
      <c r="AB208" s="727"/>
      <c r="AC208" s="727"/>
      <c r="AD208" s="727"/>
      <c r="AE208" s="727"/>
      <c r="AF208" s="727"/>
      <c r="AG208" s="727"/>
      <c r="AH208" s="727"/>
      <c r="AI208" s="727"/>
      <c r="AJ208" s="727"/>
      <c r="AK208" s="727"/>
      <c r="AL208" s="727"/>
      <c r="AM208" s="727"/>
      <c r="AN208" s="727"/>
      <c r="AO208" s="727"/>
      <c r="AP208" s="727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729"/>
      <c r="BL208" s="729"/>
      <c r="BM208" s="729"/>
      <c r="BN208" s="729"/>
      <c r="BO208" s="729"/>
      <c r="BP208" s="729"/>
      <c r="BQ208" s="19">
        <f t="shared" ca="1" si="8"/>
        <v>0</v>
      </c>
    </row>
    <row r="209" spans="1:74" hidden="1">
      <c r="A209" s="542">
        <f ca="1">SUBTOTAL(9,$BQ$9:BQ209)</f>
        <v>87</v>
      </c>
      <c r="B209" s="543" t="str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/>
      </c>
      <c r="C209" s="730" t="e">
        <f ca="1">IF(B209="Контрольно-исполнительная съемка","б/н",MID(B209,SEARCH("№",B209,1),SEARCH(" ",B209,SEARCH("№",B209,1))-SEARCH("№",B209,1)))</f>
        <v>#VALUE!</v>
      </c>
      <c r="D209" s="731"/>
      <c r="E209" s="731"/>
      <c r="F209" s="731"/>
      <c r="G209" s="731"/>
      <c r="H209" s="731"/>
      <c r="I209" s="731"/>
      <c r="J209" s="731"/>
      <c r="K209" s="731"/>
      <c r="L209" s="731"/>
      <c r="M209" s="731"/>
      <c r="N209" s="731"/>
      <c r="O209" s="731"/>
      <c r="P209" s="731"/>
      <c r="Q209" s="731"/>
      <c r="R209" s="731"/>
      <c r="S209" s="731"/>
      <c r="T209" s="731"/>
      <c r="U209" s="731"/>
      <c r="V209" s="731"/>
      <c r="W209" s="731"/>
      <c r="X209" s="731"/>
      <c r="Y209" s="732"/>
      <c r="Z209" s="727">
        <f ca="1">IFERROR(IF(OR(IFERROR(B209,0)=0,B209=""),0,1),0)</f>
        <v>0</v>
      </c>
      <c r="AA209" s="727"/>
      <c r="AB209" s="727"/>
      <c r="AC209" s="727"/>
      <c r="AD209" s="727"/>
      <c r="AE209" s="727"/>
      <c r="AF209" s="727"/>
      <c r="AG209" s="727"/>
      <c r="AH209" s="727"/>
      <c r="AI209" s="727"/>
      <c r="AJ209" s="727"/>
      <c r="AK209" s="727"/>
      <c r="AL209" s="727"/>
      <c r="AM209" s="727"/>
      <c r="AN209" s="727"/>
      <c r="AO209" s="727"/>
      <c r="AP209" s="727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729"/>
      <c r="BL209" s="729"/>
      <c r="BM209" s="729"/>
      <c r="BN209" s="729"/>
      <c r="BO209" s="729"/>
      <c r="BP209" s="729"/>
      <c r="BQ209" s="19">
        <f t="shared" ca="1" si="8"/>
        <v>0</v>
      </c>
      <c r="BV209" s="19" t="str">
        <f>MID(BV193,1,LEN(BV193))</f>
        <v/>
      </c>
    </row>
    <row r="210" spans="1:74" hidden="1">
      <c r="A210" s="542">
        <f ca="1">SUBTOTAL(9,$BQ$9:BQ210)</f>
        <v>87</v>
      </c>
      <c r="B210" s="543" t="str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/>
      </c>
      <c r="C210" s="730" t="e">
        <f ca="1">IF(B210="Контрольно-исполнительная съемка","б/н",MID(B210,SEARCH("№",B210,1),SEARCH(" ",B210,SEARCH("№",B210,1))-SEARCH("№",B210,1)))</f>
        <v>#VALUE!</v>
      </c>
      <c r="D210" s="731"/>
      <c r="E210" s="731"/>
      <c r="F210" s="731"/>
      <c r="G210" s="731"/>
      <c r="H210" s="731"/>
      <c r="I210" s="731"/>
      <c r="J210" s="731"/>
      <c r="K210" s="731"/>
      <c r="L210" s="731"/>
      <c r="M210" s="731"/>
      <c r="N210" s="731"/>
      <c r="O210" s="731"/>
      <c r="P210" s="731"/>
      <c r="Q210" s="731"/>
      <c r="R210" s="731"/>
      <c r="S210" s="731"/>
      <c r="T210" s="731"/>
      <c r="U210" s="731"/>
      <c r="V210" s="731"/>
      <c r="W210" s="731"/>
      <c r="X210" s="731"/>
      <c r="Y210" s="732"/>
      <c r="Z210" s="727">
        <f ca="1">IFERROR(IF(OR(IFERROR(B210,0)=0,B210=""),0,1),0)</f>
        <v>0</v>
      </c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729"/>
      <c r="BL210" s="729"/>
      <c r="BM210" s="729"/>
      <c r="BN210" s="729"/>
      <c r="BO210" s="729"/>
      <c r="BP210" s="729"/>
      <c r="BQ210" s="19">
        <f t="shared" ca="1" si="8"/>
        <v>0</v>
      </c>
    </row>
    <row r="211" spans="1:74" ht="26">
      <c r="A211" s="542">
        <f ca="1">SUBTOTAL(9,$BQ$9:BQ211)</f>
        <v>88</v>
      </c>
      <c r="B211" s="543" t="str">
        <f ca="1">VLOOKUP(BS206,'АКТЫ скрытых работ'!A:O,14,FALSE)</f>
        <v>Отказное письмо исх. №60-12/2020 от 12.05.2020 ООО "Биквест-Центр"</v>
      </c>
      <c r="C211" s="727" t="str">
        <f ca="1">IF(B211&lt;&gt;"-","б/н","")</f>
        <v>б/н</v>
      </c>
      <c r="D211" s="727"/>
      <c r="E211" s="727"/>
      <c r="F211" s="727"/>
      <c r="G211" s="727"/>
      <c r="H211" s="727"/>
      <c r="I211" s="727"/>
      <c r="J211" s="727"/>
      <c r="K211" s="727"/>
      <c r="L211" s="727"/>
      <c r="M211" s="727"/>
      <c r="N211" s="727"/>
      <c r="O211" s="727"/>
      <c r="P211" s="727"/>
      <c r="Q211" s="727"/>
      <c r="R211" s="727"/>
      <c r="S211" s="727"/>
      <c r="T211" s="727"/>
      <c r="U211" s="727"/>
      <c r="V211" s="727"/>
      <c r="W211" s="727"/>
      <c r="X211" s="727"/>
      <c r="Y211" s="727"/>
      <c r="Z211" s="727" t="str">
        <f ca="1">IFERROR(IF(OR(IFERROR(B211,0)=0,B211="-"),0,"1 компл"),0)</f>
        <v>1 компл</v>
      </c>
      <c r="AA211" s="727"/>
      <c r="AB211" s="727"/>
      <c r="AC211" s="727"/>
      <c r="AD211" s="727"/>
      <c r="AE211" s="727"/>
      <c r="AF211" s="727"/>
      <c r="AG211" s="727"/>
      <c r="AH211" s="727"/>
      <c r="AI211" s="727"/>
      <c r="AJ211" s="727"/>
      <c r="AK211" s="727"/>
      <c r="AL211" s="727"/>
      <c r="AM211" s="727"/>
      <c r="AN211" s="727"/>
      <c r="AO211" s="727"/>
      <c r="AP211" s="727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9"/>
      <c r="BL211" s="729"/>
      <c r="BM211" s="729"/>
      <c r="BN211" s="729"/>
      <c r="BO211" s="729"/>
      <c r="BP211" s="729"/>
      <c r="BQ211" s="19">
        <f t="shared" ca="1" si="8"/>
        <v>1</v>
      </c>
    </row>
    <row r="212" spans="1:74" ht="26">
      <c r="A212" s="542">
        <f ca="1">SUBTOTAL(9,$BQ$9:BQ212)</f>
        <v>89</v>
      </c>
      <c r="B212" s="543" t="str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Акт освидетельствования скрытых работ 'Обратная засыпка траншеи'</v>
      </c>
      <c r="C212" s="727" t="str">
        <f ca="1">CONCATENATE("№",VLOOKUP(BS212,'АКТЫ скрытых работ'!A:O,2,FALSE))</f>
        <v>№5-КЗ_КК_3</v>
      </c>
      <c r="D212" s="727"/>
      <c r="E212" s="727"/>
      <c r="F212" s="727"/>
      <c r="G212" s="727"/>
      <c r="H212" s="727"/>
      <c r="I212" s="727"/>
      <c r="J212" s="727"/>
      <c r="K212" s="727"/>
      <c r="L212" s="727"/>
      <c r="M212" s="727"/>
      <c r="N212" s="727"/>
      <c r="O212" s="727"/>
      <c r="P212" s="727"/>
      <c r="Q212" s="727"/>
      <c r="R212" s="727"/>
      <c r="S212" s="727"/>
      <c r="T212" s="727"/>
      <c r="U212" s="727"/>
      <c r="V212" s="727"/>
      <c r="W212" s="727"/>
      <c r="X212" s="727"/>
      <c r="Y212" s="727"/>
      <c r="Z212" s="727">
        <f ca="1">IF(BS212="АООК_",0,1)</f>
        <v>1</v>
      </c>
      <c r="AA212" s="727"/>
      <c r="AB212" s="727"/>
      <c r="AC212" s="727"/>
      <c r="AD212" s="727"/>
      <c r="AE212" s="727"/>
      <c r="AF212" s="727"/>
      <c r="AG212" s="727"/>
      <c r="AH212" s="727"/>
      <c r="AI212" s="727"/>
      <c r="AJ212" s="727"/>
      <c r="AK212" s="727"/>
      <c r="AL212" s="727"/>
      <c r="AM212" s="727"/>
      <c r="AN212" s="727"/>
      <c r="AO212" s="727"/>
      <c r="AP212" s="727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729"/>
      <c r="BL212" s="729"/>
      <c r="BM212" s="729"/>
      <c r="BN212" s="729"/>
      <c r="BO212" s="729"/>
      <c r="BP212" s="729"/>
      <c r="BQ212" s="19">
        <f t="shared" ca="1" si="8"/>
        <v>1</v>
      </c>
      <c r="BS212" s="569" t="str">
        <f ca="1">IF(INDIRECT("'АКТЫ скрытых работ'!R"&amp;BU212&amp;"C1",0)=CONCATENATE("АОСР_",BT212),CONCATENATE("АОСР_",BT212),CONCATENATE("АООК_",BT212))</f>
        <v>АОСР_23</v>
      </c>
      <c r="BT212" s="569">
        <v>23</v>
      </c>
      <c r="BU212" s="570">
        <f>BT212+1</f>
        <v>24</v>
      </c>
    </row>
    <row r="213" spans="1:74" ht="26">
      <c r="A213" s="542">
        <f ca="1">SUBTOTAL(9,$BQ$9:BQ213)</f>
        <v>90</v>
      </c>
      <c r="B213" s="545" t="str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Исполнительная схема №1 Монтаж контура заземления КК-0,4кВ</v>
      </c>
      <c r="C213" s="730" t="str">
        <f ca="1">IF(B213="Контрольно-исполнительная съемка","б/н",MID(B213,SEARCH("№",B213,1),SEARCH(" ",B213,SEARCH("№",B213,1))-SEARCH("№",B213,1)))</f>
        <v>№1</v>
      </c>
      <c r="D213" s="731"/>
      <c r="E213" s="731"/>
      <c r="F213" s="731"/>
      <c r="G213" s="731"/>
      <c r="H213" s="731"/>
      <c r="I213" s="731"/>
      <c r="J213" s="731"/>
      <c r="K213" s="731"/>
      <c r="L213" s="731"/>
      <c r="M213" s="731"/>
      <c r="N213" s="731"/>
      <c r="O213" s="731"/>
      <c r="P213" s="731"/>
      <c r="Q213" s="731"/>
      <c r="R213" s="731"/>
      <c r="S213" s="731"/>
      <c r="T213" s="731"/>
      <c r="U213" s="731"/>
      <c r="V213" s="731"/>
      <c r="W213" s="731"/>
      <c r="X213" s="731"/>
      <c r="Y213" s="732"/>
      <c r="Z213" s="727">
        <f ca="1">IFERROR(IF(OR(IFERROR(B213,0)=0,B213="-"),0,1),0)</f>
        <v>1</v>
      </c>
      <c r="AA213" s="727"/>
      <c r="AB213" s="727"/>
      <c r="AC213" s="727"/>
      <c r="AD213" s="727"/>
      <c r="AE213" s="727"/>
      <c r="AF213" s="727"/>
      <c r="AG213" s="727"/>
      <c r="AH213" s="727"/>
      <c r="AI213" s="727"/>
      <c r="AJ213" s="727"/>
      <c r="AK213" s="727"/>
      <c r="AL213" s="727"/>
      <c r="AM213" s="727"/>
      <c r="AN213" s="727"/>
      <c r="AO213" s="727"/>
      <c r="AP213" s="727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729"/>
      <c r="BL213" s="729"/>
      <c r="BM213" s="729"/>
      <c r="BN213" s="729"/>
      <c r="BO213" s="729"/>
      <c r="BP213" s="729"/>
      <c r="BQ213" s="19">
        <f t="shared" ca="1" si="8"/>
        <v>1</v>
      </c>
    </row>
    <row r="214" spans="1:74" hidden="1">
      <c r="A214" s="542">
        <f ca="1">SUBTOTAL(9,$BQ$9:BQ214)</f>
        <v>90</v>
      </c>
      <c r="B214" s="543" t="str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/>
      </c>
      <c r="C214" s="730" t="e">
        <f ca="1">IF(B214="Контрольно-исполнительная съемка","б/н",MID(B214,SEARCH("№",B214,1),SEARCH(" ",B214,SEARCH("№",B214,1))-SEARCH("№",B214,1)))</f>
        <v>#VALUE!</v>
      </c>
      <c r="D214" s="731"/>
      <c r="E214" s="731"/>
      <c r="F214" s="731"/>
      <c r="G214" s="731"/>
      <c r="H214" s="731"/>
      <c r="I214" s="731"/>
      <c r="J214" s="731"/>
      <c r="K214" s="731"/>
      <c r="L214" s="731"/>
      <c r="M214" s="731"/>
      <c r="N214" s="731"/>
      <c r="O214" s="731"/>
      <c r="P214" s="731"/>
      <c r="Q214" s="731"/>
      <c r="R214" s="731"/>
      <c r="S214" s="731"/>
      <c r="T214" s="731"/>
      <c r="U214" s="731"/>
      <c r="V214" s="731"/>
      <c r="W214" s="731"/>
      <c r="X214" s="731"/>
      <c r="Y214" s="732"/>
      <c r="Z214" s="727">
        <f ca="1">IFERROR(IF(OR(IFERROR(B214,0)=0,B214=""),0,1),0)</f>
        <v>0</v>
      </c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729"/>
      <c r="BL214" s="729"/>
      <c r="BM214" s="729"/>
      <c r="BN214" s="729"/>
      <c r="BO214" s="729"/>
      <c r="BP214" s="729"/>
      <c r="BQ214" s="19">
        <f t="shared" ca="1" si="8"/>
        <v>0</v>
      </c>
    </row>
    <row r="215" spans="1:74" hidden="1">
      <c r="A215" s="542">
        <f ca="1">SUBTOTAL(9,$BQ$9:BQ215)</f>
        <v>90</v>
      </c>
      <c r="B215" s="543" t="str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/>
      </c>
      <c r="C215" s="730" t="e">
        <f ca="1">IF(B215="Контрольно-исполнительная съемка","б/н",MID(B215,SEARCH("№",B215,1),SEARCH(" ",B215,SEARCH("№",B215,1))-SEARCH("№",B215,1)))</f>
        <v>#VALUE!</v>
      </c>
      <c r="D215" s="731"/>
      <c r="E215" s="731"/>
      <c r="F215" s="731"/>
      <c r="G215" s="731"/>
      <c r="H215" s="731"/>
      <c r="I215" s="731"/>
      <c r="J215" s="731"/>
      <c r="K215" s="731"/>
      <c r="L215" s="731"/>
      <c r="M215" s="731"/>
      <c r="N215" s="731"/>
      <c r="O215" s="731"/>
      <c r="P215" s="731"/>
      <c r="Q215" s="731"/>
      <c r="R215" s="731"/>
      <c r="S215" s="731"/>
      <c r="T215" s="731"/>
      <c r="U215" s="731"/>
      <c r="V215" s="731"/>
      <c r="W215" s="731"/>
      <c r="X215" s="731"/>
      <c r="Y215" s="732"/>
      <c r="Z215" s="727">
        <f ca="1">IFERROR(IF(OR(IFERROR(B215,0)=0,B215=""),0,1),0)</f>
        <v>0</v>
      </c>
      <c r="AA215" s="727"/>
      <c r="AB215" s="727"/>
      <c r="AC215" s="727"/>
      <c r="AD215" s="727"/>
      <c r="AE215" s="727"/>
      <c r="AF215" s="727"/>
      <c r="AG215" s="727"/>
      <c r="AH215" s="727"/>
      <c r="AI215" s="727"/>
      <c r="AJ215" s="727"/>
      <c r="AK215" s="727"/>
      <c r="AL215" s="727"/>
      <c r="AM215" s="727"/>
      <c r="AN215" s="727"/>
      <c r="AO215" s="727"/>
      <c r="AP215" s="727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9"/>
      <c r="BL215" s="729"/>
      <c r="BM215" s="729"/>
      <c r="BN215" s="729"/>
      <c r="BO215" s="729"/>
      <c r="BP215" s="729"/>
      <c r="BQ215" s="19">
        <f t="shared" ca="1" si="8"/>
        <v>0</v>
      </c>
      <c r="BV215" s="19" t="str">
        <f>MID(BV199,1,LEN(BV199))</f>
        <v/>
      </c>
    </row>
    <row r="216" spans="1:74" hidden="1">
      <c r="A216" s="542">
        <f ca="1">SUBTOTAL(9,$BQ$9:BQ216)</f>
        <v>90</v>
      </c>
      <c r="B216" s="543" t="str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/>
      </c>
      <c r="C216" s="730" t="e">
        <f ca="1">IF(B216="Контрольно-исполнительная съемка","б/н",MID(B216,SEARCH("№",B216,1),SEARCH(" ",B216,SEARCH("№",B216,1))-SEARCH("№",B216,1)))</f>
        <v>#VALUE!</v>
      </c>
      <c r="D216" s="731"/>
      <c r="E216" s="731"/>
      <c r="F216" s="731"/>
      <c r="G216" s="731"/>
      <c r="H216" s="731"/>
      <c r="I216" s="731"/>
      <c r="J216" s="731"/>
      <c r="K216" s="731"/>
      <c r="L216" s="731"/>
      <c r="M216" s="731"/>
      <c r="N216" s="731"/>
      <c r="O216" s="731"/>
      <c r="P216" s="731"/>
      <c r="Q216" s="731"/>
      <c r="R216" s="731"/>
      <c r="S216" s="731"/>
      <c r="T216" s="731"/>
      <c r="U216" s="731"/>
      <c r="V216" s="731"/>
      <c r="W216" s="731"/>
      <c r="X216" s="731"/>
      <c r="Y216" s="732"/>
      <c r="Z216" s="727">
        <f ca="1">IFERROR(IF(OR(IFERROR(B216,0)=0,B216=""),0,1),0)</f>
        <v>0</v>
      </c>
      <c r="AA216" s="727"/>
      <c r="AB216" s="727"/>
      <c r="AC216" s="727"/>
      <c r="AD216" s="727"/>
      <c r="AE216" s="727"/>
      <c r="AF216" s="727"/>
      <c r="AG216" s="727"/>
      <c r="AH216" s="727"/>
      <c r="AI216" s="727"/>
      <c r="AJ216" s="727"/>
      <c r="AK216" s="727"/>
      <c r="AL216" s="727"/>
      <c r="AM216" s="727"/>
      <c r="AN216" s="727"/>
      <c r="AO216" s="727"/>
      <c r="AP216" s="727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729"/>
      <c r="BL216" s="729"/>
      <c r="BM216" s="729"/>
      <c r="BN216" s="729"/>
      <c r="BO216" s="729"/>
      <c r="BP216" s="729"/>
      <c r="BQ216" s="19">
        <f t="shared" ca="1" si="8"/>
        <v>0</v>
      </c>
    </row>
    <row r="217" spans="1:74" hidden="1">
      <c r="A217" s="542">
        <f ca="1">SUBTOTAL(9,$BQ$9:BQ217)</f>
        <v>90</v>
      </c>
      <c r="B217" s="543" t="str">
        <f ca="1">VLOOKUP(BS212,'АКТЫ скрытых работ'!A:O,14,FALSE)</f>
        <v>-</v>
      </c>
      <c r="C217" s="727" t="str">
        <f ca="1">IF(B217&lt;&gt;"-","б/н","")</f>
        <v/>
      </c>
      <c r="D217" s="727"/>
      <c r="E217" s="727"/>
      <c r="F217" s="727"/>
      <c r="G217" s="727"/>
      <c r="H217" s="727"/>
      <c r="I217" s="727"/>
      <c r="J217" s="727"/>
      <c r="K217" s="727"/>
      <c r="L217" s="727"/>
      <c r="M217" s="727"/>
      <c r="N217" s="727"/>
      <c r="O217" s="727"/>
      <c r="P217" s="727"/>
      <c r="Q217" s="727"/>
      <c r="R217" s="727"/>
      <c r="S217" s="727"/>
      <c r="T217" s="727"/>
      <c r="U217" s="727"/>
      <c r="V217" s="727"/>
      <c r="W217" s="727"/>
      <c r="X217" s="727"/>
      <c r="Y217" s="727"/>
      <c r="Z217" s="727">
        <f ca="1">IFERROR(IF(OR(IFERROR(B217,0)=0,B217="-"),0,"1 компл"),0)</f>
        <v>0</v>
      </c>
      <c r="AA217" s="727"/>
      <c r="AB217" s="727"/>
      <c r="AC217" s="727"/>
      <c r="AD217" s="727"/>
      <c r="AE217" s="727"/>
      <c r="AF217" s="727"/>
      <c r="AG217" s="727"/>
      <c r="AH217" s="727"/>
      <c r="AI217" s="727"/>
      <c r="AJ217" s="727"/>
      <c r="AK217" s="727"/>
      <c r="AL217" s="727"/>
      <c r="AM217" s="727"/>
      <c r="AN217" s="727"/>
      <c r="AO217" s="727"/>
      <c r="AP217" s="727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729"/>
      <c r="BL217" s="729"/>
      <c r="BM217" s="729"/>
      <c r="BN217" s="729"/>
      <c r="BO217" s="729"/>
      <c r="BP217" s="729"/>
      <c r="BQ217" s="19">
        <f t="shared" ca="1" si="8"/>
        <v>0</v>
      </c>
    </row>
    <row r="218" spans="1:74" ht="26">
      <c r="A218" s="542">
        <f ca="1">SUBTOTAL(9,$BQ$9:BQ218)</f>
        <v>91</v>
      </c>
      <c r="B218" s="543" t="str">
        <f ca="1">IF(BS218&lt;&gt;"",IF(MID(BS218,1,4)="АОСР",CONCATENATE("Акт освидетельствования скрытых работ '",VLOOKUP(BS218,'АКТЫ скрытых работ'!A:O,3,FALSE),"'"),CONCATENATE("Акт освидетельствования ответственных конструкций '",VLOOKUP(BS218,'АКТЫ скрытых работ'!A:O,3,FALSE),"'")),0)</f>
        <v>Акт освидетельствования скрытых работ 'Разработка грунта траншеи'</v>
      </c>
      <c r="C218" s="727" t="str">
        <f ca="1">CONCATENATE("№",VLOOKUP(BS218,'АКТЫ скрытых работ'!A:O,2,FALSE))</f>
        <v>№1-КЗ_КК_4</v>
      </c>
      <c r="D218" s="727"/>
      <c r="E218" s="727"/>
      <c r="F218" s="727"/>
      <c r="G218" s="727"/>
      <c r="H218" s="727"/>
      <c r="I218" s="727"/>
      <c r="J218" s="727"/>
      <c r="K218" s="727"/>
      <c r="L218" s="727"/>
      <c r="M218" s="727"/>
      <c r="N218" s="727"/>
      <c r="O218" s="727"/>
      <c r="P218" s="727"/>
      <c r="Q218" s="727"/>
      <c r="R218" s="727"/>
      <c r="S218" s="727"/>
      <c r="T218" s="727"/>
      <c r="U218" s="727"/>
      <c r="V218" s="727"/>
      <c r="W218" s="727"/>
      <c r="X218" s="727"/>
      <c r="Y218" s="727"/>
      <c r="Z218" s="727">
        <f ca="1">IF(BS218="АООК_",0,1)</f>
        <v>1</v>
      </c>
      <c r="AA218" s="727"/>
      <c r="AB218" s="727"/>
      <c r="AC218" s="727"/>
      <c r="AD218" s="727"/>
      <c r="AE218" s="727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729"/>
      <c r="BL218" s="729"/>
      <c r="BM218" s="729"/>
      <c r="BN218" s="729"/>
      <c r="BO218" s="729"/>
      <c r="BP218" s="729"/>
      <c r="BQ218" s="19">
        <f t="shared" ca="1" si="8"/>
        <v>1</v>
      </c>
      <c r="BS218" s="569" t="str">
        <f ca="1">IF(INDIRECT("'АКТЫ скрытых работ'!R"&amp;BU218&amp;"C1",0)=CONCATENATE("АОСР_",BT218),CONCATENATE("АОСР_",BT218),CONCATENATE("АООК_",BT218))</f>
        <v>АОСР_24</v>
      </c>
      <c r="BT218" s="569">
        <v>24</v>
      </c>
      <c r="BU218" s="570">
        <f>BT218+1</f>
        <v>25</v>
      </c>
    </row>
    <row r="219" spans="1:74" ht="26">
      <c r="A219" s="542">
        <f ca="1">SUBTOTAL(9,$BQ$9:BQ219)</f>
        <v>92</v>
      </c>
      <c r="B219" s="545" t="str">
        <f ca="1">IF(IFERROR(SEARCH("; ",VLOOKUP(BS218,'АКТЫ скрытых работ'!A:O,11,FALSE),1),0)=0,VLOOKUP(BS218,'АКТЫ скрытых работ'!A:O,11,FALSE),LEFT(VLOOKUP(BS218,'АКТЫ скрытых работ'!A:O,11,FALSE),SEARCH(";",VLOOKUP(BS218,'АКТЫ скрытых работ'!A:O,11,FALSE))-1))</f>
        <v>Исполнительная схема №1 Монтаж контура заземления КК-0,4кВ</v>
      </c>
      <c r="C219" s="730" t="str">
        <f ca="1">IF(B219="Контрольно-исполнительная съемка","б/н",MID(B219,SEARCH("№",B219,1),SEARCH(" ",B219,SEARCH("№",B219,1))-SEARCH("№",B219,1)))</f>
        <v>№1</v>
      </c>
      <c r="D219" s="731"/>
      <c r="E219" s="731"/>
      <c r="F219" s="731"/>
      <c r="G219" s="731"/>
      <c r="H219" s="731"/>
      <c r="I219" s="731"/>
      <c r="J219" s="731"/>
      <c r="K219" s="731"/>
      <c r="L219" s="731"/>
      <c r="M219" s="731"/>
      <c r="N219" s="731"/>
      <c r="O219" s="731"/>
      <c r="P219" s="731"/>
      <c r="Q219" s="731"/>
      <c r="R219" s="731"/>
      <c r="S219" s="731"/>
      <c r="T219" s="731"/>
      <c r="U219" s="731"/>
      <c r="V219" s="731"/>
      <c r="W219" s="731"/>
      <c r="X219" s="731"/>
      <c r="Y219" s="732"/>
      <c r="Z219" s="727">
        <f ca="1">IFERROR(IF(OR(IFERROR(B219,0)=0,B219="-"),0,1),0)</f>
        <v>1</v>
      </c>
      <c r="AA219" s="727"/>
      <c r="AB219" s="727"/>
      <c r="AC219" s="727"/>
      <c r="AD219" s="727"/>
      <c r="AE219" s="727"/>
      <c r="AF219" s="727"/>
      <c r="AG219" s="727"/>
      <c r="AH219" s="727"/>
      <c r="AI219" s="727"/>
      <c r="AJ219" s="727"/>
      <c r="AK219" s="727"/>
      <c r="AL219" s="727"/>
      <c r="AM219" s="727"/>
      <c r="AN219" s="727"/>
      <c r="AO219" s="727"/>
      <c r="AP219" s="727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9"/>
      <c r="BL219" s="729"/>
      <c r="BM219" s="729"/>
      <c r="BN219" s="729"/>
      <c r="BO219" s="729"/>
      <c r="BP219" s="729"/>
      <c r="BQ219" s="19">
        <f t="shared" ca="1" si="8"/>
        <v>1</v>
      </c>
    </row>
    <row r="220" spans="1:74" hidden="1">
      <c r="A220" s="542">
        <f ca="1">SUBTOTAL(9,$BQ$9:BQ220)</f>
        <v>92</v>
      </c>
      <c r="B220" s="543" t="str">
        <f ca="1">IF(IFERROR(SEARCH(";",VLOOKUP(BS218,'АКТЫ скрытых работ'!A:O,11,FALSE),LEN(B219)+2),0)&lt;&gt;0,MID(VLOOKUP(BS218,'АКТЫ скрытых работ'!A:O,11,FALSE),LEN(B219)+3,SEARCH(";",VLOOKUP(BS218,'АКТЫ скрытых работ'!A:O,11,FALSE),LEN(B219)+3)-LEN(B219)-3),MID(VLOOKUP(BS218,'АКТЫ скрытых работ'!A:O,11,FALSE),LEN(B219)+3,LEN(VLOOKUP(BS218,'АКТЫ скрытых работ'!A:O,11,FALSE))))</f>
        <v/>
      </c>
      <c r="C220" s="730" t="e">
        <f ca="1">IF(B220="Контрольно-исполнительная съемка","б/н",MID(B220,SEARCH("№",B220,1),SEARCH(" ",B220,SEARCH("№",B220,1))-SEARCH("№",B220,1)))</f>
        <v>#VALUE!</v>
      </c>
      <c r="D220" s="731"/>
      <c r="E220" s="731"/>
      <c r="F220" s="731"/>
      <c r="G220" s="731"/>
      <c r="H220" s="731"/>
      <c r="I220" s="731"/>
      <c r="J220" s="731"/>
      <c r="K220" s="731"/>
      <c r="L220" s="731"/>
      <c r="M220" s="731"/>
      <c r="N220" s="731"/>
      <c r="O220" s="731"/>
      <c r="P220" s="731"/>
      <c r="Q220" s="731"/>
      <c r="R220" s="731"/>
      <c r="S220" s="731"/>
      <c r="T220" s="731"/>
      <c r="U220" s="731"/>
      <c r="V220" s="731"/>
      <c r="W220" s="731"/>
      <c r="X220" s="731"/>
      <c r="Y220" s="732"/>
      <c r="Z220" s="727">
        <f ca="1">IFERROR(IF(OR(IFERROR(B220,0)=0,B220=""),0,1),0)</f>
        <v>0</v>
      </c>
      <c r="AA220" s="727"/>
      <c r="AB220" s="727"/>
      <c r="AC220" s="727"/>
      <c r="AD220" s="727"/>
      <c r="AE220" s="727"/>
      <c r="AF220" s="727"/>
      <c r="AG220" s="727"/>
      <c r="AH220" s="727"/>
      <c r="AI220" s="727"/>
      <c r="AJ220" s="727"/>
      <c r="AK220" s="727"/>
      <c r="AL220" s="727"/>
      <c r="AM220" s="727"/>
      <c r="AN220" s="727"/>
      <c r="AO220" s="727"/>
      <c r="AP220" s="727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729"/>
      <c r="BL220" s="729"/>
      <c r="BM220" s="729"/>
      <c r="BN220" s="729"/>
      <c r="BO220" s="729"/>
      <c r="BP220" s="729"/>
      <c r="BQ220" s="19">
        <f t="shared" ca="1" si="8"/>
        <v>0</v>
      </c>
    </row>
    <row r="221" spans="1:74" hidden="1">
      <c r="A221" s="542">
        <f ca="1">SUBTOTAL(9,$BQ$9:BQ221)</f>
        <v>92</v>
      </c>
      <c r="B221" s="543" t="str">
        <f ca="1">IF(IFERROR(SEARCH(";",VLOOKUP(BS218,'АКТЫ скрытых работ'!A:O,11,FALSE),SUM(LEN(B219),LEN(B220))+4),0)&lt;&gt;0,MID(VLOOKUP(BS218,'АКТЫ скрытых работ'!A:O,11,FALSE),SUM(LEN(B219),LEN(B220))+5,SEARCH(";",VLOOKUP(BS218,'АКТЫ скрытых работ'!A:O,11,FALSE),SUM(LEN(B219),LEN(B220))+4)-SUM(LEN(B219),LEN(B220))-5),MID(VLOOKUP(BS218,'АКТЫ скрытых работ'!A:O,11,FALSE),SUM(LEN(B219),LEN(B220))+5,LEN(VLOOKUP(BS218,'АКТЫ скрытых работ'!A:O,11,FALSE))))</f>
        <v/>
      </c>
      <c r="C221" s="730" t="e">
        <f ca="1">IF(B221="Контрольно-исполнительная съемка","б/н",MID(B221,SEARCH("№",B221,1),SEARCH(" ",B221,SEARCH("№",B221,1))-SEARCH("№",B221,1)))</f>
        <v>#VALUE!</v>
      </c>
      <c r="D221" s="731"/>
      <c r="E221" s="731"/>
      <c r="F221" s="731"/>
      <c r="G221" s="731"/>
      <c r="H221" s="731"/>
      <c r="I221" s="731"/>
      <c r="J221" s="731"/>
      <c r="K221" s="731"/>
      <c r="L221" s="731"/>
      <c r="M221" s="731"/>
      <c r="N221" s="731"/>
      <c r="O221" s="731"/>
      <c r="P221" s="731"/>
      <c r="Q221" s="731"/>
      <c r="R221" s="731"/>
      <c r="S221" s="731"/>
      <c r="T221" s="731"/>
      <c r="U221" s="731"/>
      <c r="V221" s="731"/>
      <c r="W221" s="731"/>
      <c r="X221" s="731"/>
      <c r="Y221" s="732"/>
      <c r="Z221" s="727">
        <f ca="1">IFERROR(IF(OR(IFERROR(B221,0)=0,B221=""),0,1),0)</f>
        <v>0</v>
      </c>
      <c r="AA221" s="727"/>
      <c r="AB221" s="727"/>
      <c r="AC221" s="727"/>
      <c r="AD221" s="727"/>
      <c r="AE221" s="727"/>
      <c r="AF221" s="727"/>
      <c r="AG221" s="727"/>
      <c r="AH221" s="727"/>
      <c r="AI221" s="727"/>
      <c r="AJ221" s="727"/>
      <c r="AK221" s="727"/>
      <c r="AL221" s="727"/>
      <c r="AM221" s="727"/>
      <c r="AN221" s="727"/>
      <c r="AO221" s="727"/>
      <c r="AP221" s="727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729"/>
      <c r="BL221" s="729"/>
      <c r="BM221" s="729"/>
      <c r="BN221" s="729"/>
      <c r="BO221" s="729"/>
      <c r="BP221" s="729"/>
      <c r="BQ221" s="19">
        <f t="shared" ca="1" si="8"/>
        <v>0</v>
      </c>
      <c r="BV221" s="19" t="str">
        <f>MID(BV205,1,LEN(BV205))</f>
        <v/>
      </c>
    </row>
    <row r="222" spans="1:74" hidden="1">
      <c r="A222" s="542">
        <f ca="1">SUBTOTAL(9,$BQ$9:BQ222)</f>
        <v>92</v>
      </c>
      <c r="B222" s="543" t="str">
        <f ca="1">IF(IFERROR(SEARCH(";",VLOOKUP(BS218,'АКТЫ скрытых работ'!A:O,11,FALSE),SUM(LEN(B219),LEN(B220),LEN(B221))+8),0)&lt;&gt;0,MID(VLOOKUP(BS218,'АКТЫ скрытых работ'!A:O,11,FALSE),SUM(LEN(B219),LEN(B220),LEN(B221))+4,SEARCH(";",VLOOKUP(BS218,'АКТЫ скрытых работ'!A:O,11,FALSE),SUM(LEN(B219),LEN(B220),LEN(B221))+4)-SUM(LEN(B219),LEN(B220),LEN(B221))-6),MID(VLOOKUP(BS218,'АКТЫ скрытых работ'!A:O,11,FALSE),SUM(LEN(B219),LEN(B220),LEN(B221))+7,LEN(VLOOKUP(BS218,'АКТЫ скрытых работ'!A:O,11,FALSE))))</f>
        <v/>
      </c>
      <c r="C222" s="730" t="e">
        <f ca="1">IF(B222="Контрольно-исполнительная съемка","б/н",MID(B222,SEARCH("№",B222,1),SEARCH(" ",B222,SEARCH("№",B222,1))-SEARCH("№",B222,1)))</f>
        <v>#VALUE!</v>
      </c>
      <c r="D222" s="731"/>
      <c r="E222" s="731"/>
      <c r="F222" s="731"/>
      <c r="G222" s="731"/>
      <c r="H222" s="731"/>
      <c r="I222" s="731"/>
      <c r="J222" s="731"/>
      <c r="K222" s="731"/>
      <c r="L222" s="731"/>
      <c r="M222" s="731"/>
      <c r="N222" s="731"/>
      <c r="O222" s="731"/>
      <c r="P222" s="731"/>
      <c r="Q222" s="731"/>
      <c r="R222" s="731"/>
      <c r="S222" s="731"/>
      <c r="T222" s="731"/>
      <c r="U222" s="731"/>
      <c r="V222" s="731"/>
      <c r="W222" s="731"/>
      <c r="X222" s="731"/>
      <c r="Y222" s="732"/>
      <c r="Z222" s="727">
        <f ca="1">IFERROR(IF(OR(IFERROR(B222,0)=0,B222=""),0,1),0)</f>
        <v>0</v>
      </c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729"/>
      <c r="BL222" s="729"/>
      <c r="BM222" s="729"/>
      <c r="BN222" s="729"/>
      <c r="BO222" s="729"/>
      <c r="BP222" s="729"/>
      <c r="BQ222" s="19">
        <f t="shared" ca="1" si="8"/>
        <v>0</v>
      </c>
    </row>
    <row r="223" spans="1:74" hidden="1">
      <c r="A223" s="542">
        <f ca="1">SUBTOTAL(9,$BQ$9:BQ223)</f>
        <v>92</v>
      </c>
      <c r="B223" s="543" t="str">
        <f ca="1">VLOOKUP(BS218,'АКТЫ скрытых работ'!A:O,14,FALSE)</f>
        <v>-</v>
      </c>
      <c r="C223" s="727" t="str">
        <f ca="1">IF(B223&lt;&gt;"-","б/н","")</f>
        <v/>
      </c>
      <c r="D223" s="727"/>
      <c r="E223" s="727"/>
      <c r="F223" s="727"/>
      <c r="G223" s="727"/>
      <c r="H223" s="727"/>
      <c r="I223" s="727"/>
      <c r="J223" s="727"/>
      <c r="K223" s="727"/>
      <c r="L223" s="727"/>
      <c r="M223" s="727"/>
      <c r="N223" s="727"/>
      <c r="O223" s="727"/>
      <c r="P223" s="727"/>
      <c r="Q223" s="727"/>
      <c r="R223" s="727"/>
      <c r="S223" s="727"/>
      <c r="T223" s="727"/>
      <c r="U223" s="727"/>
      <c r="V223" s="727"/>
      <c r="W223" s="727"/>
      <c r="X223" s="727"/>
      <c r="Y223" s="727"/>
      <c r="Z223" s="727">
        <f ca="1">IFERROR(IF(OR(IFERROR(B223,0)=0,B223="-"),0,"1 компл"),0)</f>
        <v>0</v>
      </c>
      <c r="AA223" s="727"/>
      <c r="AB223" s="727"/>
      <c r="AC223" s="727"/>
      <c r="AD223" s="727"/>
      <c r="AE223" s="727"/>
      <c r="AF223" s="727"/>
      <c r="AG223" s="727"/>
      <c r="AH223" s="727"/>
      <c r="AI223" s="727"/>
      <c r="AJ223" s="727"/>
      <c r="AK223" s="727"/>
      <c r="AL223" s="727"/>
      <c r="AM223" s="727"/>
      <c r="AN223" s="727"/>
      <c r="AO223" s="727"/>
      <c r="AP223" s="727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9"/>
      <c r="BL223" s="729"/>
      <c r="BM223" s="729"/>
      <c r="BN223" s="729"/>
      <c r="BO223" s="729"/>
      <c r="BP223" s="729"/>
      <c r="BQ223" s="19">
        <f t="shared" ca="1" si="8"/>
        <v>0</v>
      </c>
    </row>
    <row r="224" spans="1:74" ht="26">
      <c r="A224" s="542">
        <f ca="1">SUBTOTAL(9,$BQ$9:BQ224)</f>
        <v>93</v>
      </c>
      <c r="B224" s="543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'Монтаж вертикальных электродов контура заземления'</v>
      </c>
      <c r="C224" s="727" t="str">
        <f ca="1">CONCATENATE("№",VLOOKUP(BS224,'АКТЫ скрытых работ'!A:O,2,FALSE))</f>
        <v>№2-КЗ_КК_4</v>
      </c>
      <c r="D224" s="727"/>
      <c r="E224" s="727"/>
      <c r="F224" s="727"/>
      <c r="G224" s="727"/>
      <c r="H224" s="727"/>
      <c r="I224" s="727"/>
      <c r="J224" s="727"/>
      <c r="K224" s="727"/>
      <c r="L224" s="727"/>
      <c r="M224" s="727"/>
      <c r="N224" s="727"/>
      <c r="O224" s="727"/>
      <c r="P224" s="727"/>
      <c r="Q224" s="727"/>
      <c r="R224" s="727"/>
      <c r="S224" s="727"/>
      <c r="T224" s="727"/>
      <c r="U224" s="727"/>
      <c r="V224" s="727"/>
      <c r="W224" s="727"/>
      <c r="X224" s="727"/>
      <c r="Y224" s="727"/>
      <c r="Z224" s="727">
        <f ca="1">IF(BS224="АООК_",0,1)</f>
        <v>1</v>
      </c>
      <c r="AA224" s="727"/>
      <c r="AB224" s="727"/>
      <c r="AC224" s="727"/>
      <c r="AD224" s="727"/>
      <c r="AE224" s="727"/>
      <c r="AF224" s="727"/>
      <c r="AG224" s="727"/>
      <c r="AH224" s="727"/>
      <c r="AI224" s="727"/>
      <c r="AJ224" s="727"/>
      <c r="AK224" s="727"/>
      <c r="AL224" s="727"/>
      <c r="AM224" s="727"/>
      <c r="AN224" s="727"/>
      <c r="AO224" s="727"/>
      <c r="AP224" s="727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729"/>
      <c r="BL224" s="729"/>
      <c r="BM224" s="729"/>
      <c r="BN224" s="729"/>
      <c r="BO224" s="729"/>
      <c r="BP224" s="729"/>
      <c r="BQ224" s="19">
        <f t="shared" ca="1" si="8"/>
        <v>1</v>
      </c>
      <c r="BS224" s="569" t="str">
        <f ca="1">IF(INDIRECT("'АКТЫ скрытых работ'!R"&amp;BU224&amp;"C1",0)=CONCATENATE("АОСР_",BT224),CONCATENATE("АОСР_",BT224),CONCATENATE("АООК_",BT224))</f>
        <v>АОСР_25</v>
      </c>
      <c r="BT224" s="569">
        <v>25</v>
      </c>
      <c r="BU224" s="570">
        <f>BT224+1</f>
        <v>26</v>
      </c>
    </row>
    <row r="225" spans="1:74" ht="26">
      <c r="A225" s="542">
        <f ca="1">SUBTOTAL(9,$BQ$9:BQ225)</f>
        <v>94</v>
      </c>
      <c r="B225" s="545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№1 Монтаж контура заземления КК-0,4кВ</v>
      </c>
      <c r="C225" s="730" t="str">
        <f ca="1">IF(B225="Контрольно-исполнительная съемка","б/н",MID(B225,SEARCH("№",B225,1),SEARCH(" ",B225,SEARCH("№",B225,1))-SEARCH("№",B225,1)))</f>
        <v>№1</v>
      </c>
      <c r="D225" s="731"/>
      <c r="E225" s="731"/>
      <c r="F225" s="731"/>
      <c r="G225" s="731"/>
      <c r="H225" s="731"/>
      <c r="I225" s="731"/>
      <c r="J225" s="731"/>
      <c r="K225" s="731"/>
      <c r="L225" s="731"/>
      <c r="M225" s="731"/>
      <c r="N225" s="731"/>
      <c r="O225" s="731"/>
      <c r="P225" s="731"/>
      <c r="Q225" s="731"/>
      <c r="R225" s="731"/>
      <c r="S225" s="731"/>
      <c r="T225" s="731"/>
      <c r="U225" s="731"/>
      <c r="V225" s="731"/>
      <c r="W225" s="731"/>
      <c r="X225" s="731"/>
      <c r="Y225" s="732"/>
      <c r="Z225" s="727">
        <f ca="1">IFERROR(IF(OR(IFERROR(B225,0)=0,B225="-"),0,1),0)</f>
        <v>1</v>
      </c>
      <c r="AA225" s="727"/>
      <c r="AB225" s="727"/>
      <c r="AC225" s="727"/>
      <c r="AD225" s="727"/>
      <c r="AE225" s="727"/>
      <c r="AF225" s="727"/>
      <c r="AG225" s="727"/>
      <c r="AH225" s="727"/>
      <c r="AI225" s="727"/>
      <c r="AJ225" s="727"/>
      <c r="AK225" s="727"/>
      <c r="AL225" s="727"/>
      <c r="AM225" s="727"/>
      <c r="AN225" s="727"/>
      <c r="AO225" s="727"/>
      <c r="AP225" s="727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729"/>
      <c r="BL225" s="729"/>
      <c r="BM225" s="729"/>
      <c r="BN225" s="729"/>
      <c r="BO225" s="729"/>
      <c r="BP225" s="729"/>
      <c r="BQ225" s="19">
        <f t="shared" ca="1" si="8"/>
        <v>1</v>
      </c>
    </row>
    <row r="226" spans="1:74" hidden="1">
      <c r="A226" s="542">
        <f ca="1">SUBTOTAL(9,$BQ$9:BQ226)</f>
        <v>94</v>
      </c>
      <c r="B226" s="543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730" t="e">
        <f ca="1">IF(B226="Контрольно-исполнительная съемка","б/н",MID(B226,SEARCH("№",B226,1),SEARCH(" ",B226,SEARCH("№",B226,1))-SEARCH("№",B226,1)))</f>
        <v>#VALUE!</v>
      </c>
      <c r="D226" s="731"/>
      <c r="E226" s="731"/>
      <c r="F226" s="731"/>
      <c r="G226" s="731"/>
      <c r="H226" s="731"/>
      <c r="I226" s="731"/>
      <c r="J226" s="731"/>
      <c r="K226" s="731"/>
      <c r="L226" s="731"/>
      <c r="M226" s="731"/>
      <c r="N226" s="731"/>
      <c r="O226" s="731"/>
      <c r="P226" s="731"/>
      <c r="Q226" s="731"/>
      <c r="R226" s="731"/>
      <c r="S226" s="731"/>
      <c r="T226" s="731"/>
      <c r="U226" s="731"/>
      <c r="V226" s="731"/>
      <c r="W226" s="731"/>
      <c r="X226" s="731"/>
      <c r="Y226" s="732"/>
      <c r="Z226" s="727">
        <f ca="1">IFERROR(IF(OR(IFERROR(B226,0)=0,B226=""),0,1),0)</f>
        <v>0</v>
      </c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729"/>
      <c r="BL226" s="729"/>
      <c r="BM226" s="729"/>
      <c r="BN226" s="729"/>
      <c r="BO226" s="729"/>
      <c r="BP226" s="729"/>
      <c r="BQ226" s="19">
        <f t="shared" ca="1" si="8"/>
        <v>0</v>
      </c>
    </row>
    <row r="227" spans="1:74" hidden="1">
      <c r="A227" s="542">
        <f ca="1">SUBTOTAL(9,$BQ$9:BQ227)</f>
        <v>94</v>
      </c>
      <c r="B227" s="543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730" t="e">
        <f ca="1">IF(B227="Контрольно-исполнительная съемка","б/н",MID(B227,SEARCH("№",B227,1),SEARCH(" ",B227,SEARCH("№",B227,1))-SEARCH("№",B227,1)))</f>
        <v>#VALUE!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31"/>
      <c r="V227" s="731"/>
      <c r="W227" s="731"/>
      <c r="X227" s="731"/>
      <c r="Y227" s="732"/>
      <c r="Z227" s="727">
        <f ca="1">IFERROR(IF(OR(IFERROR(B227,0)=0,B227=""),0,1),0)</f>
        <v>0</v>
      </c>
      <c r="AA227" s="727"/>
      <c r="AB227" s="727"/>
      <c r="AC227" s="727"/>
      <c r="AD227" s="727"/>
      <c r="AE227" s="727"/>
      <c r="AF227" s="727"/>
      <c r="AG227" s="727"/>
      <c r="AH227" s="727"/>
      <c r="AI227" s="727"/>
      <c r="AJ227" s="727"/>
      <c r="AK227" s="727"/>
      <c r="AL227" s="727"/>
      <c r="AM227" s="727"/>
      <c r="AN227" s="727"/>
      <c r="AO227" s="727"/>
      <c r="AP227" s="727"/>
      <c r="AQ227" s="729"/>
      <c r="AR227" s="729"/>
      <c r="AS227" s="729"/>
      <c r="AT227" s="729"/>
      <c r="AU227" s="729"/>
      <c r="AV227" s="729"/>
      <c r="AW227" s="729"/>
      <c r="AX227" s="729"/>
      <c r="AY227" s="729"/>
      <c r="AZ227" s="729"/>
      <c r="BA227" s="729"/>
      <c r="BB227" s="729"/>
      <c r="BC227" s="729"/>
      <c r="BD227" s="729"/>
      <c r="BE227" s="729"/>
      <c r="BF227" s="729"/>
      <c r="BG227" s="729"/>
      <c r="BH227" s="729"/>
      <c r="BI227" s="729"/>
      <c r="BJ227" s="729"/>
      <c r="BK227" s="729"/>
      <c r="BL227" s="729"/>
      <c r="BM227" s="729"/>
      <c r="BN227" s="729"/>
      <c r="BO227" s="729"/>
      <c r="BP227" s="729"/>
      <c r="BQ227" s="19">
        <f t="shared" ref="BQ227:BQ238" ca="1" si="9">IF(Z227&gt;0,1,0)</f>
        <v>0</v>
      </c>
      <c r="BV227" s="19" t="str">
        <f>MID(BV211,1,LEN(BV211))</f>
        <v/>
      </c>
    </row>
    <row r="228" spans="1:74" hidden="1">
      <c r="A228" s="542">
        <f ca="1">SUBTOTAL(9,$BQ$9:BQ228)</f>
        <v>94</v>
      </c>
      <c r="B228" s="543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730" t="e">
        <f ca="1">IF(B228="Контрольно-исполнительная съемка","б/н",MID(B228,SEARCH("№",B228,1),SEARCH(" ",B228,SEARCH("№",B228,1))-SEARCH("№",B228,1)))</f>
        <v>#VALUE!</v>
      </c>
      <c r="D228" s="731"/>
      <c r="E228" s="731"/>
      <c r="F228" s="731"/>
      <c r="G228" s="731"/>
      <c r="H228" s="731"/>
      <c r="I228" s="731"/>
      <c r="J228" s="731"/>
      <c r="K228" s="731"/>
      <c r="L228" s="731"/>
      <c r="M228" s="731"/>
      <c r="N228" s="731"/>
      <c r="O228" s="731"/>
      <c r="P228" s="731"/>
      <c r="Q228" s="731"/>
      <c r="R228" s="731"/>
      <c r="S228" s="731"/>
      <c r="T228" s="731"/>
      <c r="U228" s="731"/>
      <c r="V228" s="731"/>
      <c r="W228" s="731"/>
      <c r="X228" s="731"/>
      <c r="Y228" s="732"/>
      <c r="Z228" s="727">
        <f ca="1">IFERROR(IF(OR(IFERROR(B228,0)=0,B228=""),0,1),0)</f>
        <v>0</v>
      </c>
      <c r="AA228" s="727"/>
      <c r="AB228" s="727"/>
      <c r="AC228" s="727"/>
      <c r="AD228" s="727"/>
      <c r="AE228" s="727"/>
      <c r="AF228" s="727"/>
      <c r="AG228" s="727"/>
      <c r="AH228" s="727"/>
      <c r="AI228" s="727"/>
      <c r="AJ228" s="727"/>
      <c r="AK228" s="727"/>
      <c r="AL228" s="727"/>
      <c r="AM228" s="727"/>
      <c r="AN228" s="727"/>
      <c r="AO228" s="727"/>
      <c r="AP228" s="727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9"/>
      <c r="BL228" s="729"/>
      <c r="BM228" s="729"/>
      <c r="BN228" s="729"/>
      <c r="BO228" s="729"/>
      <c r="BP228" s="729"/>
      <c r="BQ228" s="19">
        <f t="shared" ca="1" si="9"/>
        <v>0</v>
      </c>
    </row>
    <row r="229" spans="1:74" ht="39">
      <c r="A229" s="542">
        <f ca="1">SUBTOTAL(9,$BQ$9:BQ229)</f>
        <v>95</v>
      </c>
      <c r="B229" s="543" t="str">
        <f ca="1">VLOOKUP(BS224,'АКТЫ скрытых работ'!A:O,14,FALSE)</f>
        <v>Информационное письмо №1157 от 26.10.2016 "Центр Декларирования Сертификации" (ООО "ЦДС)"</v>
      </c>
      <c r="C229" s="727" t="str">
        <f ca="1">IF(B229&lt;&gt;"-","б/н","")</f>
        <v>б/н</v>
      </c>
      <c r="D229" s="727"/>
      <c r="E229" s="727"/>
      <c r="F229" s="727"/>
      <c r="G229" s="727"/>
      <c r="H229" s="727"/>
      <c r="I229" s="727"/>
      <c r="J229" s="727"/>
      <c r="K229" s="727"/>
      <c r="L229" s="727"/>
      <c r="M229" s="727"/>
      <c r="N229" s="727"/>
      <c r="O229" s="727"/>
      <c r="P229" s="727"/>
      <c r="Q229" s="727"/>
      <c r="R229" s="727"/>
      <c r="S229" s="727"/>
      <c r="T229" s="727"/>
      <c r="U229" s="727"/>
      <c r="V229" s="727"/>
      <c r="W229" s="727"/>
      <c r="X229" s="727"/>
      <c r="Y229" s="727"/>
      <c r="Z229" s="727" t="str">
        <f ca="1">IFERROR(IF(OR(IFERROR(B229,0)=0,B229="-"),0,"1 компл"),0)</f>
        <v>1 компл</v>
      </c>
      <c r="AA229" s="727"/>
      <c r="AB229" s="727"/>
      <c r="AC229" s="727"/>
      <c r="AD229" s="727"/>
      <c r="AE229" s="727"/>
      <c r="AF229" s="727"/>
      <c r="AG229" s="727"/>
      <c r="AH229" s="727"/>
      <c r="AI229" s="727"/>
      <c r="AJ229" s="727"/>
      <c r="AK229" s="727"/>
      <c r="AL229" s="727"/>
      <c r="AM229" s="727"/>
      <c r="AN229" s="727"/>
      <c r="AO229" s="727"/>
      <c r="AP229" s="727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729"/>
      <c r="BL229" s="729"/>
      <c r="BM229" s="729"/>
      <c r="BN229" s="729"/>
      <c r="BO229" s="729"/>
      <c r="BP229" s="729"/>
      <c r="BQ229" s="19">
        <f t="shared" ca="1" si="9"/>
        <v>1</v>
      </c>
    </row>
    <row r="230" spans="1:74" ht="26">
      <c r="A230" s="542">
        <f ca="1">SUBTOTAL(9,$BQ$9:BQ230)</f>
        <v>96</v>
      </c>
      <c r="B230" s="543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'Монтаж горизонтального заземлителя'</v>
      </c>
      <c r="C230" s="727" t="str">
        <f ca="1">CONCATENATE("№",VLOOKUP(BS230,'АКТЫ скрытых работ'!A:O,2,FALSE))</f>
        <v>№3-КЗ_КК_4</v>
      </c>
      <c r="D230" s="727"/>
      <c r="E230" s="727"/>
      <c r="F230" s="727"/>
      <c r="G230" s="727"/>
      <c r="H230" s="727"/>
      <c r="I230" s="727"/>
      <c r="J230" s="727"/>
      <c r="K230" s="727"/>
      <c r="L230" s="727"/>
      <c r="M230" s="727"/>
      <c r="N230" s="727"/>
      <c r="O230" s="727"/>
      <c r="P230" s="727"/>
      <c r="Q230" s="727"/>
      <c r="R230" s="727"/>
      <c r="S230" s="727"/>
      <c r="T230" s="727"/>
      <c r="U230" s="727"/>
      <c r="V230" s="727"/>
      <c r="W230" s="727"/>
      <c r="X230" s="727"/>
      <c r="Y230" s="727"/>
      <c r="Z230" s="727">
        <f ca="1">IF(BS230="АООК_",0,1)</f>
        <v>1</v>
      </c>
      <c r="AA230" s="727"/>
      <c r="AB230" s="727"/>
      <c r="AC230" s="727"/>
      <c r="AD230" s="727"/>
      <c r="AE230" s="727"/>
      <c r="AF230" s="727"/>
      <c r="AG230" s="727"/>
      <c r="AH230" s="727"/>
      <c r="AI230" s="727"/>
      <c r="AJ230" s="727"/>
      <c r="AK230" s="727"/>
      <c r="AL230" s="727"/>
      <c r="AM230" s="727"/>
      <c r="AN230" s="727"/>
      <c r="AO230" s="727"/>
      <c r="AP230" s="727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729"/>
      <c r="BL230" s="729"/>
      <c r="BM230" s="729"/>
      <c r="BN230" s="729"/>
      <c r="BO230" s="729"/>
      <c r="BP230" s="729"/>
      <c r="BQ230" s="19">
        <f t="shared" ca="1" si="9"/>
        <v>1</v>
      </c>
      <c r="BS230" s="569" t="str">
        <f ca="1">IF(INDIRECT("'АКТЫ скрытых работ'!R"&amp;BU230&amp;"C1",0)=CONCATENATE("АОСР_",BT230),CONCATENATE("АОСР_",BT230),CONCATENATE("АООК_",BT230))</f>
        <v>АОСР_26</v>
      </c>
      <c r="BT230" s="569">
        <v>26</v>
      </c>
      <c r="BU230" s="570">
        <f>BT230+1</f>
        <v>27</v>
      </c>
    </row>
    <row r="231" spans="1:74" ht="26">
      <c r="A231" s="542">
        <f ca="1">SUBTOTAL(9,$BQ$9:BQ231)</f>
        <v>97</v>
      </c>
      <c r="B231" s="545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Исполнительная схема №1 Монтаж контура заземления КК-0,4кВ</v>
      </c>
      <c r="C231" s="730" t="str">
        <f ca="1">IF(B231="Контрольно-исполнительная съемка","б/н",MID(B231,SEARCH("№",B231,1),SEARCH(" ",B231,SEARCH("№",B231,1))-SEARCH("№",B231,1)))</f>
        <v>№1</v>
      </c>
      <c r="D231" s="731"/>
      <c r="E231" s="731"/>
      <c r="F231" s="731"/>
      <c r="G231" s="731"/>
      <c r="H231" s="731"/>
      <c r="I231" s="731"/>
      <c r="J231" s="731"/>
      <c r="K231" s="731"/>
      <c r="L231" s="731"/>
      <c r="M231" s="731"/>
      <c r="N231" s="731"/>
      <c r="O231" s="731"/>
      <c r="P231" s="731"/>
      <c r="Q231" s="731"/>
      <c r="R231" s="731"/>
      <c r="S231" s="731"/>
      <c r="T231" s="731"/>
      <c r="U231" s="731"/>
      <c r="V231" s="731"/>
      <c r="W231" s="731"/>
      <c r="X231" s="731"/>
      <c r="Y231" s="732"/>
      <c r="Z231" s="727">
        <f ca="1">IFERROR(IF(OR(IFERROR(B231,0)=0,B231="-"),0,1),0)</f>
        <v>1</v>
      </c>
      <c r="AA231" s="727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729"/>
      <c r="BL231" s="729"/>
      <c r="BM231" s="729"/>
      <c r="BN231" s="729"/>
      <c r="BO231" s="729"/>
      <c r="BP231" s="729"/>
      <c r="BQ231" s="19">
        <f t="shared" ca="1" si="9"/>
        <v>1</v>
      </c>
    </row>
    <row r="232" spans="1:74" hidden="1">
      <c r="A232" s="542">
        <f ca="1">SUBTOTAL(9,$BQ$9:BQ232)</f>
        <v>97</v>
      </c>
      <c r="B232" s="543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/>
      </c>
      <c r="C232" s="730" t="e">
        <f ca="1">IF(B232="Контрольно-исполнительная съемка","б/н",MID(B232,SEARCH("№",B232,1),SEARCH(" ",B232,SEARCH("№",B232,1))-SEARCH("№",B232,1)))</f>
        <v>#VALUE!</v>
      </c>
      <c r="D232" s="731"/>
      <c r="E232" s="731"/>
      <c r="F232" s="731"/>
      <c r="G232" s="731"/>
      <c r="H232" s="731"/>
      <c r="I232" s="731"/>
      <c r="J232" s="731"/>
      <c r="K232" s="731"/>
      <c r="L232" s="731"/>
      <c r="M232" s="731"/>
      <c r="N232" s="731"/>
      <c r="O232" s="731"/>
      <c r="P232" s="731"/>
      <c r="Q232" s="731"/>
      <c r="R232" s="731"/>
      <c r="S232" s="731"/>
      <c r="T232" s="731"/>
      <c r="U232" s="731"/>
      <c r="V232" s="731"/>
      <c r="W232" s="731"/>
      <c r="X232" s="731"/>
      <c r="Y232" s="732"/>
      <c r="Z232" s="727">
        <f ca="1">IFERROR(IF(OR(IFERROR(B232,0)=0,B232=""),0,1),0)</f>
        <v>0</v>
      </c>
      <c r="AA232" s="727"/>
      <c r="AB232" s="727"/>
      <c r="AC232" s="727"/>
      <c r="AD232" s="727"/>
      <c r="AE232" s="727"/>
      <c r="AF232" s="727"/>
      <c r="AG232" s="727"/>
      <c r="AH232" s="727"/>
      <c r="AI232" s="727"/>
      <c r="AJ232" s="727"/>
      <c r="AK232" s="727"/>
      <c r="AL232" s="727"/>
      <c r="AM232" s="727"/>
      <c r="AN232" s="727"/>
      <c r="AO232" s="727"/>
      <c r="AP232" s="727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9"/>
      <c r="BL232" s="729"/>
      <c r="BM232" s="729"/>
      <c r="BN232" s="729"/>
      <c r="BO232" s="729"/>
      <c r="BP232" s="729"/>
      <c r="BQ232" s="19">
        <f t="shared" ca="1" si="9"/>
        <v>0</v>
      </c>
    </row>
    <row r="233" spans="1:74" hidden="1">
      <c r="A233" s="542">
        <f ca="1">SUBTOTAL(9,$BQ$9:BQ233)</f>
        <v>97</v>
      </c>
      <c r="B233" s="543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730" t="e">
        <f ca="1">IF(B233="Контрольно-исполнительная съемка","б/н",MID(B233,SEARCH("№",B233,1),SEARCH(" ",B233,SEARCH("№",B233,1))-SEARCH("№",B233,1)))</f>
        <v>#VALUE!</v>
      </c>
      <c r="D233" s="731"/>
      <c r="E233" s="731"/>
      <c r="F233" s="731"/>
      <c r="G233" s="731"/>
      <c r="H233" s="731"/>
      <c r="I233" s="731"/>
      <c r="J233" s="731"/>
      <c r="K233" s="731"/>
      <c r="L233" s="731"/>
      <c r="M233" s="731"/>
      <c r="N233" s="731"/>
      <c r="O233" s="731"/>
      <c r="P233" s="731"/>
      <c r="Q233" s="731"/>
      <c r="R233" s="731"/>
      <c r="S233" s="731"/>
      <c r="T233" s="731"/>
      <c r="U233" s="731"/>
      <c r="V233" s="731"/>
      <c r="W233" s="731"/>
      <c r="X233" s="731"/>
      <c r="Y233" s="732"/>
      <c r="Z233" s="727">
        <f ca="1">IFERROR(IF(OR(IFERROR(B233,0)=0,B233=""),0,1),0)</f>
        <v>0</v>
      </c>
      <c r="AA233" s="727"/>
      <c r="AB233" s="727"/>
      <c r="AC233" s="727"/>
      <c r="AD233" s="727"/>
      <c r="AE233" s="727"/>
      <c r="AF233" s="727"/>
      <c r="AG233" s="727"/>
      <c r="AH233" s="727"/>
      <c r="AI233" s="727"/>
      <c r="AJ233" s="727"/>
      <c r="AK233" s="727"/>
      <c r="AL233" s="727"/>
      <c r="AM233" s="727"/>
      <c r="AN233" s="727"/>
      <c r="AO233" s="727"/>
      <c r="AP233" s="727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729"/>
      <c r="BL233" s="729"/>
      <c r="BM233" s="729"/>
      <c r="BN233" s="729"/>
      <c r="BO233" s="729"/>
      <c r="BP233" s="729"/>
      <c r="BQ233" s="19">
        <f t="shared" ca="1" si="9"/>
        <v>0</v>
      </c>
      <c r="BV233" s="19" t="str">
        <f>MID(BV217,1,LEN(BV217))</f>
        <v/>
      </c>
    </row>
    <row r="234" spans="1:74" hidden="1">
      <c r="A234" s="542">
        <f ca="1">SUBTOTAL(9,$BQ$9:BQ234)</f>
        <v>97</v>
      </c>
      <c r="B234" s="543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730" t="e">
        <f ca="1">IF(B234="Контрольно-исполнительная съемка","б/н",MID(B234,SEARCH("№",B234,1),SEARCH(" ",B234,SEARCH("№",B234,1))-SEARCH("№",B234,1)))</f>
        <v>#VALUE!</v>
      </c>
      <c r="D234" s="731"/>
      <c r="E234" s="731"/>
      <c r="F234" s="731"/>
      <c r="G234" s="731"/>
      <c r="H234" s="731"/>
      <c r="I234" s="731"/>
      <c r="J234" s="731"/>
      <c r="K234" s="731"/>
      <c r="L234" s="731"/>
      <c r="M234" s="731"/>
      <c r="N234" s="731"/>
      <c r="O234" s="731"/>
      <c r="P234" s="731"/>
      <c r="Q234" s="731"/>
      <c r="R234" s="731"/>
      <c r="S234" s="731"/>
      <c r="T234" s="731"/>
      <c r="U234" s="731"/>
      <c r="V234" s="731"/>
      <c r="W234" s="731"/>
      <c r="X234" s="731"/>
      <c r="Y234" s="732"/>
      <c r="Z234" s="727">
        <f ca="1">IFERROR(IF(OR(IFERROR(B234,0)=0,B234=""),0,1),0)</f>
        <v>0</v>
      </c>
      <c r="AA234" s="727"/>
      <c r="AB234" s="727"/>
      <c r="AC234" s="727"/>
      <c r="AD234" s="727"/>
      <c r="AE234" s="727"/>
      <c r="AF234" s="727"/>
      <c r="AG234" s="727"/>
      <c r="AH234" s="727"/>
      <c r="AI234" s="727"/>
      <c r="AJ234" s="727"/>
      <c r="AK234" s="727"/>
      <c r="AL234" s="727"/>
      <c r="AM234" s="727"/>
      <c r="AN234" s="727"/>
      <c r="AO234" s="727"/>
      <c r="AP234" s="727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729"/>
      <c r="BL234" s="729"/>
      <c r="BM234" s="729"/>
      <c r="BN234" s="729"/>
      <c r="BO234" s="729"/>
      <c r="BP234" s="729"/>
      <c r="BQ234" s="19">
        <f t="shared" ca="1" si="9"/>
        <v>0</v>
      </c>
    </row>
    <row r="235" spans="1:74" ht="52">
      <c r="A235" s="542">
        <f ca="1">SUBTOTAL(9,$BQ$9:BQ235)</f>
        <v>98</v>
      </c>
      <c r="B235" s="543" t="str">
        <f ca="1">VLOOKUP(BS230,'АКТЫ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235" s="727" t="str">
        <f ca="1">IF(B235&lt;&gt;"-","б/н","")</f>
        <v>б/н</v>
      </c>
      <c r="D235" s="727"/>
      <c r="E235" s="727"/>
      <c r="F235" s="727"/>
      <c r="G235" s="727"/>
      <c r="H235" s="727"/>
      <c r="I235" s="727"/>
      <c r="J235" s="727"/>
      <c r="K235" s="727"/>
      <c r="L235" s="727"/>
      <c r="M235" s="727"/>
      <c r="N235" s="727"/>
      <c r="O235" s="727"/>
      <c r="P235" s="727"/>
      <c r="Q235" s="727"/>
      <c r="R235" s="727"/>
      <c r="S235" s="727"/>
      <c r="T235" s="727"/>
      <c r="U235" s="727"/>
      <c r="V235" s="727"/>
      <c r="W235" s="727"/>
      <c r="X235" s="727"/>
      <c r="Y235" s="727"/>
      <c r="Z235" s="727" t="str">
        <f ca="1">IFERROR(IF(OR(IFERROR(B235,0)=0,B235="-"),0,"1 компл"),0)</f>
        <v>1 компл</v>
      </c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729"/>
      <c r="BL235" s="729"/>
      <c r="BM235" s="729"/>
      <c r="BN235" s="729"/>
      <c r="BO235" s="729"/>
      <c r="BP235" s="729"/>
      <c r="BQ235" s="19">
        <f t="shared" ca="1" si="9"/>
        <v>1</v>
      </c>
    </row>
    <row r="236" spans="1:74" ht="26">
      <c r="A236" s="542">
        <f ca="1">SUBTOTAL(9,$BQ$9:BQ236)</f>
        <v>99</v>
      </c>
      <c r="B236" s="543" t="str">
        <f ca="1">IF(BS236&lt;&gt;"",IF(MID(BS236,1,4)="АОСР",CONCATENATE("Акт освидетельствования скрытых работ '",VLOOKUP(BS236,'АКТЫ скрытых работ'!A:O,3,FALSE),"'"),CONCATENATE("Акт освидетельствования ответственных конструкций '",VLOOKUP(BS236,'АКТЫ скрытых работ'!A:O,3,FALSE),"'")),0)</f>
        <v>Акт освидетельствования скрытых работ 'Огрунтовка и окраска сварных соединений'</v>
      </c>
      <c r="C236" s="727" t="str">
        <f ca="1">CONCATENATE("№",VLOOKUP(BS236,'АКТЫ скрытых работ'!A:O,2,FALSE))</f>
        <v>№4-КЗ_КК_4</v>
      </c>
      <c r="D236" s="727"/>
      <c r="E236" s="727"/>
      <c r="F236" s="727"/>
      <c r="G236" s="727"/>
      <c r="H236" s="727"/>
      <c r="I236" s="727"/>
      <c r="J236" s="727"/>
      <c r="K236" s="727"/>
      <c r="L236" s="727"/>
      <c r="M236" s="727"/>
      <c r="N236" s="727"/>
      <c r="O236" s="727"/>
      <c r="P236" s="727"/>
      <c r="Q236" s="727"/>
      <c r="R236" s="727"/>
      <c r="S236" s="727"/>
      <c r="T236" s="727"/>
      <c r="U236" s="727"/>
      <c r="V236" s="727"/>
      <c r="W236" s="727"/>
      <c r="X236" s="727"/>
      <c r="Y236" s="727"/>
      <c r="Z236" s="727">
        <f ca="1">IF(BS236="АООК_",0,1)</f>
        <v>1</v>
      </c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  <c r="AN236" s="727"/>
      <c r="AO236" s="727"/>
      <c r="AP236" s="727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9"/>
      <c r="BL236" s="729"/>
      <c r="BM236" s="729"/>
      <c r="BN236" s="729"/>
      <c r="BO236" s="729"/>
      <c r="BP236" s="729"/>
      <c r="BQ236" s="19">
        <f t="shared" ca="1" si="9"/>
        <v>1</v>
      </c>
      <c r="BR236" s="726"/>
      <c r="BS236" s="569" t="str">
        <f ca="1">IF(INDIRECT("'АКТЫ скрытых работ'!R"&amp;BU236&amp;"C1",0)=CONCATENATE("АОСР_",BT236),CONCATENATE("АОСР_",BT236),CONCATENATE("АООК_",BT236))</f>
        <v>АОСР_27</v>
      </c>
      <c r="BT236" s="569">
        <v>27</v>
      </c>
      <c r="BU236" s="570">
        <f>BT236+1</f>
        <v>28</v>
      </c>
    </row>
    <row r="237" spans="1:74" ht="26">
      <c r="A237" s="542">
        <f ca="1">SUBTOTAL(9,$BQ$9:BQ237)</f>
        <v>100</v>
      </c>
      <c r="B237" s="545" t="str">
        <f ca="1">IF(IFERROR(SEARCH("; ",VLOOKUP(BS236,'АКТЫ скрытых работ'!A:O,11,FALSE),1),0)=0,VLOOKUP(BS236,'АКТЫ скрытых работ'!A:O,11,FALSE),LEFT(VLOOKUP(BS236,'АКТЫ скрытых работ'!A:O,11,FALSE),SEARCH(";",VLOOKUP(BS236,'АКТЫ скрытых работ'!A:O,11,FALSE))-1))</f>
        <v>Исполнительная схема №1 Монтаж контура заземления КК-0,4кВ</v>
      </c>
      <c r="C237" s="730" t="str">
        <f ca="1">IF(B237="Контрольно-исполнительная съемка","б/н",MID(B237,SEARCH("№",B237,1),SEARCH(" ",B237,SEARCH("№",B237,1))-SEARCH("№",B237,1)))</f>
        <v>№1</v>
      </c>
      <c r="D237" s="731"/>
      <c r="E237" s="731"/>
      <c r="F237" s="731"/>
      <c r="G237" s="731"/>
      <c r="H237" s="731"/>
      <c r="I237" s="731"/>
      <c r="J237" s="731"/>
      <c r="K237" s="731"/>
      <c r="L237" s="731"/>
      <c r="M237" s="731"/>
      <c r="N237" s="731"/>
      <c r="O237" s="731"/>
      <c r="P237" s="731"/>
      <c r="Q237" s="731"/>
      <c r="R237" s="731"/>
      <c r="S237" s="731"/>
      <c r="T237" s="731"/>
      <c r="U237" s="731"/>
      <c r="V237" s="731"/>
      <c r="W237" s="731"/>
      <c r="X237" s="731"/>
      <c r="Y237" s="732"/>
      <c r="Z237" s="727">
        <f ca="1">IFERROR(IF(OR(IFERROR(B237,0)=0,B237="-"),0,1),0)</f>
        <v>1</v>
      </c>
      <c r="AA237" s="727"/>
      <c r="AB237" s="727"/>
      <c r="AC237" s="727"/>
      <c r="AD237" s="727"/>
      <c r="AE237" s="727"/>
      <c r="AF237" s="727"/>
      <c r="AG237" s="727"/>
      <c r="AH237" s="727"/>
      <c r="AI237" s="727"/>
      <c r="AJ237" s="727"/>
      <c r="AK237" s="727"/>
      <c r="AL237" s="727"/>
      <c r="AM237" s="727"/>
      <c r="AN237" s="727"/>
      <c r="AO237" s="727"/>
      <c r="AP237" s="727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729"/>
      <c r="BL237" s="729"/>
      <c r="BM237" s="729"/>
      <c r="BN237" s="729"/>
      <c r="BO237" s="729"/>
      <c r="BP237" s="729"/>
      <c r="BQ237" s="19">
        <f t="shared" ca="1" si="9"/>
        <v>1</v>
      </c>
      <c r="BR237" s="726"/>
    </row>
    <row r="238" spans="1:74" hidden="1">
      <c r="A238" s="542">
        <f ca="1">SUBTOTAL(9,$BQ$9:BQ238)</f>
        <v>100</v>
      </c>
      <c r="B238" s="543" t="str">
        <f ca="1">IF(IFERROR(SEARCH(";",VLOOKUP(BS236,'АКТЫ скрытых работ'!A:O,11,FALSE),LEN(B237)+2),0)&lt;&gt;0,MID(VLOOKUP(BS236,'АКТЫ скрытых работ'!A:O,11,FALSE),LEN(B237)+3,SEARCH(";",VLOOKUP(BS236,'АКТЫ скрытых работ'!A:O,11,FALSE),LEN(B237)+3)-LEN(B237)-3),MID(VLOOKUP(BS236,'АКТЫ скрытых работ'!A:O,11,FALSE),LEN(B237)+3,LEN(VLOOKUP(BS236,'АКТЫ скрытых работ'!A:O,11,FALSE))))</f>
        <v/>
      </c>
      <c r="C238" s="730" t="e">
        <f ca="1">IF(B238="Контрольно-исполнительная съемка","б/н",MID(B238,SEARCH("№",B238,1),SEARCH(" ",B238,SEARCH("№",B238,1))-SEARCH("№",B238,1)))</f>
        <v>#VALUE!</v>
      </c>
      <c r="D238" s="731"/>
      <c r="E238" s="731"/>
      <c r="F238" s="731"/>
      <c r="G238" s="731"/>
      <c r="H238" s="731"/>
      <c r="I238" s="731"/>
      <c r="J238" s="731"/>
      <c r="K238" s="731"/>
      <c r="L238" s="731"/>
      <c r="M238" s="731"/>
      <c r="N238" s="731"/>
      <c r="O238" s="731"/>
      <c r="P238" s="731"/>
      <c r="Q238" s="731"/>
      <c r="R238" s="731"/>
      <c r="S238" s="731"/>
      <c r="T238" s="731"/>
      <c r="U238" s="731"/>
      <c r="V238" s="731"/>
      <c r="W238" s="731"/>
      <c r="X238" s="731"/>
      <c r="Y238" s="732"/>
      <c r="Z238" s="727">
        <f ca="1">IFERROR(IF(OR(IFERROR(B238,0)=0,B238=""),0,1),0)</f>
        <v>0</v>
      </c>
      <c r="AA238" s="727"/>
      <c r="AB238" s="727"/>
      <c r="AC238" s="727"/>
      <c r="AD238" s="727"/>
      <c r="AE238" s="727"/>
      <c r="AF238" s="727"/>
      <c r="AG238" s="727"/>
      <c r="AH238" s="727"/>
      <c r="AI238" s="727"/>
      <c r="AJ238" s="727"/>
      <c r="AK238" s="727"/>
      <c r="AL238" s="727"/>
      <c r="AM238" s="727"/>
      <c r="AN238" s="727"/>
      <c r="AO238" s="727"/>
      <c r="AP238" s="727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729"/>
      <c r="BL238" s="729"/>
      <c r="BM238" s="729"/>
      <c r="BN238" s="729"/>
      <c r="BO238" s="729"/>
      <c r="BP238" s="729"/>
      <c r="BQ238" s="19">
        <f t="shared" ca="1" si="9"/>
        <v>0</v>
      </c>
      <c r="BR238" s="726"/>
    </row>
    <row r="239" spans="1:74" hidden="1">
      <c r="A239" s="542">
        <f ca="1">SUBTOTAL(9,$BQ$9:BQ239)</f>
        <v>100</v>
      </c>
      <c r="B239" s="543" t="str">
        <f ca="1">IF(IFERROR(SEARCH(";",VLOOKUP(BS236,'АКТЫ скрытых работ'!A:O,11,FALSE),SUM(LEN(B237),LEN(B238))+4),0)&lt;&gt;0,MID(VLOOKUP(BS236,'АКТЫ скрытых работ'!A:O,11,FALSE),SUM(LEN(B237),LEN(B238))+5,SEARCH(";",VLOOKUP(BS236,'АКТЫ скрытых работ'!A:O,11,FALSE),SUM(LEN(B237),LEN(B238))+4)-SUM(LEN(B237),LEN(B238))-5),MID(VLOOKUP(BS236,'АКТЫ скрытых работ'!A:O,11,FALSE),SUM(LEN(B237),LEN(B238))+5,LEN(VLOOKUP(BS236,'АКТЫ скрытых работ'!A:O,11,FALSE))))</f>
        <v/>
      </c>
      <c r="C239" s="730" t="e">
        <f ca="1">IF(B239="Контрольно-исполнительная съемка","б/н",MID(B239,SEARCH("№",B239,1),SEARCH(" ",B239,SEARCH("№",B239,1))-SEARCH("№",B239,1)))</f>
        <v>#VALUE!</v>
      </c>
      <c r="D239" s="731"/>
      <c r="E239" s="731"/>
      <c r="F239" s="731"/>
      <c r="G239" s="731"/>
      <c r="H239" s="731"/>
      <c r="I239" s="731"/>
      <c r="J239" s="731"/>
      <c r="K239" s="731"/>
      <c r="L239" s="731"/>
      <c r="M239" s="731"/>
      <c r="N239" s="731"/>
      <c r="O239" s="731"/>
      <c r="P239" s="731"/>
      <c r="Q239" s="731"/>
      <c r="R239" s="731"/>
      <c r="S239" s="731"/>
      <c r="T239" s="731"/>
      <c r="U239" s="731"/>
      <c r="V239" s="731"/>
      <c r="W239" s="731"/>
      <c r="X239" s="731"/>
      <c r="Y239" s="732"/>
      <c r="Z239" s="727">
        <f ca="1">IFERROR(IF(OR(IFERROR(B239,0)=0,B239=""),0,1),0)</f>
        <v>0</v>
      </c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729"/>
      <c r="BL239" s="729"/>
      <c r="BM239" s="729"/>
      <c r="BN239" s="729"/>
      <c r="BO239" s="729"/>
      <c r="BP239" s="729"/>
      <c r="BQ239" s="19">
        <f ca="1">IF(Z239&gt;0,1,0)</f>
        <v>0</v>
      </c>
      <c r="BR239" s="726"/>
      <c r="BV239" s="19" t="str">
        <f>MID(BV223,1,LEN(BV223))</f>
        <v/>
      </c>
    </row>
    <row r="240" spans="1:74" hidden="1">
      <c r="A240" s="542">
        <f ca="1">SUBTOTAL(9,$BQ$9:BQ240)</f>
        <v>100</v>
      </c>
      <c r="B240" s="543" t="str">
        <f ca="1">IF(IFERROR(SEARCH(";",VLOOKUP(BS236,'АКТЫ скрытых работ'!A:O,11,FALSE),SUM(LEN(B237),LEN(B238),LEN(B239))+8),0)&lt;&gt;0,MID(VLOOKUP(BS236,'АКТЫ скрытых работ'!A:O,11,FALSE),SUM(LEN(B237),LEN(B238),LEN(B239))+4,SEARCH(";",VLOOKUP(BS236,'АКТЫ скрытых работ'!A:O,11,FALSE),SUM(LEN(B237),LEN(B238),LEN(B239))+4)-SUM(LEN(B237),LEN(B238),LEN(B239))-6),MID(VLOOKUP(BS236,'АКТЫ скрытых работ'!A:O,11,FALSE),SUM(LEN(B237),LEN(B238),LEN(B239))+7,LEN(VLOOKUP(BS236,'АКТЫ скрытых работ'!A:O,11,FALSE))))</f>
        <v/>
      </c>
      <c r="C240" s="730" t="e">
        <f ca="1">IF(B240="Контрольно-исполнительная съемка","б/н",MID(B240,SEARCH("№",B240,1),SEARCH(" ",B240,SEARCH("№",B240,1))-SEARCH("№",B240,1)))</f>
        <v>#VALUE!</v>
      </c>
      <c r="D240" s="731"/>
      <c r="E240" s="731"/>
      <c r="F240" s="731"/>
      <c r="G240" s="731"/>
      <c r="H240" s="731"/>
      <c r="I240" s="731"/>
      <c r="J240" s="731"/>
      <c r="K240" s="731"/>
      <c r="L240" s="731"/>
      <c r="M240" s="731"/>
      <c r="N240" s="731"/>
      <c r="O240" s="731"/>
      <c r="P240" s="731"/>
      <c r="Q240" s="731"/>
      <c r="R240" s="731"/>
      <c r="S240" s="731"/>
      <c r="T240" s="731"/>
      <c r="U240" s="731"/>
      <c r="V240" s="731"/>
      <c r="W240" s="731"/>
      <c r="X240" s="731"/>
      <c r="Y240" s="732"/>
      <c r="Z240" s="727">
        <f ca="1">IFERROR(IF(OR(IFERROR(B240,0)=0,B240=""),0,1),0)</f>
        <v>0</v>
      </c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  <c r="AN240" s="727"/>
      <c r="AO240" s="727"/>
      <c r="AP240" s="727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9"/>
      <c r="BL240" s="729"/>
      <c r="BM240" s="729"/>
      <c r="BN240" s="729"/>
      <c r="BO240" s="729"/>
      <c r="BP240" s="729"/>
      <c r="BQ240" s="19">
        <f ca="1">IF(Z240&gt;0,1,0)</f>
        <v>0</v>
      </c>
      <c r="BR240" s="726"/>
    </row>
    <row r="241" spans="1:74" ht="26">
      <c r="A241" s="542">
        <f ca="1">SUBTOTAL(9,$BQ$9:BQ241)</f>
        <v>101</v>
      </c>
      <c r="B241" s="543" t="str">
        <f ca="1">VLOOKUP(BS236,'АКТЫ скрытых работ'!A:O,14,FALSE)</f>
        <v>Отказное письмо исх. №60-12/2020 от 12.05.2020 ООО "Биквест-Центр"</v>
      </c>
      <c r="C241" s="727" t="str">
        <f ca="1">IF(B241&lt;&gt;"-","б/н","")</f>
        <v>б/н</v>
      </c>
      <c r="D241" s="727"/>
      <c r="E241" s="727"/>
      <c r="F241" s="727"/>
      <c r="G241" s="727"/>
      <c r="H241" s="727"/>
      <c r="I241" s="727"/>
      <c r="J241" s="727"/>
      <c r="K241" s="727"/>
      <c r="L241" s="727"/>
      <c r="M241" s="727"/>
      <c r="N241" s="727"/>
      <c r="O241" s="727"/>
      <c r="P241" s="727"/>
      <c r="Q241" s="727"/>
      <c r="R241" s="727"/>
      <c r="S241" s="727"/>
      <c r="T241" s="727"/>
      <c r="U241" s="727"/>
      <c r="V241" s="727"/>
      <c r="W241" s="727"/>
      <c r="X241" s="727"/>
      <c r="Y241" s="727"/>
      <c r="Z241" s="727" t="str">
        <f ca="1">IFERROR(IF(OR(IFERROR(B241,0)=0,B241="-"),0,"1 компл"),0)</f>
        <v>1 компл</v>
      </c>
      <c r="AA241" s="727"/>
      <c r="AB241" s="727"/>
      <c r="AC241" s="727"/>
      <c r="AD241" s="727"/>
      <c r="AE241" s="727"/>
      <c r="AF241" s="727"/>
      <c r="AG241" s="727"/>
      <c r="AH241" s="727"/>
      <c r="AI241" s="727"/>
      <c r="AJ241" s="727"/>
      <c r="AK241" s="727"/>
      <c r="AL241" s="727"/>
      <c r="AM241" s="727"/>
      <c r="AN241" s="727"/>
      <c r="AO241" s="727"/>
      <c r="AP241" s="727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729"/>
      <c r="BL241" s="729"/>
      <c r="BM241" s="729"/>
      <c r="BN241" s="729"/>
      <c r="BO241" s="729"/>
      <c r="BP241" s="729"/>
      <c r="BQ241" s="19">
        <f t="shared" ref="BQ241:BQ304" ca="1" si="10">IF(Z241&gt;0,1,0)</f>
        <v>1</v>
      </c>
      <c r="BR241" s="726"/>
    </row>
    <row r="242" spans="1:74" ht="26">
      <c r="A242" s="542">
        <f ca="1">SUBTOTAL(9,$BQ$9:BQ242)</f>
        <v>102</v>
      </c>
      <c r="B242" s="543" t="str">
        <f ca="1">IF(BS242&lt;&gt;"",IF(MID(BS242,1,4)="АОСР",CONCATENATE("Акт освидетельствования скрытых работ '",VLOOKUP(BS242,'АКТЫ скрытых работ'!A:O,3,FALSE),"'"),CONCATENATE("Акт освидетельствования ответственных конструкций '",VLOOKUP(BS242,'АКТЫ скрытых работ'!A:O,3,FALSE),"'")),0)</f>
        <v>Акт освидетельствования скрытых работ 'Обратная засыпка траншеи'</v>
      </c>
      <c r="C242" s="727" t="str">
        <f ca="1">CONCATENATE("№",VLOOKUP(BS242,'АКТЫ скрытых работ'!A:O,2,FALSE))</f>
        <v>№5-КЗ_КК_4</v>
      </c>
      <c r="D242" s="727"/>
      <c r="E242" s="727"/>
      <c r="F242" s="727"/>
      <c r="G242" s="727"/>
      <c r="H242" s="727"/>
      <c r="I242" s="727"/>
      <c r="J242" s="727"/>
      <c r="K242" s="727"/>
      <c r="L242" s="727"/>
      <c r="M242" s="727"/>
      <c r="N242" s="727"/>
      <c r="O242" s="727"/>
      <c r="P242" s="727"/>
      <c r="Q242" s="727"/>
      <c r="R242" s="727"/>
      <c r="S242" s="727"/>
      <c r="T242" s="727"/>
      <c r="U242" s="727"/>
      <c r="V242" s="727"/>
      <c r="W242" s="727"/>
      <c r="X242" s="727"/>
      <c r="Y242" s="727"/>
      <c r="Z242" s="727">
        <f ca="1">IF(BS242="АООК_",0,1)</f>
        <v>1</v>
      </c>
      <c r="AA242" s="727"/>
      <c r="AB242" s="727"/>
      <c r="AC242" s="727"/>
      <c r="AD242" s="727"/>
      <c r="AE242" s="727"/>
      <c r="AF242" s="727"/>
      <c r="AG242" s="727"/>
      <c r="AH242" s="727"/>
      <c r="AI242" s="727"/>
      <c r="AJ242" s="727"/>
      <c r="AK242" s="727"/>
      <c r="AL242" s="727"/>
      <c r="AM242" s="727"/>
      <c r="AN242" s="727"/>
      <c r="AO242" s="727"/>
      <c r="AP242" s="727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729"/>
      <c r="BL242" s="729"/>
      <c r="BM242" s="729"/>
      <c r="BN242" s="729"/>
      <c r="BO242" s="729"/>
      <c r="BP242" s="729"/>
      <c r="BQ242" s="19">
        <f t="shared" ca="1" si="10"/>
        <v>1</v>
      </c>
      <c r="BS242" s="569" t="str">
        <f ca="1">IF(INDIRECT("'АКТЫ скрытых работ'!R"&amp;BU242&amp;"C1",0)=CONCATENATE("АОСР_",BT242),CONCATENATE("АОСР_",BT242),CONCATENATE("АООК_",BT242))</f>
        <v>АОСР_28</v>
      </c>
      <c r="BT242" s="569">
        <v>28</v>
      </c>
      <c r="BU242" s="570">
        <f>BT242+1</f>
        <v>29</v>
      </c>
    </row>
    <row r="243" spans="1:74" ht="26">
      <c r="A243" s="542">
        <f ca="1">SUBTOTAL(9,$BQ$9:BQ243)</f>
        <v>103</v>
      </c>
      <c r="B243" s="545" t="str">
        <f ca="1">IF(IFERROR(SEARCH("; ",VLOOKUP(BS242,'АКТЫ скрытых работ'!A:O,11,FALSE),1),0)=0,VLOOKUP(BS242,'АКТЫ скрытых работ'!A:O,11,FALSE),LEFT(VLOOKUP(BS242,'АКТЫ скрытых работ'!A:O,11,FALSE),SEARCH(";",VLOOKUP(BS242,'АКТЫ скрытых работ'!A:O,11,FALSE))-1))</f>
        <v>Исполнительная схема №1 Монтаж контура заземления КК-0,4кВ</v>
      </c>
      <c r="C243" s="730" t="str">
        <f ca="1">IF(B243="Контрольно-исполнительная съемка","б/н",MID(B243,SEARCH("№",B243,1),SEARCH(" ",B243,SEARCH("№",B243,1))-SEARCH("№",B243,1)))</f>
        <v>№1</v>
      </c>
      <c r="D243" s="731"/>
      <c r="E243" s="731"/>
      <c r="F243" s="731"/>
      <c r="G243" s="731"/>
      <c r="H243" s="731"/>
      <c r="I243" s="731"/>
      <c r="J243" s="731"/>
      <c r="K243" s="731"/>
      <c r="L243" s="731"/>
      <c r="M243" s="731"/>
      <c r="N243" s="731"/>
      <c r="O243" s="731"/>
      <c r="P243" s="731"/>
      <c r="Q243" s="731"/>
      <c r="R243" s="731"/>
      <c r="S243" s="731"/>
      <c r="T243" s="731"/>
      <c r="U243" s="731"/>
      <c r="V243" s="731"/>
      <c r="W243" s="731"/>
      <c r="X243" s="731"/>
      <c r="Y243" s="732"/>
      <c r="Z243" s="727">
        <f ca="1">IFERROR(IF(OR(IFERROR(B243,0)=0,B243="-"),0,1),0)</f>
        <v>1</v>
      </c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729"/>
      <c r="BL243" s="729"/>
      <c r="BM243" s="729"/>
      <c r="BN243" s="729"/>
      <c r="BO243" s="729"/>
      <c r="BP243" s="729"/>
      <c r="BQ243" s="19">
        <f t="shared" ca="1" si="10"/>
        <v>1</v>
      </c>
    </row>
    <row r="244" spans="1:74" hidden="1">
      <c r="A244" s="542">
        <f ca="1">SUBTOTAL(9,$BQ$9:BQ244)</f>
        <v>103</v>
      </c>
      <c r="B244" s="543" t="str">
        <f ca="1">IF(IFERROR(SEARCH(";",VLOOKUP(BS242,'АКТЫ скрытых работ'!A:O,11,FALSE),LEN(B243)+2),0)&lt;&gt;0,MID(VLOOKUP(BS242,'АКТЫ скрытых работ'!A:O,11,FALSE),LEN(B243)+3,SEARCH(";",VLOOKUP(BS242,'АКТЫ скрытых работ'!A:O,11,FALSE),LEN(B243)+3)-LEN(B243)-3),MID(VLOOKUP(BS242,'АКТЫ скрытых работ'!A:O,11,FALSE),LEN(B243)+3,LEN(VLOOKUP(BS242,'АКТЫ скрытых работ'!A:O,11,FALSE))))</f>
        <v/>
      </c>
      <c r="C244" s="730" t="e">
        <f ca="1">IF(B244="Контрольно-исполнительная съемка","б/н",MID(B244,SEARCH("№",B244,1),SEARCH(" ",B244,SEARCH("№",B244,1))-SEARCH("№",B244,1)))</f>
        <v>#VALUE!</v>
      </c>
      <c r="D244" s="731"/>
      <c r="E244" s="731"/>
      <c r="F244" s="731"/>
      <c r="G244" s="731"/>
      <c r="H244" s="731"/>
      <c r="I244" s="731"/>
      <c r="J244" s="731"/>
      <c r="K244" s="731"/>
      <c r="L244" s="731"/>
      <c r="M244" s="731"/>
      <c r="N244" s="731"/>
      <c r="O244" s="731"/>
      <c r="P244" s="731"/>
      <c r="Q244" s="731"/>
      <c r="R244" s="731"/>
      <c r="S244" s="731"/>
      <c r="T244" s="731"/>
      <c r="U244" s="731"/>
      <c r="V244" s="731"/>
      <c r="W244" s="731"/>
      <c r="X244" s="731"/>
      <c r="Y244" s="732"/>
      <c r="Z244" s="727">
        <f ca="1">IFERROR(IF(OR(IFERROR(B244,0)=0,B244=""),0,1),0)</f>
        <v>0</v>
      </c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  <c r="AN244" s="727"/>
      <c r="AO244" s="727"/>
      <c r="AP244" s="727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9"/>
      <c r="BL244" s="729"/>
      <c r="BM244" s="729"/>
      <c r="BN244" s="729"/>
      <c r="BO244" s="729"/>
      <c r="BP244" s="729"/>
      <c r="BQ244" s="19">
        <f t="shared" ca="1" si="10"/>
        <v>0</v>
      </c>
    </row>
    <row r="245" spans="1:74" hidden="1">
      <c r="A245" s="542">
        <f ca="1">SUBTOTAL(9,$BQ$9:BQ245)</f>
        <v>103</v>
      </c>
      <c r="B245" s="543" t="str">
        <f ca="1">IF(IFERROR(SEARCH(";",VLOOKUP(BS242,'АКТЫ скрытых работ'!A:O,11,FALSE),SUM(LEN(B243),LEN(B244))+4),0)&lt;&gt;0,MID(VLOOKUP(BS242,'АКТЫ скрытых работ'!A:O,11,FALSE),SUM(LEN(B243),LEN(B244))+5,SEARCH(";",VLOOKUP(BS242,'АКТЫ скрытых работ'!A:O,11,FALSE),SUM(LEN(B243),LEN(B244))+4)-SUM(LEN(B243),LEN(B244))-5),MID(VLOOKUP(BS242,'АКТЫ скрытых работ'!A:O,11,FALSE),SUM(LEN(B243),LEN(B244))+5,LEN(VLOOKUP(BS242,'АКТЫ скрытых работ'!A:O,11,FALSE))))</f>
        <v/>
      </c>
      <c r="C245" s="730" t="e">
        <f ca="1">IF(B245="Контрольно-исполнительная съемка","б/н",MID(B245,SEARCH("№",B245,1),SEARCH(" ",B245,SEARCH("№",B245,1))-SEARCH("№",B245,1)))</f>
        <v>#VALUE!</v>
      </c>
      <c r="D245" s="731"/>
      <c r="E245" s="731"/>
      <c r="F245" s="731"/>
      <c r="G245" s="731"/>
      <c r="H245" s="731"/>
      <c r="I245" s="731"/>
      <c r="J245" s="731"/>
      <c r="K245" s="731"/>
      <c r="L245" s="731"/>
      <c r="M245" s="731"/>
      <c r="N245" s="731"/>
      <c r="O245" s="731"/>
      <c r="P245" s="731"/>
      <c r="Q245" s="731"/>
      <c r="R245" s="731"/>
      <c r="S245" s="731"/>
      <c r="T245" s="731"/>
      <c r="U245" s="731"/>
      <c r="V245" s="731"/>
      <c r="W245" s="731"/>
      <c r="X245" s="731"/>
      <c r="Y245" s="732"/>
      <c r="Z245" s="727">
        <f ca="1">IFERROR(IF(OR(IFERROR(B245,0)=0,B245=""),0,1),0)</f>
        <v>0</v>
      </c>
      <c r="AA245" s="727"/>
      <c r="AB245" s="727"/>
      <c r="AC245" s="727"/>
      <c r="AD245" s="727"/>
      <c r="AE245" s="727"/>
      <c r="AF245" s="727"/>
      <c r="AG245" s="727"/>
      <c r="AH245" s="727"/>
      <c r="AI245" s="727"/>
      <c r="AJ245" s="727"/>
      <c r="AK245" s="727"/>
      <c r="AL245" s="727"/>
      <c r="AM245" s="727"/>
      <c r="AN245" s="727"/>
      <c r="AO245" s="727"/>
      <c r="AP245" s="727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729"/>
      <c r="BL245" s="729"/>
      <c r="BM245" s="729"/>
      <c r="BN245" s="729"/>
      <c r="BO245" s="729"/>
      <c r="BP245" s="729"/>
      <c r="BQ245" s="19">
        <f t="shared" ca="1" si="10"/>
        <v>0</v>
      </c>
      <c r="BV245" s="19" t="str">
        <f>MID(BV229,1,LEN(BV229))</f>
        <v/>
      </c>
    </row>
    <row r="246" spans="1:74" hidden="1">
      <c r="A246" s="542">
        <f ca="1">SUBTOTAL(9,$BQ$9:BQ246)</f>
        <v>103</v>
      </c>
      <c r="B246" s="543" t="str">
        <f ca="1">IF(IFERROR(SEARCH(";",VLOOKUP(BS242,'АКТЫ скрытых работ'!A:O,11,FALSE),SUM(LEN(B243),LEN(B244),LEN(B245))+8),0)&lt;&gt;0,MID(VLOOKUP(BS242,'АКТЫ скрытых работ'!A:O,11,FALSE),SUM(LEN(B243),LEN(B244),LEN(B245))+4,SEARCH(";",VLOOKUP(BS242,'АКТЫ скрытых работ'!A:O,11,FALSE),SUM(LEN(B243),LEN(B244),LEN(B245))+4)-SUM(LEN(B243),LEN(B244),LEN(B245))-6),MID(VLOOKUP(BS242,'АКТЫ скрытых работ'!A:O,11,FALSE),SUM(LEN(B243),LEN(B244),LEN(B245))+7,LEN(VLOOKUP(BS242,'АКТЫ скрытых работ'!A:O,11,FALSE))))</f>
        <v/>
      </c>
      <c r="C246" s="730" t="e">
        <f ca="1">IF(B246="Контрольно-исполнительная съемка","б/н",MID(B246,SEARCH("№",B246,1),SEARCH(" ",B246,SEARCH("№",B246,1))-SEARCH("№",B246,1)))</f>
        <v>#VALUE!</v>
      </c>
      <c r="D246" s="731"/>
      <c r="E246" s="731"/>
      <c r="F246" s="731"/>
      <c r="G246" s="731"/>
      <c r="H246" s="731"/>
      <c r="I246" s="731"/>
      <c r="J246" s="731"/>
      <c r="K246" s="731"/>
      <c r="L246" s="731"/>
      <c r="M246" s="731"/>
      <c r="N246" s="731"/>
      <c r="O246" s="731"/>
      <c r="P246" s="731"/>
      <c r="Q246" s="731"/>
      <c r="R246" s="731"/>
      <c r="S246" s="731"/>
      <c r="T246" s="731"/>
      <c r="U246" s="731"/>
      <c r="V246" s="731"/>
      <c r="W246" s="731"/>
      <c r="X246" s="731"/>
      <c r="Y246" s="732"/>
      <c r="Z246" s="727">
        <f ca="1">IFERROR(IF(OR(IFERROR(B246,0)=0,B246=""),0,1),0)</f>
        <v>0</v>
      </c>
      <c r="AA246" s="727"/>
      <c r="AB246" s="727"/>
      <c r="AC246" s="727"/>
      <c r="AD246" s="727"/>
      <c r="AE246" s="727"/>
      <c r="AF246" s="727"/>
      <c r="AG246" s="727"/>
      <c r="AH246" s="727"/>
      <c r="AI246" s="727"/>
      <c r="AJ246" s="727"/>
      <c r="AK246" s="727"/>
      <c r="AL246" s="727"/>
      <c r="AM246" s="727"/>
      <c r="AN246" s="727"/>
      <c r="AO246" s="727"/>
      <c r="AP246" s="727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729"/>
      <c r="BL246" s="729"/>
      <c r="BM246" s="729"/>
      <c r="BN246" s="729"/>
      <c r="BO246" s="729"/>
      <c r="BP246" s="729"/>
      <c r="BQ246" s="19">
        <f t="shared" ca="1" si="10"/>
        <v>0</v>
      </c>
    </row>
    <row r="247" spans="1:74" hidden="1">
      <c r="A247" s="542">
        <f ca="1">SUBTOTAL(9,$BQ$9:BQ247)</f>
        <v>103</v>
      </c>
      <c r="B247" s="543" t="str">
        <f ca="1">VLOOKUP(BS242,'АКТЫ скрытых работ'!A:O,14,FALSE)</f>
        <v>-</v>
      </c>
      <c r="C247" s="727" t="str">
        <f ca="1">IF(B247&lt;&gt;"-","б/н","")</f>
        <v/>
      </c>
      <c r="D247" s="727"/>
      <c r="E247" s="727"/>
      <c r="F247" s="727"/>
      <c r="G247" s="727"/>
      <c r="H247" s="727"/>
      <c r="I247" s="727"/>
      <c r="J247" s="727"/>
      <c r="K247" s="727"/>
      <c r="L247" s="727"/>
      <c r="M247" s="727"/>
      <c r="N247" s="727"/>
      <c r="O247" s="727"/>
      <c r="P247" s="727"/>
      <c r="Q247" s="727"/>
      <c r="R247" s="727"/>
      <c r="S247" s="727"/>
      <c r="T247" s="727"/>
      <c r="U247" s="727"/>
      <c r="V247" s="727"/>
      <c r="W247" s="727"/>
      <c r="X247" s="727"/>
      <c r="Y247" s="727"/>
      <c r="Z247" s="727">
        <f ca="1">IFERROR(IF(OR(IFERROR(B247,0)=0,B247="-"),0,"1 компл"),0)</f>
        <v>0</v>
      </c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729"/>
      <c r="BL247" s="729"/>
      <c r="BM247" s="729"/>
      <c r="BN247" s="729"/>
      <c r="BO247" s="729"/>
      <c r="BP247" s="729"/>
      <c r="BQ247" s="19">
        <f t="shared" ca="1" si="10"/>
        <v>0</v>
      </c>
    </row>
    <row r="248" spans="1:74" ht="26">
      <c r="A248" s="542">
        <f ca="1">SUBTOTAL(9,$BQ$9:BQ248)</f>
        <v>104</v>
      </c>
      <c r="B248" s="543" t="str">
        <f ca="1">IF(BS248&lt;&gt;"",IF(MID(BS248,1,4)="АОСР",CONCATENATE("Акт освидетельствования скрытых работ '",VLOOKUP(BS248,'АКТЫ скрытых работ'!A:O,3,FALSE),"'"),CONCATENATE("Акт освидетельствования ответственных конструкций '",VLOOKUP(BS248,'АКТЫ скрытых работ'!A:O,3,FALSE),"'")),0)</f>
        <v>Акт освидетельствования скрытых работ 'Разработка грунта траншеи'</v>
      </c>
      <c r="C248" s="727" t="str">
        <f ca="1">CONCATENATE("№",VLOOKUP(BS248,'АКТЫ скрытых работ'!A:O,2,FALSE))</f>
        <v>№1-КЗ_КК_5</v>
      </c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727"/>
      <c r="R248" s="727"/>
      <c r="S248" s="727"/>
      <c r="T248" s="727"/>
      <c r="U248" s="727"/>
      <c r="V248" s="727"/>
      <c r="W248" s="727"/>
      <c r="X248" s="727"/>
      <c r="Y248" s="727"/>
      <c r="Z248" s="727">
        <f ca="1">IF(BS248="АООК_",0,1)</f>
        <v>1</v>
      </c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  <c r="AM248" s="727"/>
      <c r="AN248" s="727"/>
      <c r="AO248" s="727"/>
      <c r="AP248" s="727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9"/>
      <c r="BL248" s="729"/>
      <c r="BM248" s="729"/>
      <c r="BN248" s="729"/>
      <c r="BO248" s="729"/>
      <c r="BP248" s="729"/>
      <c r="BQ248" s="19">
        <f t="shared" ca="1" si="10"/>
        <v>1</v>
      </c>
      <c r="BS248" s="569" t="str">
        <f ca="1">IF(INDIRECT("'АКТЫ скрытых работ'!R"&amp;BU248&amp;"C1",0)=CONCATENATE("АОСР_",BT248),CONCATENATE("АОСР_",BT248),CONCATENATE("АООК_",BT248))</f>
        <v>АОСР_29</v>
      </c>
      <c r="BT248" s="569">
        <v>29</v>
      </c>
      <c r="BU248" s="570">
        <f>BT248+1</f>
        <v>30</v>
      </c>
    </row>
    <row r="249" spans="1:74" ht="26">
      <c r="A249" s="542">
        <f ca="1">SUBTOTAL(9,$BQ$9:BQ249)</f>
        <v>105</v>
      </c>
      <c r="B249" s="545" t="str">
        <f ca="1">IF(IFERROR(SEARCH("; ",VLOOKUP(BS248,'АКТЫ скрытых работ'!A:O,11,FALSE),1),0)=0,VLOOKUP(BS248,'АКТЫ скрытых работ'!A:O,11,FALSE),LEFT(VLOOKUP(BS248,'АКТЫ скрытых работ'!A:O,11,FALSE),SEARCH(";",VLOOKUP(BS248,'АКТЫ скрытых работ'!A:O,11,FALSE))-1))</f>
        <v>Исполнительная схема №1 Монтаж контура заземления КК-0,4кВ</v>
      </c>
      <c r="C249" s="730" t="str">
        <f ca="1">IF(B249="Контрольно-исполнительная съемка","б/н",MID(B249,SEARCH("№",B249,1),SEARCH(" ",B249,SEARCH("№",B249,1))-SEARCH("№",B249,1)))</f>
        <v>№1</v>
      </c>
      <c r="D249" s="731"/>
      <c r="E249" s="731"/>
      <c r="F249" s="731"/>
      <c r="G249" s="731"/>
      <c r="H249" s="731"/>
      <c r="I249" s="731"/>
      <c r="J249" s="731"/>
      <c r="K249" s="731"/>
      <c r="L249" s="731"/>
      <c r="M249" s="731"/>
      <c r="N249" s="731"/>
      <c r="O249" s="731"/>
      <c r="P249" s="731"/>
      <c r="Q249" s="731"/>
      <c r="R249" s="731"/>
      <c r="S249" s="731"/>
      <c r="T249" s="731"/>
      <c r="U249" s="731"/>
      <c r="V249" s="731"/>
      <c r="W249" s="731"/>
      <c r="X249" s="731"/>
      <c r="Y249" s="732"/>
      <c r="Z249" s="727">
        <f ca="1">IFERROR(IF(OR(IFERROR(B249,0)=0,B249="-"),0,1),0)</f>
        <v>1</v>
      </c>
      <c r="AA249" s="727"/>
      <c r="AB249" s="727"/>
      <c r="AC249" s="727"/>
      <c r="AD249" s="727"/>
      <c r="AE249" s="727"/>
      <c r="AF249" s="727"/>
      <c r="AG249" s="727"/>
      <c r="AH249" s="727"/>
      <c r="AI249" s="727"/>
      <c r="AJ249" s="727"/>
      <c r="AK249" s="727"/>
      <c r="AL249" s="727"/>
      <c r="AM249" s="727"/>
      <c r="AN249" s="727"/>
      <c r="AO249" s="727"/>
      <c r="AP249" s="727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729"/>
      <c r="BL249" s="729"/>
      <c r="BM249" s="729"/>
      <c r="BN249" s="729"/>
      <c r="BO249" s="729"/>
      <c r="BP249" s="729"/>
      <c r="BQ249" s="19">
        <f t="shared" ca="1" si="10"/>
        <v>1</v>
      </c>
    </row>
    <row r="250" spans="1:74" hidden="1">
      <c r="A250" s="542">
        <f ca="1">SUBTOTAL(9,$BQ$9:BQ250)</f>
        <v>105</v>
      </c>
      <c r="B250" s="543" t="str">
        <f ca="1">IF(IFERROR(SEARCH(";",VLOOKUP(BS248,'АКТЫ скрытых работ'!A:O,11,FALSE),LEN(B249)+2),0)&lt;&gt;0,MID(VLOOKUP(BS248,'АКТЫ скрытых работ'!A:O,11,FALSE),LEN(B249)+3,SEARCH(";",VLOOKUP(BS248,'АКТЫ скрытых работ'!A:O,11,FALSE),LEN(B249)+3)-LEN(B249)-3),MID(VLOOKUP(BS248,'АКТЫ скрытых работ'!A:O,11,FALSE),LEN(B249)+3,LEN(VLOOKUP(BS248,'АКТЫ скрытых работ'!A:O,11,FALSE))))</f>
        <v/>
      </c>
      <c r="C250" s="730" t="e">
        <f ca="1">IF(B250="Контрольно-исполнительная съемка","б/н",MID(B250,SEARCH("№",B250,1),SEARCH(" ",B250,SEARCH("№",B250,1))-SEARCH("№",B250,1)))</f>
        <v>#VALUE!</v>
      </c>
      <c r="D250" s="731"/>
      <c r="E250" s="731"/>
      <c r="F250" s="731"/>
      <c r="G250" s="731"/>
      <c r="H250" s="731"/>
      <c r="I250" s="731"/>
      <c r="J250" s="731"/>
      <c r="K250" s="731"/>
      <c r="L250" s="731"/>
      <c r="M250" s="731"/>
      <c r="N250" s="731"/>
      <c r="O250" s="731"/>
      <c r="P250" s="731"/>
      <c r="Q250" s="731"/>
      <c r="R250" s="731"/>
      <c r="S250" s="731"/>
      <c r="T250" s="731"/>
      <c r="U250" s="731"/>
      <c r="V250" s="731"/>
      <c r="W250" s="731"/>
      <c r="X250" s="731"/>
      <c r="Y250" s="732"/>
      <c r="Z250" s="727">
        <f ca="1">IFERROR(IF(OR(IFERROR(B250,0)=0,B250=""),0,1),0)</f>
        <v>0</v>
      </c>
      <c r="AA250" s="727"/>
      <c r="AB250" s="727"/>
      <c r="AC250" s="727"/>
      <c r="AD250" s="727"/>
      <c r="AE250" s="727"/>
      <c r="AF250" s="727"/>
      <c r="AG250" s="727"/>
      <c r="AH250" s="727"/>
      <c r="AI250" s="727"/>
      <c r="AJ250" s="727"/>
      <c r="AK250" s="727"/>
      <c r="AL250" s="727"/>
      <c r="AM250" s="727"/>
      <c r="AN250" s="727"/>
      <c r="AO250" s="727"/>
      <c r="AP250" s="727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729"/>
      <c r="BL250" s="729"/>
      <c r="BM250" s="729"/>
      <c r="BN250" s="729"/>
      <c r="BO250" s="729"/>
      <c r="BP250" s="729"/>
      <c r="BQ250" s="19">
        <f t="shared" ca="1" si="10"/>
        <v>0</v>
      </c>
    </row>
    <row r="251" spans="1:74" hidden="1">
      <c r="A251" s="542">
        <f ca="1">SUBTOTAL(9,$BQ$9:BQ251)</f>
        <v>105</v>
      </c>
      <c r="B251" s="543" t="str">
        <f ca="1">IF(IFERROR(SEARCH(";",VLOOKUP(BS248,'АКТЫ скрытых работ'!A:O,11,FALSE),SUM(LEN(B249),LEN(B250))+4),0)&lt;&gt;0,MID(VLOOKUP(BS248,'АКТЫ скрытых работ'!A:O,11,FALSE),SUM(LEN(B249),LEN(B250))+5,SEARCH(";",VLOOKUP(BS248,'АКТЫ скрытых работ'!A:O,11,FALSE),SUM(LEN(B249),LEN(B250))+4)-SUM(LEN(B249),LEN(B250))-5),MID(VLOOKUP(BS248,'АКТЫ скрытых работ'!A:O,11,FALSE),SUM(LEN(B249),LEN(B250))+5,LEN(VLOOKUP(BS248,'АКТЫ скрытых работ'!A:O,11,FALSE))))</f>
        <v/>
      </c>
      <c r="C251" s="730" t="e">
        <f ca="1">IF(B251="Контрольно-исполнительная съемка","б/н",MID(B251,SEARCH("№",B251,1),SEARCH(" ",B251,SEARCH("№",B251,1))-SEARCH("№",B251,1)))</f>
        <v>#VALUE!</v>
      </c>
      <c r="D251" s="731"/>
      <c r="E251" s="731"/>
      <c r="F251" s="731"/>
      <c r="G251" s="731"/>
      <c r="H251" s="731"/>
      <c r="I251" s="731"/>
      <c r="J251" s="731"/>
      <c r="K251" s="731"/>
      <c r="L251" s="731"/>
      <c r="M251" s="731"/>
      <c r="N251" s="731"/>
      <c r="O251" s="731"/>
      <c r="P251" s="731"/>
      <c r="Q251" s="731"/>
      <c r="R251" s="731"/>
      <c r="S251" s="731"/>
      <c r="T251" s="731"/>
      <c r="U251" s="731"/>
      <c r="V251" s="731"/>
      <c r="W251" s="731"/>
      <c r="X251" s="731"/>
      <c r="Y251" s="732"/>
      <c r="Z251" s="727">
        <f ca="1">IFERROR(IF(OR(IFERROR(B251,0)=0,B251=""),0,1),0)</f>
        <v>0</v>
      </c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729"/>
      <c r="BL251" s="729"/>
      <c r="BM251" s="729"/>
      <c r="BN251" s="729"/>
      <c r="BO251" s="729"/>
      <c r="BP251" s="729"/>
      <c r="BQ251" s="19">
        <f t="shared" ca="1" si="10"/>
        <v>0</v>
      </c>
      <c r="BV251" s="19" t="str">
        <f>MID(BV235,1,LEN(BV235))</f>
        <v/>
      </c>
    </row>
    <row r="252" spans="1:74" hidden="1">
      <c r="A252" s="542">
        <f ca="1">SUBTOTAL(9,$BQ$9:BQ252)</f>
        <v>105</v>
      </c>
      <c r="B252" s="543" t="str">
        <f ca="1">IF(IFERROR(SEARCH(";",VLOOKUP(BS248,'АКТЫ скрытых работ'!A:O,11,FALSE),SUM(LEN(B249),LEN(B250),LEN(B251))+8),0)&lt;&gt;0,MID(VLOOKUP(BS248,'АКТЫ скрытых работ'!A:O,11,FALSE),SUM(LEN(B249),LEN(B250),LEN(B251))+4,SEARCH(";",VLOOKUP(BS248,'АКТЫ скрытых работ'!A:O,11,FALSE),SUM(LEN(B249),LEN(B250),LEN(B251))+4)-SUM(LEN(B249),LEN(B250),LEN(B251))-6),MID(VLOOKUP(BS248,'АКТЫ скрытых работ'!A:O,11,FALSE),SUM(LEN(B249),LEN(B250),LEN(B251))+7,LEN(VLOOKUP(BS248,'АКТЫ скрытых работ'!A:O,11,FALSE))))</f>
        <v/>
      </c>
      <c r="C252" s="730" t="e">
        <f ca="1">IF(B252="Контрольно-исполнительная съемка","б/н",MID(B252,SEARCH("№",B252,1),SEARCH(" ",B252,SEARCH("№",B252,1))-SEARCH("№",B252,1)))</f>
        <v>#VALUE!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31"/>
      <c r="V252" s="731"/>
      <c r="W252" s="731"/>
      <c r="X252" s="731"/>
      <c r="Y252" s="732"/>
      <c r="Z252" s="727">
        <f ca="1">IFERROR(IF(OR(IFERROR(B252,0)=0,B252=""),0,1),0)</f>
        <v>0</v>
      </c>
      <c r="AA252" s="727"/>
      <c r="AB252" s="727"/>
      <c r="AC252" s="727"/>
      <c r="AD252" s="727"/>
      <c r="AE252" s="727"/>
      <c r="AF252" s="727"/>
      <c r="AG252" s="727"/>
      <c r="AH252" s="727"/>
      <c r="AI252" s="727"/>
      <c r="AJ252" s="727"/>
      <c r="AK252" s="727"/>
      <c r="AL252" s="727"/>
      <c r="AM252" s="727"/>
      <c r="AN252" s="727"/>
      <c r="AO252" s="727"/>
      <c r="AP252" s="727"/>
      <c r="AQ252" s="729"/>
      <c r="AR252" s="729"/>
      <c r="AS252" s="729"/>
      <c r="AT252" s="729"/>
      <c r="AU252" s="729"/>
      <c r="AV252" s="729"/>
      <c r="AW252" s="729"/>
      <c r="AX252" s="729"/>
      <c r="AY252" s="729"/>
      <c r="AZ252" s="729"/>
      <c r="BA252" s="729"/>
      <c r="BB252" s="729"/>
      <c r="BC252" s="729"/>
      <c r="BD252" s="729"/>
      <c r="BE252" s="729"/>
      <c r="BF252" s="729"/>
      <c r="BG252" s="729"/>
      <c r="BH252" s="729"/>
      <c r="BI252" s="729"/>
      <c r="BJ252" s="729"/>
      <c r="BK252" s="729"/>
      <c r="BL252" s="729"/>
      <c r="BM252" s="729"/>
      <c r="BN252" s="729"/>
      <c r="BO252" s="729"/>
      <c r="BP252" s="729"/>
      <c r="BQ252" s="19">
        <f t="shared" ca="1" si="10"/>
        <v>0</v>
      </c>
    </row>
    <row r="253" spans="1:74" hidden="1">
      <c r="A253" s="542">
        <f ca="1">SUBTOTAL(9,$BQ$9:BQ253)</f>
        <v>105</v>
      </c>
      <c r="B253" s="543" t="str">
        <f ca="1">VLOOKUP(BS248,'АКТЫ скрытых работ'!A:O,14,FALSE)</f>
        <v>-</v>
      </c>
      <c r="C253" s="727" t="str">
        <f ca="1">IF(B253&lt;&gt;"-","б/н","")</f>
        <v/>
      </c>
      <c r="D253" s="727"/>
      <c r="E253" s="727"/>
      <c r="F253" s="727"/>
      <c r="G253" s="727"/>
      <c r="H253" s="727"/>
      <c r="I253" s="727"/>
      <c r="J253" s="727"/>
      <c r="K253" s="727"/>
      <c r="L253" s="727"/>
      <c r="M253" s="727"/>
      <c r="N253" s="727"/>
      <c r="O253" s="727"/>
      <c r="P253" s="727"/>
      <c r="Q253" s="727"/>
      <c r="R253" s="727"/>
      <c r="S253" s="727"/>
      <c r="T253" s="727"/>
      <c r="U253" s="727"/>
      <c r="V253" s="727"/>
      <c r="W253" s="727"/>
      <c r="X253" s="727"/>
      <c r="Y253" s="727"/>
      <c r="Z253" s="727">
        <f ca="1">IFERROR(IF(OR(IFERROR(B253,0)=0,B253="-"),0,"1 компл"),0)</f>
        <v>0</v>
      </c>
      <c r="AA253" s="727"/>
      <c r="AB253" s="727"/>
      <c r="AC253" s="727"/>
      <c r="AD253" s="727"/>
      <c r="AE253" s="727"/>
      <c r="AF253" s="727"/>
      <c r="AG253" s="727"/>
      <c r="AH253" s="727"/>
      <c r="AI253" s="727"/>
      <c r="AJ253" s="727"/>
      <c r="AK253" s="727"/>
      <c r="AL253" s="727"/>
      <c r="AM253" s="727"/>
      <c r="AN253" s="727"/>
      <c r="AO253" s="727"/>
      <c r="AP253" s="727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9"/>
      <c r="BL253" s="729"/>
      <c r="BM253" s="729"/>
      <c r="BN253" s="729"/>
      <c r="BO253" s="729"/>
      <c r="BP253" s="729"/>
      <c r="BQ253" s="19">
        <f t="shared" ca="1" si="10"/>
        <v>0</v>
      </c>
    </row>
    <row r="254" spans="1:74" ht="26">
      <c r="A254" s="542">
        <f ca="1">SUBTOTAL(9,$BQ$9:BQ254)</f>
        <v>106</v>
      </c>
      <c r="B254" s="543" t="str">
        <f ca="1">IF(BS254&lt;&gt;"",IF(MID(BS254,1,4)="АОСР",CONCATENATE("Акт освидетельствования скрытых работ '",VLOOKUP(BS254,'АКТЫ скрытых работ'!A:O,3,FALSE),"'"),CONCATENATE("Акт освидетельствования ответственных конструкций '",VLOOKUP(BS254,'АКТЫ скрытых работ'!A:O,3,FALSE),"'")),0)</f>
        <v>Акт освидетельствования скрытых работ 'Монтаж вертикальных электродов контура заземления'</v>
      </c>
      <c r="C254" s="727" t="str">
        <f ca="1">CONCATENATE("№",VLOOKUP(BS254,'АКТЫ скрытых работ'!A:O,2,FALSE))</f>
        <v>№2-КЗ_КК_5</v>
      </c>
      <c r="D254" s="727"/>
      <c r="E254" s="727"/>
      <c r="F254" s="727"/>
      <c r="G254" s="727"/>
      <c r="H254" s="727"/>
      <c r="I254" s="727"/>
      <c r="J254" s="727"/>
      <c r="K254" s="727"/>
      <c r="L254" s="727"/>
      <c r="M254" s="727"/>
      <c r="N254" s="727"/>
      <c r="O254" s="727"/>
      <c r="P254" s="727"/>
      <c r="Q254" s="727"/>
      <c r="R254" s="727"/>
      <c r="S254" s="727"/>
      <c r="T254" s="727"/>
      <c r="U254" s="727"/>
      <c r="V254" s="727"/>
      <c r="W254" s="727"/>
      <c r="X254" s="727"/>
      <c r="Y254" s="727"/>
      <c r="Z254" s="727">
        <f ca="1">IF(BS254="АООК_",0,1)</f>
        <v>1</v>
      </c>
      <c r="AA254" s="727"/>
      <c r="AB254" s="727"/>
      <c r="AC254" s="727"/>
      <c r="AD254" s="727"/>
      <c r="AE254" s="727"/>
      <c r="AF254" s="727"/>
      <c r="AG254" s="727"/>
      <c r="AH254" s="727"/>
      <c r="AI254" s="727"/>
      <c r="AJ254" s="727"/>
      <c r="AK254" s="727"/>
      <c r="AL254" s="727"/>
      <c r="AM254" s="727"/>
      <c r="AN254" s="727"/>
      <c r="AO254" s="727"/>
      <c r="AP254" s="727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729"/>
      <c r="BL254" s="729"/>
      <c r="BM254" s="729"/>
      <c r="BN254" s="729"/>
      <c r="BO254" s="729"/>
      <c r="BP254" s="729"/>
      <c r="BQ254" s="19">
        <f t="shared" ca="1" si="10"/>
        <v>1</v>
      </c>
      <c r="BS254" s="569" t="str">
        <f ca="1">IF(INDIRECT("'АКТЫ скрытых работ'!R"&amp;BU254&amp;"C1",0)=CONCATENATE("АОСР_",BT254),CONCATENATE("АОСР_",BT254),CONCATENATE("АООК_",BT254))</f>
        <v>АОСР_30</v>
      </c>
      <c r="BT254" s="569">
        <v>30</v>
      </c>
      <c r="BU254" s="570">
        <f>BT254+1</f>
        <v>31</v>
      </c>
    </row>
    <row r="255" spans="1:74" ht="26">
      <c r="A255" s="542">
        <f ca="1">SUBTOTAL(9,$BQ$9:BQ255)</f>
        <v>107</v>
      </c>
      <c r="B255" s="545" t="str">
        <f ca="1">IF(IFERROR(SEARCH("; ",VLOOKUP(BS254,'АКТЫ скрытых работ'!A:O,11,FALSE),1),0)=0,VLOOKUP(BS254,'АКТЫ скрытых работ'!A:O,11,FALSE),LEFT(VLOOKUP(BS254,'АКТЫ скрытых работ'!A:O,11,FALSE),SEARCH(";",VLOOKUP(BS254,'АКТЫ скрытых работ'!A:O,11,FALSE))-1))</f>
        <v>Исполнительная схема №1 Монтаж контура заземления КК-0,4кВ</v>
      </c>
      <c r="C255" s="730" t="str">
        <f ca="1">IF(B255="Контрольно-исполнительная съемка","б/н",MID(B255,SEARCH("№",B255,1),SEARCH(" ",B255,SEARCH("№",B255,1))-SEARCH("№",B255,1)))</f>
        <v>№1</v>
      </c>
      <c r="D255" s="731"/>
      <c r="E255" s="731"/>
      <c r="F255" s="731"/>
      <c r="G255" s="731"/>
      <c r="H255" s="731"/>
      <c r="I255" s="731"/>
      <c r="J255" s="731"/>
      <c r="K255" s="731"/>
      <c r="L255" s="731"/>
      <c r="M255" s="731"/>
      <c r="N255" s="731"/>
      <c r="O255" s="731"/>
      <c r="P255" s="731"/>
      <c r="Q255" s="731"/>
      <c r="R255" s="731"/>
      <c r="S255" s="731"/>
      <c r="T255" s="731"/>
      <c r="U255" s="731"/>
      <c r="V255" s="731"/>
      <c r="W255" s="731"/>
      <c r="X255" s="731"/>
      <c r="Y255" s="732"/>
      <c r="Z255" s="727">
        <f ca="1">IFERROR(IF(OR(IFERROR(B255,0)=0,B255="-"),0,1),0)</f>
        <v>1</v>
      </c>
      <c r="AA255" s="727"/>
      <c r="AB255" s="727"/>
      <c r="AC255" s="727"/>
      <c r="AD255" s="727"/>
      <c r="AE255" s="727"/>
      <c r="AF255" s="727"/>
      <c r="AG255" s="727"/>
      <c r="AH255" s="727"/>
      <c r="AI255" s="727"/>
      <c r="AJ255" s="727"/>
      <c r="AK255" s="727"/>
      <c r="AL255" s="727"/>
      <c r="AM255" s="727"/>
      <c r="AN255" s="727"/>
      <c r="AO255" s="727"/>
      <c r="AP255" s="727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729"/>
      <c r="BL255" s="729"/>
      <c r="BM255" s="729"/>
      <c r="BN255" s="729"/>
      <c r="BO255" s="729"/>
      <c r="BP255" s="729"/>
      <c r="BQ255" s="19">
        <f t="shared" ca="1" si="10"/>
        <v>1</v>
      </c>
    </row>
    <row r="256" spans="1:74" hidden="1">
      <c r="A256" s="542">
        <f ca="1">SUBTOTAL(9,$BQ$9:BQ256)</f>
        <v>107</v>
      </c>
      <c r="B256" s="543" t="str">
        <f ca="1">IF(IFERROR(SEARCH(";",VLOOKUP(BS254,'АКТЫ скрытых работ'!A:O,11,FALSE),LEN(B255)+2),0)&lt;&gt;0,MID(VLOOKUP(BS254,'АКТЫ скрытых работ'!A:O,11,FALSE),LEN(B255)+3,SEARCH(";",VLOOKUP(BS254,'АКТЫ скрытых работ'!A:O,11,FALSE),LEN(B255)+3)-LEN(B255)-3),MID(VLOOKUP(BS254,'АКТЫ скрытых работ'!A:O,11,FALSE),LEN(B255)+3,LEN(VLOOKUP(BS254,'АКТЫ скрытых работ'!A:O,11,FALSE))))</f>
        <v/>
      </c>
      <c r="C256" s="730" t="e">
        <f ca="1">IF(B256="Контрольно-исполнительная съемка","б/н",MID(B256,SEARCH("№",B256,1),SEARCH(" ",B256,SEARCH("№",B256,1))-SEARCH("№",B256,1)))</f>
        <v>#VALUE!</v>
      </c>
      <c r="D256" s="731"/>
      <c r="E256" s="731"/>
      <c r="F256" s="731"/>
      <c r="G256" s="731"/>
      <c r="H256" s="731"/>
      <c r="I256" s="731"/>
      <c r="J256" s="731"/>
      <c r="K256" s="731"/>
      <c r="L256" s="731"/>
      <c r="M256" s="731"/>
      <c r="N256" s="731"/>
      <c r="O256" s="731"/>
      <c r="P256" s="731"/>
      <c r="Q256" s="731"/>
      <c r="R256" s="731"/>
      <c r="S256" s="731"/>
      <c r="T256" s="731"/>
      <c r="U256" s="731"/>
      <c r="V256" s="731"/>
      <c r="W256" s="731"/>
      <c r="X256" s="731"/>
      <c r="Y256" s="732"/>
      <c r="Z256" s="727">
        <f ca="1">IFERROR(IF(OR(IFERROR(B256,0)=0,B256=""),0,1),0)</f>
        <v>0</v>
      </c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729"/>
      <c r="BL256" s="729"/>
      <c r="BM256" s="729"/>
      <c r="BN256" s="729"/>
      <c r="BO256" s="729"/>
      <c r="BP256" s="729"/>
      <c r="BQ256" s="19">
        <f t="shared" ca="1" si="10"/>
        <v>0</v>
      </c>
    </row>
    <row r="257" spans="1:74" hidden="1">
      <c r="A257" s="542">
        <f ca="1">SUBTOTAL(9,$BQ$9:BQ257)</f>
        <v>107</v>
      </c>
      <c r="B257" s="543" t="str">
        <f ca="1">IF(IFERROR(SEARCH(";",VLOOKUP(BS254,'АКТЫ скрытых работ'!A:O,11,FALSE),SUM(LEN(B255),LEN(B256))+4),0)&lt;&gt;0,MID(VLOOKUP(BS254,'АКТЫ скрытых работ'!A:O,11,FALSE),SUM(LEN(B255),LEN(B256))+5,SEARCH(";",VLOOKUP(BS254,'АКТЫ скрытых работ'!A:O,11,FALSE),SUM(LEN(B255),LEN(B256))+4)-SUM(LEN(B255),LEN(B256))-5),MID(VLOOKUP(BS254,'АКТЫ скрытых работ'!A:O,11,FALSE),SUM(LEN(B255),LEN(B256))+5,LEN(VLOOKUP(BS254,'АКТЫ скрытых работ'!A:O,11,FALSE))))</f>
        <v/>
      </c>
      <c r="C257" s="730" t="e">
        <f ca="1">IF(B257="Контрольно-исполнительная съемка","б/н",MID(B257,SEARCH("№",B257,1),SEARCH(" ",B257,SEARCH("№",B257,1))-SEARCH("№",B257,1)))</f>
        <v>#VALUE!</v>
      </c>
      <c r="D257" s="731"/>
      <c r="E257" s="731"/>
      <c r="F257" s="731"/>
      <c r="G257" s="731"/>
      <c r="H257" s="731"/>
      <c r="I257" s="731"/>
      <c r="J257" s="731"/>
      <c r="K257" s="731"/>
      <c r="L257" s="731"/>
      <c r="M257" s="731"/>
      <c r="N257" s="731"/>
      <c r="O257" s="731"/>
      <c r="P257" s="731"/>
      <c r="Q257" s="731"/>
      <c r="R257" s="731"/>
      <c r="S257" s="731"/>
      <c r="T257" s="731"/>
      <c r="U257" s="731"/>
      <c r="V257" s="731"/>
      <c r="W257" s="731"/>
      <c r="X257" s="731"/>
      <c r="Y257" s="732"/>
      <c r="Z257" s="727">
        <f ca="1">IFERROR(IF(OR(IFERROR(B257,0)=0,B257=""),0,1),0)</f>
        <v>0</v>
      </c>
      <c r="AA257" s="727"/>
      <c r="AB257" s="727"/>
      <c r="AC257" s="727"/>
      <c r="AD257" s="727"/>
      <c r="AE257" s="727"/>
      <c r="AF257" s="727"/>
      <c r="AG257" s="727"/>
      <c r="AH257" s="727"/>
      <c r="AI257" s="727"/>
      <c r="AJ257" s="727"/>
      <c r="AK257" s="727"/>
      <c r="AL257" s="727"/>
      <c r="AM257" s="727"/>
      <c r="AN257" s="727"/>
      <c r="AO257" s="727"/>
      <c r="AP257" s="727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9"/>
      <c r="BL257" s="729"/>
      <c r="BM257" s="729"/>
      <c r="BN257" s="729"/>
      <c r="BO257" s="729"/>
      <c r="BP257" s="729"/>
      <c r="BQ257" s="19">
        <f t="shared" ca="1" si="10"/>
        <v>0</v>
      </c>
      <c r="BV257" s="19" t="str">
        <f>MID(BV241,1,LEN(BV241))</f>
        <v/>
      </c>
    </row>
    <row r="258" spans="1:74" hidden="1">
      <c r="A258" s="542">
        <f ca="1">SUBTOTAL(9,$BQ$9:BQ258)</f>
        <v>107</v>
      </c>
      <c r="B258" s="543" t="str">
        <f ca="1">IF(IFERROR(SEARCH(";",VLOOKUP(BS254,'АКТЫ скрытых работ'!A:O,11,FALSE),SUM(LEN(B255),LEN(B256),LEN(B257))+8),0)&lt;&gt;0,MID(VLOOKUP(BS254,'АКТЫ скрытых работ'!A:O,11,FALSE),SUM(LEN(B255),LEN(B256),LEN(B257))+4,SEARCH(";",VLOOKUP(BS254,'АКТЫ скрытых работ'!A:O,11,FALSE),SUM(LEN(B255),LEN(B256),LEN(B257))+4)-SUM(LEN(B255),LEN(B256),LEN(B257))-6),MID(VLOOKUP(BS254,'АКТЫ скрытых работ'!A:O,11,FALSE),SUM(LEN(B255),LEN(B256),LEN(B257))+7,LEN(VLOOKUP(BS254,'АКТЫ скрытых работ'!A:O,11,FALSE))))</f>
        <v/>
      </c>
      <c r="C258" s="730" t="e">
        <f ca="1">IF(B258="Контрольно-исполнительная съемка","б/н",MID(B258,SEARCH("№",B258,1),SEARCH(" ",B258,SEARCH("№",B258,1))-SEARCH("№",B258,1)))</f>
        <v>#VALUE!</v>
      </c>
      <c r="D258" s="731"/>
      <c r="E258" s="731"/>
      <c r="F258" s="731"/>
      <c r="G258" s="731"/>
      <c r="H258" s="731"/>
      <c r="I258" s="731"/>
      <c r="J258" s="731"/>
      <c r="K258" s="731"/>
      <c r="L258" s="731"/>
      <c r="M258" s="731"/>
      <c r="N258" s="731"/>
      <c r="O258" s="731"/>
      <c r="P258" s="731"/>
      <c r="Q258" s="731"/>
      <c r="R258" s="731"/>
      <c r="S258" s="731"/>
      <c r="T258" s="731"/>
      <c r="U258" s="731"/>
      <c r="V258" s="731"/>
      <c r="W258" s="731"/>
      <c r="X258" s="731"/>
      <c r="Y258" s="732"/>
      <c r="Z258" s="727">
        <f ca="1">IFERROR(IF(OR(IFERROR(B258,0)=0,B258=""),0,1),0)</f>
        <v>0</v>
      </c>
      <c r="AA258" s="727"/>
      <c r="AB258" s="727"/>
      <c r="AC258" s="727"/>
      <c r="AD258" s="727"/>
      <c r="AE258" s="727"/>
      <c r="AF258" s="727"/>
      <c r="AG258" s="727"/>
      <c r="AH258" s="727"/>
      <c r="AI258" s="727"/>
      <c r="AJ258" s="727"/>
      <c r="AK258" s="727"/>
      <c r="AL258" s="727"/>
      <c r="AM258" s="727"/>
      <c r="AN258" s="727"/>
      <c r="AO258" s="727"/>
      <c r="AP258" s="727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729"/>
      <c r="BL258" s="729"/>
      <c r="BM258" s="729"/>
      <c r="BN258" s="729"/>
      <c r="BO258" s="729"/>
      <c r="BP258" s="729"/>
      <c r="BQ258" s="19">
        <f t="shared" ca="1" si="10"/>
        <v>0</v>
      </c>
    </row>
    <row r="259" spans="1:74" ht="39">
      <c r="A259" s="542">
        <f ca="1">SUBTOTAL(9,$BQ$9:BQ259)</f>
        <v>108</v>
      </c>
      <c r="B259" s="543" t="str">
        <f ca="1">VLOOKUP(BS254,'АКТЫ скрытых работ'!A:O,14,FALSE)</f>
        <v>Информационное письмо №1157 от 26.10.2016 "Центр Декларирования Сертификации" (ООО "ЦДС)"</v>
      </c>
      <c r="C259" s="727" t="str">
        <f ca="1">IF(B259&lt;&gt;"-","б/н","")</f>
        <v>б/н</v>
      </c>
      <c r="D259" s="727"/>
      <c r="E259" s="727"/>
      <c r="F259" s="727"/>
      <c r="G259" s="727"/>
      <c r="H259" s="727"/>
      <c r="I259" s="727"/>
      <c r="J259" s="727"/>
      <c r="K259" s="727"/>
      <c r="L259" s="727"/>
      <c r="M259" s="727"/>
      <c r="N259" s="727"/>
      <c r="O259" s="727"/>
      <c r="P259" s="727"/>
      <c r="Q259" s="727"/>
      <c r="R259" s="727"/>
      <c r="S259" s="727"/>
      <c r="T259" s="727"/>
      <c r="U259" s="727"/>
      <c r="V259" s="727"/>
      <c r="W259" s="727"/>
      <c r="X259" s="727"/>
      <c r="Y259" s="727"/>
      <c r="Z259" s="727" t="str">
        <f ca="1">IFERROR(IF(OR(IFERROR(B259,0)=0,B259="-"),0,"1 компл"),0)</f>
        <v>1 компл</v>
      </c>
      <c r="AA259" s="727"/>
      <c r="AB259" s="727"/>
      <c r="AC259" s="727"/>
      <c r="AD259" s="727"/>
      <c r="AE259" s="727"/>
      <c r="AF259" s="727"/>
      <c r="AG259" s="727"/>
      <c r="AH259" s="727"/>
      <c r="AI259" s="727"/>
      <c r="AJ259" s="727"/>
      <c r="AK259" s="727"/>
      <c r="AL259" s="727"/>
      <c r="AM259" s="727"/>
      <c r="AN259" s="727"/>
      <c r="AO259" s="727"/>
      <c r="AP259" s="727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729"/>
      <c r="BL259" s="729"/>
      <c r="BM259" s="729"/>
      <c r="BN259" s="729"/>
      <c r="BO259" s="729"/>
      <c r="BP259" s="729"/>
      <c r="BQ259" s="19">
        <f t="shared" ca="1" si="10"/>
        <v>1</v>
      </c>
    </row>
    <row r="260" spans="1:74" ht="26">
      <c r="A260" s="542">
        <f ca="1">SUBTOTAL(9,$BQ$9:BQ260)</f>
        <v>109</v>
      </c>
      <c r="B260" s="543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'Монтаж горизонтального заземлителя'</v>
      </c>
      <c r="C260" s="727" t="str">
        <f ca="1">CONCATENATE("№",VLOOKUP(BS260,'АКТЫ скрытых работ'!A:O,2,FALSE))</f>
        <v>№3-КЗ_КК_5</v>
      </c>
      <c r="D260" s="727"/>
      <c r="E260" s="727"/>
      <c r="F260" s="727"/>
      <c r="G260" s="727"/>
      <c r="H260" s="727"/>
      <c r="I260" s="727"/>
      <c r="J260" s="727"/>
      <c r="K260" s="727"/>
      <c r="L260" s="727"/>
      <c r="M260" s="727"/>
      <c r="N260" s="727"/>
      <c r="O260" s="727"/>
      <c r="P260" s="727"/>
      <c r="Q260" s="727"/>
      <c r="R260" s="727"/>
      <c r="S260" s="727"/>
      <c r="T260" s="727"/>
      <c r="U260" s="727"/>
      <c r="V260" s="727"/>
      <c r="W260" s="727"/>
      <c r="X260" s="727"/>
      <c r="Y260" s="727"/>
      <c r="Z260" s="727">
        <f ca="1">IF(BS260="АООК_",0,1)</f>
        <v>1</v>
      </c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729"/>
      <c r="BL260" s="729"/>
      <c r="BM260" s="729"/>
      <c r="BN260" s="729"/>
      <c r="BO260" s="729"/>
      <c r="BP260" s="729"/>
      <c r="BQ260" s="19">
        <f t="shared" ca="1" si="10"/>
        <v>1</v>
      </c>
      <c r="BS260" s="569" t="str">
        <f ca="1">IF(INDIRECT("'АКТЫ скрытых работ'!R"&amp;BU260&amp;"C1",0)=CONCATENATE("АОСР_",BT260),CONCATENATE("АОСР_",BT260),CONCATENATE("АООК_",BT260))</f>
        <v>АОСР_31</v>
      </c>
      <c r="BT260" s="569">
        <v>31</v>
      </c>
      <c r="BU260" s="570">
        <f>BT260+1</f>
        <v>32</v>
      </c>
    </row>
    <row r="261" spans="1:74" ht="26">
      <c r="A261" s="542">
        <f ca="1">SUBTOTAL(9,$BQ$9:BQ261)</f>
        <v>110</v>
      </c>
      <c r="B261" s="545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Исполнительная схема №1 Монтаж контура заземления КК-0,4кВ</v>
      </c>
      <c r="C261" s="730" t="str">
        <f ca="1">IF(B261="Контрольно-исполнительная съемка","б/н",MID(B261,SEARCH("№",B261,1),SEARCH(" ",B261,SEARCH("№",B261,1))-SEARCH("№",B261,1)))</f>
        <v>№1</v>
      </c>
      <c r="D261" s="731"/>
      <c r="E261" s="731"/>
      <c r="F261" s="731"/>
      <c r="G261" s="731"/>
      <c r="H261" s="731"/>
      <c r="I261" s="731"/>
      <c r="J261" s="731"/>
      <c r="K261" s="731"/>
      <c r="L261" s="731"/>
      <c r="M261" s="731"/>
      <c r="N261" s="731"/>
      <c r="O261" s="731"/>
      <c r="P261" s="731"/>
      <c r="Q261" s="731"/>
      <c r="R261" s="731"/>
      <c r="S261" s="731"/>
      <c r="T261" s="731"/>
      <c r="U261" s="731"/>
      <c r="V261" s="731"/>
      <c r="W261" s="731"/>
      <c r="X261" s="731"/>
      <c r="Y261" s="732"/>
      <c r="Z261" s="727">
        <f ca="1">IFERROR(IF(OR(IFERROR(B261,0)=0,B261="-"),0,1),0)</f>
        <v>1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/>
      <c r="AO261" s="727"/>
      <c r="AP261" s="727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9"/>
      <c r="BL261" s="729"/>
      <c r="BM261" s="729"/>
      <c r="BN261" s="729"/>
      <c r="BO261" s="729"/>
      <c r="BP261" s="729"/>
      <c r="BQ261" s="19">
        <f t="shared" ca="1" si="10"/>
        <v>1</v>
      </c>
    </row>
    <row r="262" spans="1:74" hidden="1">
      <c r="A262" s="542">
        <f ca="1">SUBTOTAL(9,$BQ$9:BQ262)</f>
        <v>110</v>
      </c>
      <c r="B262" s="543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/>
      </c>
      <c r="C262" s="730" t="e">
        <f ca="1">IF(B262="Контрольно-исполнительная съемка","б/н",MID(B262,SEARCH("№",B262,1),SEARCH(" ",B262,SEARCH("№",B262,1))-SEARCH("№",B262,1)))</f>
        <v>#VALUE!</v>
      </c>
      <c r="D262" s="731"/>
      <c r="E262" s="731"/>
      <c r="F262" s="731"/>
      <c r="G262" s="731"/>
      <c r="H262" s="731"/>
      <c r="I262" s="731"/>
      <c r="J262" s="731"/>
      <c r="K262" s="731"/>
      <c r="L262" s="731"/>
      <c r="M262" s="731"/>
      <c r="N262" s="731"/>
      <c r="O262" s="731"/>
      <c r="P262" s="731"/>
      <c r="Q262" s="731"/>
      <c r="R262" s="731"/>
      <c r="S262" s="731"/>
      <c r="T262" s="731"/>
      <c r="U262" s="731"/>
      <c r="V262" s="731"/>
      <c r="W262" s="731"/>
      <c r="X262" s="731"/>
      <c r="Y262" s="732"/>
      <c r="Z262" s="727">
        <f ca="1">IFERROR(IF(OR(IFERROR(B262,0)=0,B262=""),0,1),0)</f>
        <v>0</v>
      </c>
      <c r="AA262" s="727"/>
      <c r="AB262" s="727"/>
      <c r="AC262" s="727"/>
      <c r="AD262" s="727"/>
      <c r="AE262" s="727"/>
      <c r="AF262" s="727"/>
      <c r="AG262" s="727"/>
      <c r="AH262" s="727"/>
      <c r="AI262" s="727"/>
      <c r="AJ262" s="727"/>
      <c r="AK262" s="727"/>
      <c r="AL262" s="727"/>
      <c r="AM262" s="727"/>
      <c r="AN262" s="727"/>
      <c r="AO262" s="727"/>
      <c r="AP262" s="727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729"/>
      <c r="BL262" s="729"/>
      <c r="BM262" s="729"/>
      <c r="BN262" s="729"/>
      <c r="BO262" s="729"/>
      <c r="BP262" s="729"/>
      <c r="BQ262" s="19">
        <f t="shared" ca="1" si="10"/>
        <v>0</v>
      </c>
    </row>
    <row r="263" spans="1:74" hidden="1">
      <c r="A263" s="542">
        <f ca="1">SUBTOTAL(9,$BQ$9:BQ263)</f>
        <v>110</v>
      </c>
      <c r="B263" s="543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/>
      </c>
      <c r="C263" s="730" t="e">
        <f ca="1">IF(B263="Контрольно-исполнительная съемка","б/н",MID(B263,SEARCH("№",B263,1),SEARCH(" ",B263,SEARCH("№",B263,1))-SEARCH("№",B263,1)))</f>
        <v>#VALUE!</v>
      </c>
      <c r="D263" s="731"/>
      <c r="E263" s="731"/>
      <c r="F263" s="731"/>
      <c r="G263" s="731"/>
      <c r="H263" s="731"/>
      <c r="I263" s="731"/>
      <c r="J263" s="731"/>
      <c r="K263" s="731"/>
      <c r="L263" s="731"/>
      <c r="M263" s="731"/>
      <c r="N263" s="731"/>
      <c r="O263" s="731"/>
      <c r="P263" s="731"/>
      <c r="Q263" s="731"/>
      <c r="R263" s="731"/>
      <c r="S263" s="731"/>
      <c r="T263" s="731"/>
      <c r="U263" s="731"/>
      <c r="V263" s="731"/>
      <c r="W263" s="731"/>
      <c r="X263" s="731"/>
      <c r="Y263" s="732"/>
      <c r="Z263" s="727">
        <f ca="1">IFERROR(IF(OR(IFERROR(B263,0)=0,B263=""),0,1),0)</f>
        <v>0</v>
      </c>
      <c r="AA263" s="727"/>
      <c r="AB263" s="727"/>
      <c r="AC263" s="727"/>
      <c r="AD263" s="727"/>
      <c r="AE263" s="727"/>
      <c r="AF263" s="727"/>
      <c r="AG263" s="727"/>
      <c r="AH263" s="727"/>
      <c r="AI263" s="727"/>
      <c r="AJ263" s="727"/>
      <c r="AK263" s="727"/>
      <c r="AL263" s="727"/>
      <c r="AM263" s="727"/>
      <c r="AN263" s="727"/>
      <c r="AO263" s="727"/>
      <c r="AP263" s="727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729"/>
      <c r="BL263" s="729"/>
      <c r="BM263" s="729"/>
      <c r="BN263" s="729"/>
      <c r="BO263" s="729"/>
      <c r="BP263" s="729"/>
      <c r="BQ263" s="19">
        <f t="shared" ca="1" si="10"/>
        <v>0</v>
      </c>
      <c r="BV263" s="19" t="str">
        <f>MID(BV247,1,LEN(BV247))</f>
        <v/>
      </c>
    </row>
    <row r="264" spans="1:74" hidden="1">
      <c r="A264" s="542">
        <f ca="1">SUBTOTAL(9,$BQ$9:BQ264)</f>
        <v>110</v>
      </c>
      <c r="B264" s="543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730" t="e">
        <f ca="1">IF(B264="Контрольно-исполнительная съемка","б/н",MID(B264,SEARCH("№",B264,1),SEARCH(" ",B264,SEARCH("№",B264,1))-SEARCH("№",B264,1)))</f>
        <v>#VALUE!</v>
      </c>
      <c r="D264" s="731"/>
      <c r="E264" s="731"/>
      <c r="F264" s="731"/>
      <c r="G264" s="731"/>
      <c r="H264" s="731"/>
      <c r="I264" s="731"/>
      <c r="J264" s="731"/>
      <c r="K264" s="731"/>
      <c r="L264" s="731"/>
      <c r="M264" s="731"/>
      <c r="N264" s="731"/>
      <c r="O264" s="731"/>
      <c r="P264" s="731"/>
      <c r="Q264" s="731"/>
      <c r="R264" s="731"/>
      <c r="S264" s="731"/>
      <c r="T264" s="731"/>
      <c r="U264" s="731"/>
      <c r="V264" s="731"/>
      <c r="W264" s="731"/>
      <c r="X264" s="731"/>
      <c r="Y264" s="732"/>
      <c r="Z264" s="727">
        <f ca="1">IFERROR(IF(OR(IFERROR(B264,0)=0,B264=""),0,1),0)</f>
        <v>0</v>
      </c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729"/>
      <c r="BL264" s="729"/>
      <c r="BM264" s="729"/>
      <c r="BN264" s="729"/>
      <c r="BO264" s="729"/>
      <c r="BP264" s="729"/>
      <c r="BQ264" s="19">
        <f t="shared" ca="1" si="10"/>
        <v>0</v>
      </c>
    </row>
    <row r="265" spans="1:74" ht="52">
      <c r="A265" s="542">
        <f ca="1">SUBTOTAL(9,$BQ$9:BQ265)</f>
        <v>111</v>
      </c>
      <c r="B265" s="543" t="str">
        <f ca="1">VLOOKUP(BS260,'АКТЫ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265" s="727" t="str">
        <f ca="1">IF(B265&lt;&gt;"-","б/н","")</f>
        <v>б/н</v>
      </c>
      <c r="D265" s="727"/>
      <c r="E265" s="727"/>
      <c r="F265" s="727"/>
      <c r="G265" s="727"/>
      <c r="H265" s="727"/>
      <c r="I265" s="727"/>
      <c r="J265" s="727"/>
      <c r="K265" s="727"/>
      <c r="L265" s="727"/>
      <c r="M265" s="727"/>
      <c r="N265" s="727"/>
      <c r="O265" s="727"/>
      <c r="P265" s="727"/>
      <c r="Q265" s="727"/>
      <c r="R265" s="727"/>
      <c r="S265" s="727"/>
      <c r="T265" s="727"/>
      <c r="U265" s="727"/>
      <c r="V265" s="727"/>
      <c r="W265" s="727"/>
      <c r="X265" s="727"/>
      <c r="Y265" s="727"/>
      <c r="Z265" s="727" t="str">
        <f ca="1">IFERROR(IF(OR(IFERROR(B265,0)=0,B265="-"),0,"1 компл"),0)</f>
        <v>1 компл</v>
      </c>
      <c r="AA265" s="727"/>
      <c r="AB265" s="727"/>
      <c r="AC265" s="727"/>
      <c r="AD265" s="727"/>
      <c r="AE265" s="727"/>
      <c r="AF265" s="727"/>
      <c r="AG265" s="727"/>
      <c r="AH265" s="727"/>
      <c r="AI265" s="727"/>
      <c r="AJ265" s="727"/>
      <c r="AK265" s="727"/>
      <c r="AL265" s="727"/>
      <c r="AM265" s="727"/>
      <c r="AN265" s="727"/>
      <c r="AO265" s="727"/>
      <c r="AP265" s="727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9"/>
      <c r="BL265" s="729"/>
      <c r="BM265" s="729"/>
      <c r="BN265" s="729"/>
      <c r="BO265" s="729"/>
      <c r="BP265" s="729"/>
      <c r="BQ265" s="19">
        <f t="shared" ca="1" si="10"/>
        <v>1</v>
      </c>
    </row>
    <row r="266" spans="1:74" ht="26">
      <c r="A266" s="542">
        <f ca="1">SUBTOTAL(9,$BQ$9:BQ266)</f>
        <v>112</v>
      </c>
      <c r="B266" s="543" t="str">
        <f ca="1">IF(BS266&lt;&gt;"",IF(MID(BS266,1,4)="АОСР",CONCATENATE("Акт освидетельствования скрытых работ '",VLOOKUP(BS266,'АКТЫ скрытых работ'!A:O,3,FALSE),"'"),CONCATENATE("Акт освидетельствования ответственных конструкций '",VLOOKUP(BS266,'АКТЫ скрытых работ'!A:O,3,FALSE),"'")),0)</f>
        <v>Акт освидетельствования скрытых работ 'Огрунтовка и окраска сварных соединений'</v>
      </c>
      <c r="C266" s="727" t="str">
        <f ca="1">CONCATENATE("№",VLOOKUP(BS266,'АКТЫ скрытых работ'!A:O,2,FALSE))</f>
        <v>№4-КЗ_КК_5</v>
      </c>
      <c r="D266" s="727"/>
      <c r="E266" s="727"/>
      <c r="F266" s="727"/>
      <c r="G266" s="727"/>
      <c r="H266" s="727"/>
      <c r="I266" s="727"/>
      <c r="J266" s="727"/>
      <c r="K266" s="727"/>
      <c r="L266" s="727"/>
      <c r="M266" s="727"/>
      <c r="N266" s="727"/>
      <c r="O266" s="727"/>
      <c r="P266" s="727"/>
      <c r="Q266" s="727"/>
      <c r="R266" s="727"/>
      <c r="S266" s="727"/>
      <c r="T266" s="727"/>
      <c r="U266" s="727"/>
      <c r="V266" s="727"/>
      <c r="W266" s="727"/>
      <c r="X266" s="727"/>
      <c r="Y266" s="727"/>
      <c r="Z266" s="727">
        <f ca="1">IF(BS266="АООК_",0,1)</f>
        <v>1</v>
      </c>
      <c r="AA266" s="727"/>
      <c r="AB266" s="727"/>
      <c r="AC266" s="727"/>
      <c r="AD266" s="727"/>
      <c r="AE266" s="727"/>
      <c r="AF266" s="727"/>
      <c r="AG266" s="727"/>
      <c r="AH266" s="727"/>
      <c r="AI266" s="727"/>
      <c r="AJ266" s="727"/>
      <c r="AK266" s="727"/>
      <c r="AL266" s="727"/>
      <c r="AM266" s="727"/>
      <c r="AN266" s="727"/>
      <c r="AO266" s="727"/>
      <c r="AP266" s="727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729"/>
      <c r="BL266" s="729"/>
      <c r="BM266" s="729"/>
      <c r="BN266" s="729"/>
      <c r="BO266" s="729"/>
      <c r="BP266" s="729"/>
      <c r="BQ266" s="19">
        <f t="shared" ca="1" si="10"/>
        <v>1</v>
      </c>
      <c r="BS266" s="569" t="str">
        <f ca="1">IF(INDIRECT("'АКТЫ скрытых работ'!R"&amp;BU266&amp;"C1",0)=CONCATENATE("АОСР_",BT266),CONCATENATE("АОСР_",BT266),CONCATENATE("АООК_",BT266))</f>
        <v>АОСР_32</v>
      </c>
      <c r="BT266" s="569">
        <v>32</v>
      </c>
      <c r="BU266" s="570">
        <f>BT266+1</f>
        <v>33</v>
      </c>
    </row>
    <row r="267" spans="1:74" ht="26">
      <c r="A267" s="542">
        <f ca="1">SUBTOTAL(9,$BQ$9:BQ267)</f>
        <v>113</v>
      </c>
      <c r="B267" s="545" t="str">
        <f ca="1">IF(IFERROR(SEARCH("; ",VLOOKUP(BS266,'АКТЫ скрытых работ'!A:O,11,FALSE),1),0)=0,VLOOKUP(BS266,'АКТЫ скрытых работ'!A:O,11,FALSE),LEFT(VLOOKUP(BS266,'АКТЫ скрытых работ'!A:O,11,FALSE),SEARCH(";",VLOOKUP(BS266,'АКТЫ скрытых работ'!A:O,11,FALSE))-1))</f>
        <v>Исполнительная схема №1 Монтаж контура заземления КК-0,4кВ</v>
      </c>
      <c r="C267" s="730" t="str">
        <f ca="1">IF(B267="Контрольно-исполнительная съемка","б/н",MID(B267,SEARCH("№",B267,1),SEARCH(" ",B267,SEARCH("№",B267,1))-SEARCH("№",B267,1)))</f>
        <v>№1</v>
      </c>
      <c r="D267" s="731"/>
      <c r="E267" s="731"/>
      <c r="F267" s="731"/>
      <c r="G267" s="731"/>
      <c r="H267" s="731"/>
      <c r="I267" s="731"/>
      <c r="J267" s="731"/>
      <c r="K267" s="731"/>
      <c r="L267" s="731"/>
      <c r="M267" s="731"/>
      <c r="N267" s="731"/>
      <c r="O267" s="731"/>
      <c r="P267" s="731"/>
      <c r="Q267" s="731"/>
      <c r="R267" s="731"/>
      <c r="S267" s="731"/>
      <c r="T267" s="731"/>
      <c r="U267" s="731"/>
      <c r="V267" s="731"/>
      <c r="W267" s="731"/>
      <c r="X267" s="731"/>
      <c r="Y267" s="732"/>
      <c r="Z267" s="727">
        <f ca="1">IFERROR(IF(OR(IFERROR(B267,0)=0,B267="-"),0,1),0)</f>
        <v>1</v>
      </c>
      <c r="AA267" s="727"/>
      <c r="AB267" s="727"/>
      <c r="AC267" s="727"/>
      <c r="AD267" s="727"/>
      <c r="AE267" s="727"/>
      <c r="AF267" s="727"/>
      <c r="AG267" s="727"/>
      <c r="AH267" s="727"/>
      <c r="AI267" s="727"/>
      <c r="AJ267" s="727"/>
      <c r="AK267" s="727"/>
      <c r="AL267" s="727"/>
      <c r="AM267" s="727"/>
      <c r="AN267" s="727"/>
      <c r="AO267" s="727"/>
      <c r="AP267" s="727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729"/>
      <c r="BL267" s="729"/>
      <c r="BM267" s="729"/>
      <c r="BN267" s="729"/>
      <c r="BO267" s="729"/>
      <c r="BP267" s="729"/>
      <c r="BQ267" s="19">
        <f t="shared" ca="1" si="10"/>
        <v>1</v>
      </c>
    </row>
    <row r="268" spans="1:74" hidden="1">
      <c r="A268" s="542">
        <f ca="1">SUBTOTAL(9,$BQ$9:BQ268)</f>
        <v>113</v>
      </c>
      <c r="B268" s="543" t="str">
        <f ca="1">IF(IFERROR(SEARCH(";",VLOOKUP(BS266,'АКТЫ скрытых работ'!A:O,11,FALSE),LEN(B267)+2),0)&lt;&gt;0,MID(VLOOKUP(BS266,'АКТЫ скрытых работ'!A:O,11,FALSE),LEN(B267)+3,SEARCH(";",VLOOKUP(BS266,'АКТЫ скрытых работ'!A:O,11,FALSE),LEN(B267)+3)-LEN(B267)-3),MID(VLOOKUP(BS266,'АКТЫ скрытых работ'!A:O,11,FALSE),LEN(B267)+3,LEN(VLOOKUP(BS266,'АКТЫ скрытых работ'!A:O,11,FALSE))))</f>
        <v/>
      </c>
      <c r="C268" s="730" t="e">
        <f ca="1">IF(B268="Контрольно-исполнительная съемка","б/н",MID(B268,SEARCH("№",B268,1),SEARCH(" ",B268,SEARCH("№",B268,1))-SEARCH("№",B268,1)))</f>
        <v>#VALUE!</v>
      </c>
      <c r="D268" s="731"/>
      <c r="E268" s="731"/>
      <c r="F268" s="731"/>
      <c r="G268" s="731"/>
      <c r="H268" s="731"/>
      <c r="I268" s="731"/>
      <c r="J268" s="731"/>
      <c r="K268" s="731"/>
      <c r="L268" s="731"/>
      <c r="M268" s="731"/>
      <c r="N268" s="731"/>
      <c r="O268" s="731"/>
      <c r="P268" s="731"/>
      <c r="Q268" s="731"/>
      <c r="R268" s="731"/>
      <c r="S268" s="731"/>
      <c r="T268" s="731"/>
      <c r="U268" s="731"/>
      <c r="V268" s="731"/>
      <c r="W268" s="731"/>
      <c r="X268" s="731"/>
      <c r="Y268" s="732"/>
      <c r="Z268" s="727">
        <f ca="1">IFERROR(IF(OR(IFERROR(B268,0)=0,B268=""),0,1),0)</f>
        <v>0</v>
      </c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729"/>
      <c r="BL268" s="729"/>
      <c r="BM268" s="729"/>
      <c r="BN268" s="729"/>
      <c r="BO268" s="729"/>
      <c r="BP268" s="729"/>
      <c r="BQ268" s="19">
        <f t="shared" ca="1" si="10"/>
        <v>0</v>
      </c>
    </row>
    <row r="269" spans="1:74" hidden="1">
      <c r="A269" s="542">
        <f ca="1">SUBTOTAL(9,$BQ$9:BQ269)</f>
        <v>113</v>
      </c>
      <c r="B269" s="543" t="str">
        <f ca="1">IF(IFERROR(SEARCH(";",VLOOKUP(BS266,'АКТЫ скрытых работ'!A:O,11,FALSE),SUM(LEN(B267),LEN(B268))+4),0)&lt;&gt;0,MID(VLOOKUP(BS266,'АКТЫ скрытых работ'!A:O,11,FALSE),SUM(LEN(B267),LEN(B268))+5,SEARCH(";",VLOOKUP(BS266,'АКТЫ скрытых работ'!A:O,11,FALSE),SUM(LEN(B267),LEN(B268))+4)-SUM(LEN(B267),LEN(B268))-5),MID(VLOOKUP(BS266,'АКТЫ скрытых работ'!A:O,11,FALSE),SUM(LEN(B267),LEN(B268))+5,LEN(VLOOKUP(BS266,'АКТЫ скрытых работ'!A:O,11,FALSE))))</f>
        <v/>
      </c>
      <c r="C269" s="730" t="e">
        <f ca="1">IF(B269="Контрольно-исполнительная съемка","б/н",MID(B269,SEARCH("№",B269,1),SEARCH(" ",B269,SEARCH("№",B269,1))-SEARCH("№",B269,1)))</f>
        <v>#VALUE!</v>
      </c>
      <c r="D269" s="731"/>
      <c r="E269" s="731"/>
      <c r="F269" s="731"/>
      <c r="G269" s="731"/>
      <c r="H269" s="731"/>
      <c r="I269" s="731"/>
      <c r="J269" s="731"/>
      <c r="K269" s="731"/>
      <c r="L269" s="731"/>
      <c r="M269" s="731"/>
      <c r="N269" s="731"/>
      <c r="O269" s="731"/>
      <c r="P269" s="731"/>
      <c r="Q269" s="731"/>
      <c r="R269" s="731"/>
      <c r="S269" s="731"/>
      <c r="T269" s="731"/>
      <c r="U269" s="731"/>
      <c r="V269" s="731"/>
      <c r="W269" s="731"/>
      <c r="X269" s="731"/>
      <c r="Y269" s="732"/>
      <c r="Z269" s="727">
        <f ca="1">IFERROR(IF(OR(IFERROR(B269,0)=0,B269=""),0,1),0)</f>
        <v>0</v>
      </c>
      <c r="AA269" s="727"/>
      <c r="AB269" s="727"/>
      <c r="AC269" s="727"/>
      <c r="AD269" s="727"/>
      <c r="AE269" s="727"/>
      <c r="AF269" s="727"/>
      <c r="AG269" s="727"/>
      <c r="AH269" s="727"/>
      <c r="AI269" s="727"/>
      <c r="AJ269" s="727"/>
      <c r="AK269" s="727"/>
      <c r="AL269" s="727"/>
      <c r="AM269" s="727"/>
      <c r="AN269" s="727"/>
      <c r="AO269" s="727"/>
      <c r="AP269" s="727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9"/>
      <c r="BL269" s="729"/>
      <c r="BM269" s="729"/>
      <c r="BN269" s="729"/>
      <c r="BO269" s="729"/>
      <c r="BP269" s="729"/>
      <c r="BQ269" s="19">
        <f t="shared" ca="1" si="10"/>
        <v>0</v>
      </c>
      <c r="BV269" s="19" t="str">
        <f>MID(BV253,1,LEN(BV253))</f>
        <v/>
      </c>
    </row>
    <row r="270" spans="1:74" hidden="1">
      <c r="A270" s="542">
        <f ca="1">SUBTOTAL(9,$BQ$9:BQ270)</f>
        <v>113</v>
      </c>
      <c r="B270" s="543" t="str">
        <f ca="1">IF(IFERROR(SEARCH(";",VLOOKUP(BS266,'АКТЫ скрытых работ'!A:O,11,FALSE),SUM(LEN(B267),LEN(B268),LEN(B269))+8),0)&lt;&gt;0,MID(VLOOKUP(BS266,'АКТЫ скрытых работ'!A:O,11,FALSE),SUM(LEN(B267),LEN(B268),LEN(B269))+4,SEARCH(";",VLOOKUP(BS266,'АКТЫ скрытых работ'!A:O,11,FALSE),SUM(LEN(B267),LEN(B268),LEN(B269))+4)-SUM(LEN(B267),LEN(B268),LEN(B269))-6),MID(VLOOKUP(BS266,'АКТЫ скрытых работ'!A:O,11,FALSE),SUM(LEN(B267),LEN(B268),LEN(B269))+7,LEN(VLOOKUP(BS266,'АКТЫ скрытых работ'!A:O,11,FALSE))))</f>
        <v/>
      </c>
      <c r="C270" s="730" t="e">
        <f ca="1">IF(B270="Контрольно-исполнительная съемка","б/н",MID(B270,SEARCH("№",B270,1),SEARCH(" ",B270,SEARCH("№",B270,1))-SEARCH("№",B270,1)))</f>
        <v>#VALUE!</v>
      </c>
      <c r="D270" s="731"/>
      <c r="E270" s="731"/>
      <c r="F270" s="731"/>
      <c r="G270" s="731"/>
      <c r="H270" s="731"/>
      <c r="I270" s="731"/>
      <c r="J270" s="731"/>
      <c r="K270" s="731"/>
      <c r="L270" s="731"/>
      <c r="M270" s="731"/>
      <c r="N270" s="731"/>
      <c r="O270" s="731"/>
      <c r="P270" s="731"/>
      <c r="Q270" s="731"/>
      <c r="R270" s="731"/>
      <c r="S270" s="731"/>
      <c r="T270" s="731"/>
      <c r="U270" s="731"/>
      <c r="V270" s="731"/>
      <c r="W270" s="731"/>
      <c r="X270" s="731"/>
      <c r="Y270" s="732"/>
      <c r="Z270" s="727">
        <f ca="1">IFERROR(IF(OR(IFERROR(B270,0)=0,B270=""),0,1),0)</f>
        <v>0</v>
      </c>
      <c r="AA270" s="727"/>
      <c r="AB270" s="727"/>
      <c r="AC270" s="727"/>
      <c r="AD270" s="727"/>
      <c r="AE270" s="727"/>
      <c r="AF270" s="727"/>
      <c r="AG270" s="727"/>
      <c r="AH270" s="727"/>
      <c r="AI270" s="727"/>
      <c r="AJ270" s="727"/>
      <c r="AK270" s="727"/>
      <c r="AL270" s="727"/>
      <c r="AM270" s="727"/>
      <c r="AN270" s="727"/>
      <c r="AO270" s="727"/>
      <c r="AP270" s="727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729"/>
      <c r="BL270" s="729"/>
      <c r="BM270" s="729"/>
      <c r="BN270" s="729"/>
      <c r="BO270" s="729"/>
      <c r="BP270" s="729"/>
      <c r="BQ270" s="19">
        <f t="shared" ca="1" si="10"/>
        <v>0</v>
      </c>
    </row>
    <row r="271" spans="1:74" ht="26">
      <c r="A271" s="542">
        <f ca="1">SUBTOTAL(9,$BQ$9:BQ271)</f>
        <v>114</v>
      </c>
      <c r="B271" s="543" t="str">
        <f ca="1">VLOOKUP(BS266,'АКТЫ скрытых работ'!A:O,14,FALSE)</f>
        <v>Отказное письмо исх. №60-12/2020 от 12.05.2020 ООО "Биквест-Центр"</v>
      </c>
      <c r="C271" s="727" t="str">
        <f ca="1">IF(B271&lt;&gt;"-","б/н","")</f>
        <v>б/н</v>
      </c>
      <c r="D271" s="727"/>
      <c r="E271" s="727"/>
      <c r="F271" s="727"/>
      <c r="G271" s="727"/>
      <c r="H271" s="727"/>
      <c r="I271" s="727"/>
      <c r="J271" s="727"/>
      <c r="K271" s="727"/>
      <c r="L271" s="727"/>
      <c r="M271" s="727"/>
      <c r="N271" s="727"/>
      <c r="O271" s="727"/>
      <c r="P271" s="727"/>
      <c r="Q271" s="727"/>
      <c r="R271" s="727"/>
      <c r="S271" s="727"/>
      <c r="T271" s="727"/>
      <c r="U271" s="727"/>
      <c r="V271" s="727"/>
      <c r="W271" s="727"/>
      <c r="X271" s="727"/>
      <c r="Y271" s="727"/>
      <c r="Z271" s="727" t="str">
        <f ca="1">IFERROR(IF(OR(IFERROR(B271,0)=0,B271="-"),0,"1 компл"),0)</f>
        <v>1 компл</v>
      </c>
      <c r="AA271" s="727"/>
      <c r="AB271" s="727"/>
      <c r="AC271" s="727"/>
      <c r="AD271" s="727"/>
      <c r="AE271" s="727"/>
      <c r="AF271" s="727"/>
      <c r="AG271" s="727"/>
      <c r="AH271" s="727"/>
      <c r="AI271" s="727"/>
      <c r="AJ271" s="727"/>
      <c r="AK271" s="727"/>
      <c r="AL271" s="727"/>
      <c r="AM271" s="727"/>
      <c r="AN271" s="727"/>
      <c r="AO271" s="727"/>
      <c r="AP271" s="727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729"/>
      <c r="BL271" s="729"/>
      <c r="BM271" s="729"/>
      <c r="BN271" s="729"/>
      <c r="BO271" s="729"/>
      <c r="BP271" s="729"/>
      <c r="BQ271" s="19">
        <f t="shared" ca="1" si="10"/>
        <v>1</v>
      </c>
    </row>
    <row r="272" spans="1:74" ht="26">
      <c r="A272" s="542">
        <f ca="1">SUBTOTAL(9,$BQ$9:BQ272)</f>
        <v>115</v>
      </c>
      <c r="B272" s="543" t="str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Акт освидетельствования скрытых работ 'Обратная засыпка траншеи'</v>
      </c>
      <c r="C272" s="727" t="str">
        <f ca="1">CONCATENATE("№",VLOOKUP(BS272,'АКТЫ скрытых работ'!A:O,2,FALSE))</f>
        <v>№5-КЗ_КК_5</v>
      </c>
      <c r="D272" s="727"/>
      <c r="E272" s="727"/>
      <c r="F272" s="727"/>
      <c r="G272" s="727"/>
      <c r="H272" s="727"/>
      <c r="I272" s="727"/>
      <c r="J272" s="727"/>
      <c r="K272" s="727"/>
      <c r="L272" s="727"/>
      <c r="M272" s="727"/>
      <c r="N272" s="727"/>
      <c r="O272" s="727"/>
      <c r="P272" s="727"/>
      <c r="Q272" s="727"/>
      <c r="R272" s="727"/>
      <c r="S272" s="727"/>
      <c r="T272" s="727"/>
      <c r="U272" s="727"/>
      <c r="V272" s="727"/>
      <c r="W272" s="727"/>
      <c r="X272" s="727"/>
      <c r="Y272" s="727"/>
      <c r="Z272" s="727">
        <f ca="1">IF(BS272="АООК_",0,1)</f>
        <v>1</v>
      </c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729"/>
      <c r="BL272" s="729"/>
      <c r="BM272" s="729"/>
      <c r="BN272" s="729"/>
      <c r="BO272" s="729"/>
      <c r="BP272" s="729"/>
      <c r="BQ272" s="19">
        <f t="shared" ca="1" si="10"/>
        <v>1</v>
      </c>
      <c r="BS272" s="569" t="str">
        <f ca="1">IF(INDIRECT("'АКТЫ скрытых работ'!R"&amp;BU272&amp;"C1",0)=CONCATENATE("АОСР_",BT272),CONCATENATE("АОСР_",BT272),CONCATENATE("АООК_",BT272))</f>
        <v>АОСР_33</v>
      </c>
      <c r="BT272" s="569">
        <v>33</v>
      </c>
      <c r="BU272" s="570">
        <f>BT272+1</f>
        <v>34</v>
      </c>
    </row>
    <row r="273" spans="1:74" ht="26">
      <c r="A273" s="542">
        <f ca="1">SUBTOTAL(9,$BQ$9:BQ273)</f>
        <v>116</v>
      </c>
      <c r="B273" s="545" t="str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Исполнительная схема №1 Монтаж контура заземления КК-0,4кВ</v>
      </c>
      <c r="C273" s="730" t="str">
        <f ca="1">IF(B273="Контрольно-исполнительная съемка","б/н",MID(B273,SEARCH("№",B273,1),SEARCH(" ",B273,SEARCH("№",B273,1))-SEARCH("№",B273,1)))</f>
        <v>№1</v>
      </c>
      <c r="D273" s="731"/>
      <c r="E273" s="731"/>
      <c r="F273" s="731"/>
      <c r="G273" s="731"/>
      <c r="H273" s="731"/>
      <c r="I273" s="731"/>
      <c r="J273" s="731"/>
      <c r="K273" s="731"/>
      <c r="L273" s="731"/>
      <c r="M273" s="731"/>
      <c r="N273" s="731"/>
      <c r="O273" s="731"/>
      <c r="P273" s="731"/>
      <c r="Q273" s="731"/>
      <c r="R273" s="731"/>
      <c r="S273" s="731"/>
      <c r="T273" s="731"/>
      <c r="U273" s="731"/>
      <c r="V273" s="731"/>
      <c r="W273" s="731"/>
      <c r="X273" s="731"/>
      <c r="Y273" s="732"/>
      <c r="Z273" s="727">
        <f ca="1">IFERROR(IF(OR(IFERROR(B273,0)=0,B273="-"),0,1),0)</f>
        <v>1</v>
      </c>
      <c r="AA273" s="727"/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/>
      <c r="AN273" s="727"/>
      <c r="AO273" s="727"/>
      <c r="AP273" s="727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9"/>
      <c r="BL273" s="729"/>
      <c r="BM273" s="729"/>
      <c r="BN273" s="729"/>
      <c r="BO273" s="729"/>
      <c r="BP273" s="729"/>
      <c r="BQ273" s="19">
        <f t="shared" ca="1" si="10"/>
        <v>1</v>
      </c>
    </row>
    <row r="274" spans="1:74" hidden="1">
      <c r="A274" s="542">
        <f ca="1">SUBTOTAL(9,$BQ$9:BQ274)</f>
        <v>116</v>
      </c>
      <c r="B274" s="543" t="str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/>
      </c>
      <c r="C274" s="730" t="e">
        <f ca="1">IF(B274="Контрольно-исполнительная съемка","б/н",MID(B274,SEARCH("№",B274,1),SEARCH(" ",B274,SEARCH("№",B274,1))-SEARCH("№",B274,1)))</f>
        <v>#VALUE!</v>
      </c>
      <c r="D274" s="731"/>
      <c r="E274" s="731"/>
      <c r="F274" s="731"/>
      <c r="G274" s="731"/>
      <c r="H274" s="731"/>
      <c r="I274" s="731"/>
      <c r="J274" s="731"/>
      <c r="K274" s="731"/>
      <c r="L274" s="731"/>
      <c r="M274" s="731"/>
      <c r="N274" s="731"/>
      <c r="O274" s="731"/>
      <c r="P274" s="731"/>
      <c r="Q274" s="731"/>
      <c r="R274" s="731"/>
      <c r="S274" s="731"/>
      <c r="T274" s="731"/>
      <c r="U274" s="731"/>
      <c r="V274" s="731"/>
      <c r="W274" s="731"/>
      <c r="X274" s="731"/>
      <c r="Y274" s="732"/>
      <c r="Z274" s="727">
        <f ca="1">IFERROR(IF(OR(IFERROR(B274,0)=0,B274=""),0,1),0)</f>
        <v>0</v>
      </c>
      <c r="AA274" s="727"/>
      <c r="AB274" s="727"/>
      <c r="AC274" s="727"/>
      <c r="AD274" s="727"/>
      <c r="AE274" s="727"/>
      <c r="AF274" s="727"/>
      <c r="AG274" s="727"/>
      <c r="AH274" s="727"/>
      <c r="AI274" s="727"/>
      <c r="AJ274" s="727"/>
      <c r="AK274" s="727"/>
      <c r="AL274" s="727"/>
      <c r="AM274" s="727"/>
      <c r="AN274" s="727"/>
      <c r="AO274" s="727"/>
      <c r="AP274" s="727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729"/>
      <c r="BL274" s="729"/>
      <c r="BM274" s="729"/>
      <c r="BN274" s="729"/>
      <c r="BO274" s="729"/>
      <c r="BP274" s="729"/>
      <c r="BQ274" s="19">
        <f t="shared" ca="1" si="10"/>
        <v>0</v>
      </c>
    </row>
    <row r="275" spans="1:74" hidden="1">
      <c r="A275" s="542">
        <f ca="1">SUBTOTAL(9,$BQ$9:BQ275)</f>
        <v>116</v>
      </c>
      <c r="B275" s="543" t="str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/>
      </c>
      <c r="C275" s="730" t="e">
        <f ca="1">IF(B275="Контрольно-исполнительная съемка","б/н",MID(B275,SEARCH("№",B275,1),SEARCH(" ",B275,SEARCH("№",B275,1))-SEARCH("№",B275,1)))</f>
        <v>#VALUE!</v>
      </c>
      <c r="D275" s="731"/>
      <c r="E275" s="731"/>
      <c r="F275" s="731"/>
      <c r="G275" s="731"/>
      <c r="H275" s="731"/>
      <c r="I275" s="731"/>
      <c r="J275" s="731"/>
      <c r="K275" s="731"/>
      <c r="L275" s="731"/>
      <c r="M275" s="731"/>
      <c r="N275" s="731"/>
      <c r="O275" s="731"/>
      <c r="P275" s="731"/>
      <c r="Q275" s="731"/>
      <c r="R275" s="731"/>
      <c r="S275" s="731"/>
      <c r="T275" s="731"/>
      <c r="U275" s="731"/>
      <c r="V275" s="731"/>
      <c r="W275" s="731"/>
      <c r="X275" s="731"/>
      <c r="Y275" s="732"/>
      <c r="Z275" s="727">
        <f ca="1">IFERROR(IF(OR(IFERROR(B275,0)=0,B275=""),0,1),0)</f>
        <v>0</v>
      </c>
      <c r="AA275" s="727"/>
      <c r="AB275" s="727"/>
      <c r="AC275" s="727"/>
      <c r="AD275" s="727"/>
      <c r="AE275" s="727"/>
      <c r="AF275" s="727"/>
      <c r="AG275" s="727"/>
      <c r="AH275" s="727"/>
      <c r="AI275" s="727"/>
      <c r="AJ275" s="727"/>
      <c r="AK275" s="727"/>
      <c r="AL275" s="727"/>
      <c r="AM275" s="727"/>
      <c r="AN275" s="727"/>
      <c r="AO275" s="727"/>
      <c r="AP275" s="727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729"/>
      <c r="BL275" s="729"/>
      <c r="BM275" s="729"/>
      <c r="BN275" s="729"/>
      <c r="BO275" s="729"/>
      <c r="BP275" s="729"/>
      <c r="BQ275" s="19">
        <f t="shared" ca="1" si="10"/>
        <v>0</v>
      </c>
      <c r="BV275" s="19" t="str">
        <f>MID(BV259,1,LEN(BV259))</f>
        <v/>
      </c>
    </row>
    <row r="276" spans="1:74" hidden="1">
      <c r="A276" s="542">
        <f ca="1">SUBTOTAL(9,$BQ$9:BQ276)</f>
        <v>116</v>
      </c>
      <c r="B276" s="543" t="str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/>
      </c>
      <c r="C276" s="730" t="e">
        <f ca="1">IF(B276="Контрольно-исполнительная съемка","б/н",MID(B276,SEARCH("№",B276,1),SEARCH(" ",B276,SEARCH("№",B276,1))-SEARCH("№",B276,1)))</f>
        <v>#VALUE!</v>
      </c>
      <c r="D276" s="731"/>
      <c r="E276" s="731"/>
      <c r="F276" s="731"/>
      <c r="G276" s="731"/>
      <c r="H276" s="731"/>
      <c r="I276" s="731"/>
      <c r="J276" s="731"/>
      <c r="K276" s="731"/>
      <c r="L276" s="731"/>
      <c r="M276" s="731"/>
      <c r="N276" s="731"/>
      <c r="O276" s="731"/>
      <c r="P276" s="731"/>
      <c r="Q276" s="731"/>
      <c r="R276" s="731"/>
      <c r="S276" s="731"/>
      <c r="T276" s="731"/>
      <c r="U276" s="731"/>
      <c r="V276" s="731"/>
      <c r="W276" s="731"/>
      <c r="X276" s="731"/>
      <c r="Y276" s="732"/>
      <c r="Z276" s="727">
        <f ca="1">IFERROR(IF(OR(IFERROR(B276,0)=0,B276=""),0,1),0)</f>
        <v>0</v>
      </c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729"/>
      <c r="BL276" s="729"/>
      <c r="BM276" s="729"/>
      <c r="BN276" s="729"/>
      <c r="BO276" s="729"/>
      <c r="BP276" s="729"/>
      <c r="BQ276" s="19">
        <f t="shared" ca="1" si="10"/>
        <v>0</v>
      </c>
    </row>
    <row r="277" spans="1:74" hidden="1">
      <c r="A277" s="542">
        <f ca="1">SUBTOTAL(9,$BQ$9:BQ277)</f>
        <v>116</v>
      </c>
      <c r="B277" s="543" t="str">
        <f ca="1">VLOOKUP(BS272,'АКТЫ скрытых работ'!A:O,14,FALSE)</f>
        <v>-</v>
      </c>
      <c r="C277" s="727" t="str">
        <f ca="1">IF(B277&lt;&gt;"-","б/н","")</f>
        <v/>
      </c>
      <c r="D277" s="727"/>
      <c r="E277" s="727"/>
      <c r="F277" s="727"/>
      <c r="G277" s="727"/>
      <c r="H277" s="727"/>
      <c r="I277" s="727"/>
      <c r="J277" s="727"/>
      <c r="K277" s="727"/>
      <c r="L277" s="727"/>
      <c r="M277" s="727"/>
      <c r="N277" s="727"/>
      <c r="O277" s="727"/>
      <c r="P277" s="727"/>
      <c r="Q277" s="727"/>
      <c r="R277" s="727"/>
      <c r="S277" s="727"/>
      <c r="T277" s="727"/>
      <c r="U277" s="727"/>
      <c r="V277" s="727"/>
      <c r="W277" s="727"/>
      <c r="X277" s="727"/>
      <c r="Y277" s="727"/>
      <c r="Z277" s="727">
        <f ca="1">IFERROR(IF(OR(IFERROR(B277,0)=0,B277="-"),0,"1 компл"),0)</f>
        <v>0</v>
      </c>
      <c r="AA277" s="727"/>
      <c r="AB277" s="727"/>
      <c r="AC277" s="727"/>
      <c r="AD277" s="727"/>
      <c r="AE277" s="727"/>
      <c r="AF277" s="727"/>
      <c r="AG277" s="727"/>
      <c r="AH277" s="727"/>
      <c r="AI277" s="727"/>
      <c r="AJ277" s="727"/>
      <c r="AK277" s="727"/>
      <c r="AL277" s="727"/>
      <c r="AM277" s="727"/>
      <c r="AN277" s="727"/>
      <c r="AO277" s="727"/>
      <c r="AP277" s="727"/>
      <c r="AQ277" s="729"/>
      <c r="AR277" s="729"/>
      <c r="AS277" s="729"/>
      <c r="AT277" s="729"/>
      <c r="AU277" s="729"/>
      <c r="AV277" s="729"/>
      <c r="AW277" s="729"/>
      <c r="AX277" s="729"/>
      <c r="AY277" s="729"/>
      <c r="AZ277" s="729"/>
      <c r="BA277" s="729"/>
      <c r="BB277" s="729"/>
      <c r="BC277" s="729"/>
      <c r="BD277" s="729"/>
      <c r="BE277" s="729"/>
      <c r="BF277" s="729"/>
      <c r="BG277" s="729"/>
      <c r="BH277" s="729"/>
      <c r="BI277" s="729"/>
      <c r="BJ277" s="729"/>
      <c r="BK277" s="729"/>
      <c r="BL277" s="729"/>
      <c r="BM277" s="729"/>
      <c r="BN277" s="729"/>
      <c r="BO277" s="729"/>
      <c r="BP277" s="729"/>
      <c r="BQ277" s="19">
        <f t="shared" ca="1" si="10"/>
        <v>0</v>
      </c>
    </row>
    <row r="278" spans="1:74" ht="26">
      <c r="A278" s="542">
        <f ca="1">SUBTOTAL(9,$BQ$9:BQ278)</f>
        <v>117</v>
      </c>
      <c r="B278" s="543" t="str">
        <f ca="1">IF(BS278&lt;&gt;"",IF(MID(BS278,1,4)="АОСР",CONCATENATE("Акт освидетельствования скрытых работ '",VLOOKUP(BS278,'АКТЫ скрытых работ'!A:O,3,FALSE),"'"),CONCATENATE("Акт освидетельствования ответственных конструкций '",VLOOKUP(BS278,'АКТЫ скрытых работ'!A:O,3,FALSE),"'")),0)</f>
        <v>Акт освидетельствования скрытых работ 'Разработка грунта траншеи'</v>
      </c>
      <c r="C278" s="727" t="str">
        <f ca="1">CONCATENATE("№",VLOOKUP(BS278,'АКТЫ скрытых работ'!A:O,2,FALSE))</f>
        <v>№1-КЗ_КК_6</v>
      </c>
      <c r="D278" s="727"/>
      <c r="E278" s="727"/>
      <c r="F278" s="727"/>
      <c r="G278" s="727"/>
      <c r="H278" s="727"/>
      <c r="I278" s="727"/>
      <c r="J278" s="727"/>
      <c r="K278" s="727"/>
      <c r="L278" s="727"/>
      <c r="M278" s="727"/>
      <c r="N278" s="727"/>
      <c r="O278" s="727"/>
      <c r="P278" s="727"/>
      <c r="Q278" s="727"/>
      <c r="R278" s="727"/>
      <c r="S278" s="727"/>
      <c r="T278" s="727"/>
      <c r="U278" s="727"/>
      <c r="V278" s="727"/>
      <c r="W278" s="727"/>
      <c r="X278" s="727"/>
      <c r="Y278" s="727"/>
      <c r="Z278" s="727">
        <f ca="1">IF(BS278="АООК_",0,1)</f>
        <v>1</v>
      </c>
      <c r="AA278" s="727"/>
      <c r="AB278" s="727"/>
      <c r="AC278" s="727"/>
      <c r="AD278" s="727"/>
      <c r="AE278" s="727"/>
      <c r="AF278" s="727"/>
      <c r="AG278" s="727"/>
      <c r="AH278" s="727"/>
      <c r="AI278" s="727"/>
      <c r="AJ278" s="727"/>
      <c r="AK278" s="727"/>
      <c r="AL278" s="727"/>
      <c r="AM278" s="727"/>
      <c r="AN278" s="727"/>
      <c r="AO278" s="727"/>
      <c r="AP278" s="727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9"/>
      <c r="BL278" s="729"/>
      <c r="BM278" s="729"/>
      <c r="BN278" s="729"/>
      <c r="BO278" s="729"/>
      <c r="BP278" s="729"/>
      <c r="BQ278" s="19">
        <f t="shared" ca="1" si="10"/>
        <v>1</v>
      </c>
      <c r="BS278" s="569" t="str">
        <f ca="1">IF(INDIRECT("'АКТЫ скрытых работ'!R"&amp;BU278&amp;"C1",0)=CONCATENATE("АОСР_",BT278),CONCATENATE("АОСР_",BT278),CONCATENATE("АООК_",BT278))</f>
        <v>АОСР_34</v>
      </c>
      <c r="BT278" s="569">
        <v>34</v>
      </c>
      <c r="BU278" s="570">
        <f>BT278+1</f>
        <v>35</v>
      </c>
    </row>
    <row r="279" spans="1:74" ht="26">
      <c r="A279" s="542">
        <f ca="1">SUBTOTAL(9,$BQ$9:BQ279)</f>
        <v>118</v>
      </c>
      <c r="B279" s="545" t="str">
        <f ca="1">IF(IFERROR(SEARCH("; ",VLOOKUP(BS278,'АКТЫ скрытых работ'!A:O,11,FALSE),1),0)=0,VLOOKUP(BS278,'АКТЫ скрытых работ'!A:O,11,FALSE),LEFT(VLOOKUP(BS278,'АКТЫ скрытых работ'!A:O,11,FALSE),SEARCH(";",VLOOKUP(BS278,'АКТЫ скрытых работ'!A:O,11,FALSE))-1))</f>
        <v>Исполнительная схема №1 Монтаж контура заземления КК-0,4кВ</v>
      </c>
      <c r="C279" s="730" t="str">
        <f ca="1">IF(B279="Контрольно-исполнительная съемка","б/н",MID(B279,SEARCH("№",B279,1),SEARCH(" ",B279,SEARCH("№",B279,1))-SEARCH("№",B279,1)))</f>
        <v>№1</v>
      </c>
      <c r="D279" s="731"/>
      <c r="E279" s="731"/>
      <c r="F279" s="731"/>
      <c r="G279" s="731"/>
      <c r="H279" s="731"/>
      <c r="I279" s="731"/>
      <c r="J279" s="731"/>
      <c r="K279" s="731"/>
      <c r="L279" s="731"/>
      <c r="M279" s="731"/>
      <c r="N279" s="731"/>
      <c r="O279" s="731"/>
      <c r="P279" s="731"/>
      <c r="Q279" s="731"/>
      <c r="R279" s="731"/>
      <c r="S279" s="731"/>
      <c r="T279" s="731"/>
      <c r="U279" s="731"/>
      <c r="V279" s="731"/>
      <c r="W279" s="731"/>
      <c r="X279" s="731"/>
      <c r="Y279" s="732"/>
      <c r="Z279" s="727">
        <f ca="1">IFERROR(IF(OR(IFERROR(B279,0)=0,B279="-"),0,1),0)</f>
        <v>1</v>
      </c>
      <c r="AA279" s="727"/>
      <c r="AB279" s="727"/>
      <c r="AC279" s="727"/>
      <c r="AD279" s="727"/>
      <c r="AE279" s="727"/>
      <c r="AF279" s="727"/>
      <c r="AG279" s="727"/>
      <c r="AH279" s="727"/>
      <c r="AI279" s="727"/>
      <c r="AJ279" s="727"/>
      <c r="AK279" s="727"/>
      <c r="AL279" s="727"/>
      <c r="AM279" s="727"/>
      <c r="AN279" s="727"/>
      <c r="AO279" s="727"/>
      <c r="AP279" s="727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729"/>
      <c r="BL279" s="729"/>
      <c r="BM279" s="729"/>
      <c r="BN279" s="729"/>
      <c r="BO279" s="729"/>
      <c r="BP279" s="729"/>
      <c r="BQ279" s="19">
        <f t="shared" ca="1" si="10"/>
        <v>1</v>
      </c>
    </row>
    <row r="280" spans="1:74" hidden="1">
      <c r="A280" s="542">
        <f ca="1">SUBTOTAL(9,$BQ$9:BQ280)</f>
        <v>118</v>
      </c>
      <c r="B280" s="543" t="str">
        <f ca="1">IF(IFERROR(SEARCH(";",VLOOKUP(BS278,'АКТЫ скрытых работ'!A:O,11,FALSE),LEN(B279)+2),0)&lt;&gt;0,MID(VLOOKUP(BS278,'АКТЫ скрытых работ'!A:O,11,FALSE),LEN(B279)+3,SEARCH(";",VLOOKUP(BS278,'АКТЫ скрытых работ'!A:O,11,FALSE),LEN(B279)+3)-LEN(B279)-3),MID(VLOOKUP(BS278,'АКТЫ скрытых работ'!A:O,11,FALSE),LEN(B279)+3,LEN(VLOOKUP(BS278,'АКТЫ скрытых работ'!A:O,11,FALSE))))</f>
        <v/>
      </c>
      <c r="C280" s="730" t="e">
        <f ca="1">IF(B280="Контрольно-исполнительная съемка","б/н",MID(B280,SEARCH("№",B280,1),SEARCH(" ",B280,SEARCH("№",B280,1))-SEARCH("№",B280,1)))</f>
        <v>#VALUE!</v>
      </c>
      <c r="D280" s="731"/>
      <c r="E280" s="731"/>
      <c r="F280" s="731"/>
      <c r="G280" s="731"/>
      <c r="H280" s="731"/>
      <c r="I280" s="731"/>
      <c r="J280" s="731"/>
      <c r="K280" s="731"/>
      <c r="L280" s="731"/>
      <c r="M280" s="731"/>
      <c r="N280" s="731"/>
      <c r="O280" s="731"/>
      <c r="P280" s="731"/>
      <c r="Q280" s="731"/>
      <c r="R280" s="731"/>
      <c r="S280" s="731"/>
      <c r="T280" s="731"/>
      <c r="U280" s="731"/>
      <c r="V280" s="731"/>
      <c r="W280" s="731"/>
      <c r="X280" s="731"/>
      <c r="Y280" s="732"/>
      <c r="Z280" s="727">
        <f ca="1">IFERROR(IF(OR(IFERROR(B280,0)=0,B280=""),0,1),0)</f>
        <v>0</v>
      </c>
      <c r="AA280" s="727"/>
      <c r="AB280" s="727"/>
      <c r="AC280" s="727"/>
      <c r="AD280" s="727"/>
      <c r="AE280" s="727"/>
      <c r="AF280" s="727"/>
      <c r="AG280" s="727"/>
      <c r="AH280" s="727"/>
      <c r="AI280" s="727"/>
      <c r="AJ280" s="727"/>
      <c r="AK280" s="727"/>
      <c r="AL280" s="727"/>
      <c r="AM280" s="727"/>
      <c r="AN280" s="727"/>
      <c r="AO280" s="727"/>
      <c r="AP280" s="727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729"/>
      <c r="BL280" s="729"/>
      <c r="BM280" s="729"/>
      <c r="BN280" s="729"/>
      <c r="BO280" s="729"/>
      <c r="BP280" s="729"/>
      <c r="BQ280" s="19">
        <f t="shared" ca="1" si="10"/>
        <v>0</v>
      </c>
    </row>
    <row r="281" spans="1:74" hidden="1">
      <c r="A281" s="542">
        <f ca="1">SUBTOTAL(9,$BQ$9:BQ281)</f>
        <v>118</v>
      </c>
      <c r="B281" s="543" t="str">
        <f ca="1">IF(IFERROR(SEARCH(";",VLOOKUP(BS278,'АКТЫ скрытых работ'!A:O,11,FALSE),SUM(LEN(B279),LEN(B280))+4),0)&lt;&gt;0,MID(VLOOKUP(BS278,'АКТЫ скрытых работ'!A:O,11,FALSE),SUM(LEN(B279),LEN(B280))+5,SEARCH(";",VLOOKUP(BS278,'АКТЫ скрытых работ'!A:O,11,FALSE),SUM(LEN(B279),LEN(B280))+4)-SUM(LEN(B279),LEN(B280))-5),MID(VLOOKUP(BS278,'АКТЫ скрытых работ'!A:O,11,FALSE),SUM(LEN(B279),LEN(B280))+5,LEN(VLOOKUP(BS278,'АКТЫ скрытых работ'!A:O,11,FALSE))))</f>
        <v/>
      </c>
      <c r="C281" s="730" t="e">
        <f ca="1">IF(B281="Контрольно-исполнительная съемка","б/н",MID(B281,SEARCH("№",B281,1),SEARCH(" ",B281,SEARCH("№",B281,1))-SEARCH("№",B281,1)))</f>
        <v>#VALUE!</v>
      </c>
      <c r="D281" s="731"/>
      <c r="E281" s="731"/>
      <c r="F281" s="731"/>
      <c r="G281" s="731"/>
      <c r="H281" s="731"/>
      <c r="I281" s="731"/>
      <c r="J281" s="731"/>
      <c r="K281" s="731"/>
      <c r="L281" s="731"/>
      <c r="M281" s="731"/>
      <c r="N281" s="731"/>
      <c r="O281" s="731"/>
      <c r="P281" s="731"/>
      <c r="Q281" s="731"/>
      <c r="R281" s="731"/>
      <c r="S281" s="731"/>
      <c r="T281" s="731"/>
      <c r="U281" s="731"/>
      <c r="V281" s="731"/>
      <c r="W281" s="731"/>
      <c r="X281" s="731"/>
      <c r="Y281" s="732"/>
      <c r="Z281" s="727">
        <f ca="1">IFERROR(IF(OR(IFERROR(B281,0)=0,B281=""),0,1),0)</f>
        <v>0</v>
      </c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729"/>
      <c r="BL281" s="729"/>
      <c r="BM281" s="729"/>
      <c r="BN281" s="729"/>
      <c r="BO281" s="729"/>
      <c r="BP281" s="729"/>
      <c r="BQ281" s="19">
        <f t="shared" ca="1" si="10"/>
        <v>0</v>
      </c>
      <c r="BV281" s="19" t="str">
        <f>MID(BV265,1,LEN(BV265))</f>
        <v/>
      </c>
    </row>
    <row r="282" spans="1:74" hidden="1">
      <c r="A282" s="542">
        <f ca="1">SUBTOTAL(9,$BQ$9:BQ282)</f>
        <v>118</v>
      </c>
      <c r="B282" s="543" t="str">
        <f ca="1">IF(IFERROR(SEARCH(";",VLOOKUP(BS278,'АКТЫ скрытых работ'!A:O,11,FALSE),SUM(LEN(B279),LEN(B280),LEN(B281))+8),0)&lt;&gt;0,MID(VLOOKUP(BS278,'АКТЫ скрытых работ'!A:O,11,FALSE),SUM(LEN(B279),LEN(B280),LEN(B281))+4,SEARCH(";",VLOOKUP(BS278,'АКТЫ скрытых работ'!A:O,11,FALSE),SUM(LEN(B279),LEN(B280),LEN(B281))+4)-SUM(LEN(B279),LEN(B280),LEN(B281))-6),MID(VLOOKUP(BS278,'АКТЫ скрытых работ'!A:O,11,FALSE),SUM(LEN(B279),LEN(B280),LEN(B281))+7,LEN(VLOOKUP(BS278,'АКТЫ скрытых работ'!A:O,11,FALSE))))</f>
        <v/>
      </c>
      <c r="C282" s="730" t="e">
        <f ca="1">IF(B282="Контрольно-исполнительная съемка","б/н",MID(B282,SEARCH("№",B282,1),SEARCH(" ",B282,SEARCH("№",B282,1))-SEARCH("№",B282,1)))</f>
        <v>#VALUE!</v>
      </c>
      <c r="D282" s="731"/>
      <c r="E282" s="731"/>
      <c r="F282" s="731"/>
      <c r="G282" s="731"/>
      <c r="H282" s="731"/>
      <c r="I282" s="731"/>
      <c r="J282" s="731"/>
      <c r="K282" s="731"/>
      <c r="L282" s="731"/>
      <c r="M282" s="731"/>
      <c r="N282" s="731"/>
      <c r="O282" s="731"/>
      <c r="P282" s="731"/>
      <c r="Q282" s="731"/>
      <c r="R282" s="731"/>
      <c r="S282" s="731"/>
      <c r="T282" s="731"/>
      <c r="U282" s="731"/>
      <c r="V282" s="731"/>
      <c r="W282" s="731"/>
      <c r="X282" s="731"/>
      <c r="Y282" s="732"/>
      <c r="Z282" s="727">
        <f ca="1">IFERROR(IF(OR(IFERROR(B282,0)=0,B282=""),0,1),0)</f>
        <v>0</v>
      </c>
      <c r="AA282" s="727"/>
      <c r="AB282" s="727"/>
      <c r="AC282" s="727"/>
      <c r="AD282" s="727"/>
      <c r="AE282" s="727"/>
      <c r="AF282" s="727"/>
      <c r="AG282" s="727"/>
      <c r="AH282" s="727"/>
      <c r="AI282" s="727"/>
      <c r="AJ282" s="727"/>
      <c r="AK282" s="727"/>
      <c r="AL282" s="727"/>
      <c r="AM282" s="727"/>
      <c r="AN282" s="727"/>
      <c r="AO282" s="727"/>
      <c r="AP282" s="727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9"/>
      <c r="BL282" s="729"/>
      <c r="BM282" s="729"/>
      <c r="BN282" s="729"/>
      <c r="BO282" s="729"/>
      <c r="BP282" s="729"/>
      <c r="BQ282" s="19">
        <f t="shared" ca="1" si="10"/>
        <v>0</v>
      </c>
    </row>
    <row r="283" spans="1:74" hidden="1">
      <c r="A283" s="542">
        <f ca="1">SUBTOTAL(9,$BQ$9:BQ283)</f>
        <v>118</v>
      </c>
      <c r="B283" s="543" t="str">
        <f ca="1">VLOOKUP(BS278,'АКТЫ скрытых работ'!A:O,14,FALSE)</f>
        <v>-</v>
      </c>
      <c r="C283" s="727" t="str">
        <f ca="1">IF(B283&lt;&gt;"-","б/н","")</f>
        <v/>
      </c>
      <c r="D283" s="727"/>
      <c r="E283" s="727"/>
      <c r="F283" s="727"/>
      <c r="G283" s="727"/>
      <c r="H283" s="727"/>
      <c r="I283" s="727"/>
      <c r="J283" s="727"/>
      <c r="K283" s="727"/>
      <c r="L283" s="727"/>
      <c r="M283" s="727"/>
      <c r="N283" s="727"/>
      <c r="O283" s="727"/>
      <c r="P283" s="727"/>
      <c r="Q283" s="727"/>
      <c r="R283" s="727"/>
      <c r="S283" s="727"/>
      <c r="T283" s="727"/>
      <c r="U283" s="727"/>
      <c r="V283" s="727"/>
      <c r="W283" s="727"/>
      <c r="X283" s="727"/>
      <c r="Y283" s="727"/>
      <c r="Z283" s="727">
        <f ca="1">IFERROR(IF(OR(IFERROR(B283,0)=0,B283="-"),0,"1 компл"),0)</f>
        <v>0</v>
      </c>
      <c r="AA283" s="727"/>
      <c r="AB283" s="727"/>
      <c r="AC283" s="727"/>
      <c r="AD283" s="727"/>
      <c r="AE283" s="727"/>
      <c r="AF283" s="727"/>
      <c r="AG283" s="727"/>
      <c r="AH283" s="727"/>
      <c r="AI283" s="727"/>
      <c r="AJ283" s="727"/>
      <c r="AK283" s="727"/>
      <c r="AL283" s="727"/>
      <c r="AM283" s="727"/>
      <c r="AN283" s="727"/>
      <c r="AO283" s="727"/>
      <c r="AP283" s="727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729"/>
      <c r="BL283" s="729"/>
      <c r="BM283" s="729"/>
      <c r="BN283" s="729"/>
      <c r="BO283" s="729"/>
      <c r="BP283" s="729"/>
      <c r="BQ283" s="19">
        <f t="shared" ca="1" si="10"/>
        <v>0</v>
      </c>
    </row>
    <row r="284" spans="1:74" ht="26">
      <c r="A284" s="542">
        <f ca="1">SUBTOTAL(9,$BQ$9:BQ284)</f>
        <v>119</v>
      </c>
      <c r="B284" s="543" t="str">
        <f ca="1">IF(BS284&lt;&gt;"",IF(MID(BS284,1,4)="АОСР",CONCATENATE("Акт освидетельствования скрытых работ '",VLOOKUP(BS284,'АКТЫ скрытых работ'!A:O,3,FALSE),"'"),CONCATENATE("Акт освидетельствования ответственных конструкций '",VLOOKUP(BS284,'АКТЫ скрытых работ'!A:O,3,FALSE),"'")),0)</f>
        <v>Акт освидетельствования скрытых работ 'Монтаж вертикальных электродов контура заземления'</v>
      </c>
      <c r="C284" s="727" t="str">
        <f ca="1">CONCATENATE("№",VLOOKUP(BS284,'АКТЫ скрытых работ'!A:O,2,FALSE))</f>
        <v>№2-КЗ_КК_6</v>
      </c>
      <c r="D284" s="727"/>
      <c r="E284" s="727"/>
      <c r="F284" s="727"/>
      <c r="G284" s="727"/>
      <c r="H284" s="727"/>
      <c r="I284" s="727"/>
      <c r="J284" s="727"/>
      <c r="K284" s="727"/>
      <c r="L284" s="727"/>
      <c r="M284" s="727"/>
      <c r="N284" s="727"/>
      <c r="O284" s="727"/>
      <c r="P284" s="727"/>
      <c r="Q284" s="727"/>
      <c r="R284" s="727"/>
      <c r="S284" s="727"/>
      <c r="T284" s="727"/>
      <c r="U284" s="727"/>
      <c r="V284" s="727"/>
      <c r="W284" s="727"/>
      <c r="X284" s="727"/>
      <c r="Y284" s="727"/>
      <c r="Z284" s="727">
        <f ca="1">IF(BS284="АООК_",0,1)</f>
        <v>1</v>
      </c>
      <c r="AA284" s="727"/>
      <c r="AB284" s="727"/>
      <c r="AC284" s="727"/>
      <c r="AD284" s="727"/>
      <c r="AE284" s="727"/>
      <c r="AF284" s="727"/>
      <c r="AG284" s="727"/>
      <c r="AH284" s="727"/>
      <c r="AI284" s="727"/>
      <c r="AJ284" s="727"/>
      <c r="AK284" s="727"/>
      <c r="AL284" s="727"/>
      <c r="AM284" s="727"/>
      <c r="AN284" s="727"/>
      <c r="AO284" s="727"/>
      <c r="AP284" s="727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729"/>
      <c r="BL284" s="729"/>
      <c r="BM284" s="729"/>
      <c r="BN284" s="729"/>
      <c r="BO284" s="729"/>
      <c r="BP284" s="729"/>
      <c r="BQ284" s="19">
        <f t="shared" ca="1" si="10"/>
        <v>1</v>
      </c>
      <c r="BS284" s="569" t="str">
        <f ca="1">IF(INDIRECT("'АКТЫ скрытых работ'!R"&amp;BU284&amp;"C1",0)=CONCATENATE("АОСР_",BT284),CONCATENATE("АОСР_",BT284),CONCATENATE("АООК_",BT284))</f>
        <v>АОСР_35</v>
      </c>
      <c r="BT284" s="569">
        <v>35</v>
      </c>
      <c r="BU284" s="570">
        <f>BT284+1</f>
        <v>36</v>
      </c>
    </row>
    <row r="285" spans="1:74" ht="26">
      <c r="A285" s="542">
        <f ca="1">SUBTOTAL(9,$BQ$9:BQ285)</f>
        <v>120</v>
      </c>
      <c r="B285" s="545" t="str">
        <f ca="1">IF(IFERROR(SEARCH("; ",VLOOKUP(BS284,'АКТЫ скрытых работ'!A:O,11,FALSE),1),0)=0,VLOOKUP(BS284,'АКТЫ скрытых работ'!A:O,11,FALSE),LEFT(VLOOKUP(BS284,'АКТЫ скрытых работ'!A:O,11,FALSE),SEARCH(";",VLOOKUP(BS284,'АКТЫ скрытых работ'!A:O,11,FALSE))-1))</f>
        <v>Исполнительная схема №1 Монтаж контура заземления КК-0,4кВ</v>
      </c>
      <c r="C285" s="730" t="str">
        <f ca="1">IF(B285="Контрольно-исполнительная съемка","б/н",MID(B285,SEARCH("№",B285,1),SEARCH(" ",B285,SEARCH("№",B285,1))-SEARCH("№",B285,1)))</f>
        <v>№1</v>
      </c>
      <c r="D285" s="731"/>
      <c r="E285" s="731"/>
      <c r="F285" s="731"/>
      <c r="G285" s="731"/>
      <c r="H285" s="731"/>
      <c r="I285" s="731"/>
      <c r="J285" s="731"/>
      <c r="K285" s="731"/>
      <c r="L285" s="731"/>
      <c r="M285" s="731"/>
      <c r="N285" s="731"/>
      <c r="O285" s="731"/>
      <c r="P285" s="731"/>
      <c r="Q285" s="731"/>
      <c r="R285" s="731"/>
      <c r="S285" s="731"/>
      <c r="T285" s="731"/>
      <c r="U285" s="731"/>
      <c r="V285" s="731"/>
      <c r="W285" s="731"/>
      <c r="X285" s="731"/>
      <c r="Y285" s="732"/>
      <c r="Z285" s="727">
        <f ca="1">IFERROR(IF(OR(IFERROR(B285,0)=0,B285="-"),0,1),0)</f>
        <v>1</v>
      </c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729"/>
      <c r="BL285" s="729"/>
      <c r="BM285" s="729"/>
      <c r="BN285" s="729"/>
      <c r="BO285" s="729"/>
      <c r="BP285" s="729"/>
      <c r="BQ285" s="19">
        <f t="shared" ca="1" si="10"/>
        <v>1</v>
      </c>
    </row>
    <row r="286" spans="1:74" hidden="1">
      <c r="A286" s="542">
        <f ca="1">SUBTOTAL(9,$BQ$9:BQ286)</f>
        <v>120</v>
      </c>
      <c r="B286" s="543" t="str">
        <f ca="1">IF(IFERROR(SEARCH(";",VLOOKUP(BS284,'АКТЫ скрытых работ'!A:O,11,FALSE),LEN(B285)+2),0)&lt;&gt;0,MID(VLOOKUP(BS284,'АКТЫ скрытых работ'!A:O,11,FALSE),LEN(B285)+3,SEARCH(";",VLOOKUP(BS284,'АКТЫ скрытых работ'!A:O,11,FALSE),LEN(B285)+3)-LEN(B285)-3),MID(VLOOKUP(BS284,'АКТЫ скрытых работ'!A:O,11,FALSE),LEN(B285)+3,LEN(VLOOKUP(BS284,'АКТЫ скрытых работ'!A:O,11,FALSE))))</f>
        <v/>
      </c>
      <c r="C286" s="730" t="e">
        <f ca="1">IF(B286="Контрольно-исполнительная съемка","б/н",MID(B286,SEARCH("№",B286,1),SEARCH(" ",B286,SEARCH("№",B286,1))-SEARCH("№",B286,1)))</f>
        <v>#VALUE!</v>
      </c>
      <c r="D286" s="731"/>
      <c r="E286" s="731"/>
      <c r="F286" s="731"/>
      <c r="G286" s="731"/>
      <c r="H286" s="731"/>
      <c r="I286" s="731"/>
      <c r="J286" s="731"/>
      <c r="K286" s="731"/>
      <c r="L286" s="731"/>
      <c r="M286" s="731"/>
      <c r="N286" s="731"/>
      <c r="O286" s="731"/>
      <c r="P286" s="731"/>
      <c r="Q286" s="731"/>
      <c r="R286" s="731"/>
      <c r="S286" s="731"/>
      <c r="T286" s="731"/>
      <c r="U286" s="731"/>
      <c r="V286" s="731"/>
      <c r="W286" s="731"/>
      <c r="X286" s="731"/>
      <c r="Y286" s="732"/>
      <c r="Z286" s="727">
        <f ca="1">IFERROR(IF(OR(IFERROR(B286,0)=0,B286=""),0,1),0)</f>
        <v>0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9"/>
      <c r="BL286" s="729"/>
      <c r="BM286" s="729"/>
      <c r="BN286" s="729"/>
      <c r="BO286" s="729"/>
      <c r="BP286" s="729"/>
      <c r="BQ286" s="19">
        <f t="shared" ca="1" si="10"/>
        <v>0</v>
      </c>
    </row>
    <row r="287" spans="1:74" hidden="1">
      <c r="A287" s="542">
        <f ca="1">SUBTOTAL(9,$BQ$9:BQ287)</f>
        <v>120</v>
      </c>
      <c r="B287" s="543" t="str">
        <f ca="1">IF(IFERROR(SEARCH(";",VLOOKUP(BS284,'АКТЫ скрытых работ'!A:O,11,FALSE),SUM(LEN(B285),LEN(B286))+4),0)&lt;&gt;0,MID(VLOOKUP(BS284,'АКТЫ скрытых работ'!A:O,11,FALSE),SUM(LEN(B285),LEN(B286))+5,SEARCH(";",VLOOKUP(BS284,'АКТЫ скрытых работ'!A:O,11,FALSE),SUM(LEN(B285),LEN(B286))+4)-SUM(LEN(B285),LEN(B286))-5),MID(VLOOKUP(BS284,'АКТЫ скрытых работ'!A:O,11,FALSE),SUM(LEN(B285),LEN(B286))+5,LEN(VLOOKUP(BS284,'АКТЫ скрытых работ'!A:O,11,FALSE))))</f>
        <v/>
      </c>
      <c r="C287" s="730" t="e">
        <f ca="1">IF(B287="Контрольно-исполнительная съемка","б/н",MID(B287,SEARCH("№",B287,1),SEARCH(" ",B287,SEARCH("№",B287,1))-SEARCH("№",B287,1)))</f>
        <v>#VALUE!</v>
      </c>
      <c r="D287" s="731"/>
      <c r="E287" s="731"/>
      <c r="F287" s="731"/>
      <c r="G287" s="731"/>
      <c r="H287" s="731"/>
      <c r="I287" s="731"/>
      <c r="J287" s="731"/>
      <c r="K287" s="731"/>
      <c r="L287" s="731"/>
      <c r="M287" s="731"/>
      <c r="N287" s="731"/>
      <c r="O287" s="731"/>
      <c r="P287" s="731"/>
      <c r="Q287" s="731"/>
      <c r="R287" s="731"/>
      <c r="S287" s="731"/>
      <c r="T287" s="731"/>
      <c r="U287" s="731"/>
      <c r="V287" s="731"/>
      <c r="W287" s="731"/>
      <c r="X287" s="731"/>
      <c r="Y287" s="732"/>
      <c r="Z287" s="727">
        <f ca="1">IFERROR(IF(OR(IFERROR(B287,0)=0,B287=""),0,1),0)</f>
        <v>0</v>
      </c>
      <c r="AA287" s="727"/>
      <c r="AB287" s="727"/>
      <c r="AC287" s="727"/>
      <c r="AD287" s="727"/>
      <c r="AE287" s="727"/>
      <c r="AF287" s="727"/>
      <c r="AG287" s="727"/>
      <c r="AH287" s="727"/>
      <c r="AI287" s="727"/>
      <c r="AJ287" s="727"/>
      <c r="AK287" s="727"/>
      <c r="AL287" s="727"/>
      <c r="AM287" s="727"/>
      <c r="AN287" s="727"/>
      <c r="AO287" s="727"/>
      <c r="AP287" s="727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729"/>
      <c r="BL287" s="729"/>
      <c r="BM287" s="729"/>
      <c r="BN287" s="729"/>
      <c r="BO287" s="729"/>
      <c r="BP287" s="729"/>
      <c r="BQ287" s="19">
        <f t="shared" ca="1" si="10"/>
        <v>0</v>
      </c>
      <c r="BV287" s="19" t="str">
        <f>MID(BV271,1,LEN(BV271))</f>
        <v/>
      </c>
    </row>
    <row r="288" spans="1:74" hidden="1">
      <c r="A288" s="542">
        <f ca="1">SUBTOTAL(9,$BQ$9:BQ288)</f>
        <v>120</v>
      </c>
      <c r="B288" s="543" t="str">
        <f ca="1">IF(IFERROR(SEARCH(";",VLOOKUP(BS284,'АКТЫ скрытых работ'!A:O,11,FALSE),SUM(LEN(B285),LEN(B286),LEN(B287))+8),0)&lt;&gt;0,MID(VLOOKUP(BS284,'АКТЫ скрытых работ'!A:O,11,FALSE),SUM(LEN(B285),LEN(B286),LEN(B287))+4,SEARCH(";",VLOOKUP(BS284,'АКТЫ скрытых работ'!A:O,11,FALSE),SUM(LEN(B285),LEN(B286),LEN(B287))+4)-SUM(LEN(B285),LEN(B286),LEN(B287))-6),MID(VLOOKUP(BS284,'АКТЫ скрытых работ'!A:O,11,FALSE),SUM(LEN(B285),LEN(B286),LEN(B287))+7,LEN(VLOOKUP(BS284,'АКТЫ скрытых работ'!A:O,11,FALSE))))</f>
        <v/>
      </c>
      <c r="C288" s="730" t="e">
        <f ca="1">IF(B288="Контрольно-исполнительная съемка","б/н",MID(B288,SEARCH("№",B288,1),SEARCH(" ",B288,SEARCH("№",B288,1))-SEARCH("№",B288,1)))</f>
        <v>#VALUE!</v>
      </c>
      <c r="D288" s="731"/>
      <c r="E288" s="731"/>
      <c r="F288" s="731"/>
      <c r="G288" s="731"/>
      <c r="H288" s="731"/>
      <c r="I288" s="731"/>
      <c r="J288" s="731"/>
      <c r="K288" s="731"/>
      <c r="L288" s="731"/>
      <c r="M288" s="731"/>
      <c r="N288" s="731"/>
      <c r="O288" s="731"/>
      <c r="P288" s="731"/>
      <c r="Q288" s="731"/>
      <c r="R288" s="731"/>
      <c r="S288" s="731"/>
      <c r="T288" s="731"/>
      <c r="U288" s="731"/>
      <c r="V288" s="731"/>
      <c r="W288" s="731"/>
      <c r="X288" s="731"/>
      <c r="Y288" s="732"/>
      <c r="Z288" s="727">
        <f ca="1">IFERROR(IF(OR(IFERROR(B288,0)=0,B288=""),0,1),0)</f>
        <v>0</v>
      </c>
      <c r="AA288" s="727"/>
      <c r="AB288" s="727"/>
      <c r="AC288" s="727"/>
      <c r="AD288" s="727"/>
      <c r="AE288" s="727"/>
      <c r="AF288" s="727"/>
      <c r="AG288" s="727"/>
      <c r="AH288" s="727"/>
      <c r="AI288" s="727"/>
      <c r="AJ288" s="727"/>
      <c r="AK288" s="727"/>
      <c r="AL288" s="727"/>
      <c r="AM288" s="727"/>
      <c r="AN288" s="727"/>
      <c r="AO288" s="727"/>
      <c r="AP288" s="727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729"/>
      <c r="BL288" s="729"/>
      <c r="BM288" s="729"/>
      <c r="BN288" s="729"/>
      <c r="BO288" s="729"/>
      <c r="BP288" s="729"/>
      <c r="BQ288" s="19">
        <f t="shared" ca="1" si="10"/>
        <v>0</v>
      </c>
    </row>
    <row r="289" spans="1:74" ht="39">
      <c r="A289" s="542">
        <f ca="1">SUBTOTAL(9,$BQ$9:BQ289)</f>
        <v>121</v>
      </c>
      <c r="B289" s="543" t="str">
        <f ca="1">VLOOKUP(BS284,'АКТЫ скрытых работ'!A:O,14,FALSE)</f>
        <v>Информационное письмо №1157 от 26.10.2016 "Центр Декларирования Сертификации" (ООО "ЦДС)"</v>
      </c>
      <c r="C289" s="727" t="str">
        <f ca="1">IF(B289&lt;&gt;"-","б/н","")</f>
        <v>б/н</v>
      </c>
      <c r="D289" s="727"/>
      <c r="E289" s="727"/>
      <c r="F289" s="727"/>
      <c r="G289" s="727"/>
      <c r="H289" s="727"/>
      <c r="I289" s="727"/>
      <c r="J289" s="727"/>
      <c r="K289" s="727"/>
      <c r="L289" s="727"/>
      <c r="M289" s="727"/>
      <c r="N289" s="727"/>
      <c r="O289" s="727"/>
      <c r="P289" s="727"/>
      <c r="Q289" s="727"/>
      <c r="R289" s="727"/>
      <c r="S289" s="727"/>
      <c r="T289" s="727"/>
      <c r="U289" s="727"/>
      <c r="V289" s="727"/>
      <c r="W289" s="727"/>
      <c r="X289" s="727"/>
      <c r="Y289" s="727"/>
      <c r="Z289" s="727" t="str">
        <f ca="1">IFERROR(IF(OR(IFERROR(B289,0)=0,B289="-"),0,"1 компл"),0)</f>
        <v>1 компл</v>
      </c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729"/>
      <c r="BL289" s="729"/>
      <c r="BM289" s="729"/>
      <c r="BN289" s="729"/>
      <c r="BO289" s="729"/>
      <c r="BP289" s="729"/>
      <c r="BQ289" s="19">
        <f t="shared" ca="1" si="10"/>
        <v>1</v>
      </c>
    </row>
    <row r="290" spans="1:74" ht="26">
      <c r="A290" s="542">
        <f ca="1">SUBTOTAL(9,$BQ$9:BQ290)</f>
        <v>122</v>
      </c>
      <c r="B290" s="543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'Монтаж горизонтального заземлителя'</v>
      </c>
      <c r="C290" s="727" t="str">
        <f ca="1">CONCATENATE("№",VLOOKUP(BS290,'АКТЫ скрытых работ'!A:O,2,FALSE))</f>
        <v>№3-КЗ_КК_6</v>
      </c>
      <c r="D290" s="727"/>
      <c r="E290" s="727"/>
      <c r="F290" s="727"/>
      <c r="G290" s="727"/>
      <c r="H290" s="727"/>
      <c r="I290" s="727"/>
      <c r="J290" s="727"/>
      <c r="K290" s="727"/>
      <c r="L290" s="727"/>
      <c r="M290" s="727"/>
      <c r="N290" s="727"/>
      <c r="O290" s="727"/>
      <c r="P290" s="727"/>
      <c r="Q290" s="727"/>
      <c r="R290" s="727"/>
      <c r="S290" s="727"/>
      <c r="T290" s="727"/>
      <c r="U290" s="727"/>
      <c r="V290" s="727"/>
      <c r="W290" s="727"/>
      <c r="X290" s="727"/>
      <c r="Y290" s="727"/>
      <c r="Z290" s="727">
        <f ca="1">IF(BS290="АООК_",0,1)</f>
        <v>1</v>
      </c>
      <c r="AA290" s="727"/>
      <c r="AB290" s="727"/>
      <c r="AC290" s="727"/>
      <c r="AD290" s="727"/>
      <c r="AE290" s="727"/>
      <c r="AF290" s="727"/>
      <c r="AG290" s="727"/>
      <c r="AH290" s="727"/>
      <c r="AI290" s="727"/>
      <c r="AJ290" s="727"/>
      <c r="AK290" s="727"/>
      <c r="AL290" s="727"/>
      <c r="AM290" s="727"/>
      <c r="AN290" s="727"/>
      <c r="AO290" s="727"/>
      <c r="AP290" s="727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9"/>
      <c r="BL290" s="729"/>
      <c r="BM290" s="729"/>
      <c r="BN290" s="729"/>
      <c r="BO290" s="729"/>
      <c r="BP290" s="729"/>
      <c r="BQ290" s="19">
        <f t="shared" ca="1" si="10"/>
        <v>1</v>
      </c>
      <c r="BS290" s="569" t="str">
        <f ca="1">IF(INDIRECT("'АКТЫ скрытых работ'!R"&amp;BU290&amp;"C1",0)=CONCATENATE("АОСР_",BT290),CONCATENATE("АОСР_",BT290),CONCATENATE("АООК_",BT290))</f>
        <v>АОСР_36</v>
      </c>
      <c r="BT290" s="569">
        <v>36</v>
      </c>
      <c r="BU290" s="570">
        <f>BT290+1</f>
        <v>37</v>
      </c>
    </row>
    <row r="291" spans="1:74" ht="26">
      <c r="A291" s="542">
        <f ca="1">SUBTOTAL(9,$BQ$9:BQ291)</f>
        <v>123</v>
      </c>
      <c r="B291" s="545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Исполнительная схема №1 Монтаж контура заземления КК-0,4кВ</v>
      </c>
      <c r="C291" s="730" t="str">
        <f ca="1">IF(B291="Контрольно-исполнительная съемка","б/н",MID(B291,SEARCH("№",B291,1),SEARCH(" ",B291,SEARCH("№",B291,1))-SEARCH("№",B291,1)))</f>
        <v>№1</v>
      </c>
      <c r="D291" s="731"/>
      <c r="E291" s="731"/>
      <c r="F291" s="731"/>
      <c r="G291" s="731"/>
      <c r="H291" s="731"/>
      <c r="I291" s="731"/>
      <c r="J291" s="731"/>
      <c r="K291" s="731"/>
      <c r="L291" s="731"/>
      <c r="M291" s="731"/>
      <c r="N291" s="731"/>
      <c r="O291" s="731"/>
      <c r="P291" s="731"/>
      <c r="Q291" s="731"/>
      <c r="R291" s="731"/>
      <c r="S291" s="731"/>
      <c r="T291" s="731"/>
      <c r="U291" s="731"/>
      <c r="V291" s="731"/>
      <c r="W291" s="731"/>
      <c r="X291" s="731"/>
      <c r="Y291" s="732"/>
      <c r="Z291" s="727">
        <f ca="1">IFERROR(IF(OR(IFERROR(B291,0)=0,B291="-"),0,1),0)</f>
        <v>1</v>
      </c>
      <c r="AA291" s="727"/>
      <c r="AB291" s="727"/>
      <c r="AC291" s="727"/>
      <c r="AD291" s="727"/>
      <c r="AE291" s="727"/>
      <c r="AF291" s="727"/>
      <c r="AG291" s="727"/>
      <c r="AH291" s="727"/>
      <c r="AI291" s="727"/>
      <c r="AJ291" s="727"/>
      <c r="AK291" s="727"/>
      <c r="AL291" s="727"/>
      <c r="AM291" s="727"/>
      <c r="AN291" s="727"/>
      <c r="AO291" s="727"/>
      <c r="AP291" s="727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729"/>
      <c r="BL291" s="729"/>
      <c r="BM291" s="729"/>
      <c r="BN291" s="729"/>
      <c r="BO291" s="729"/>
      <c r="BP291" s="729"/>
      <c r="BQ291" s="19">
        <f t="shared" ca="1" si="10"/>
        <v>1</v>
      </c>
    </row>
    <row r="292" spans="1:74" hidden="1">
      <c r="A292" s="542">
        <f ca="1">SUBTOTAL(9,$BQ$9:BQ292)</f>
        <v>123</v>
      </c>
      <c r="B292" s="543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/>
      </c>
      <c r="C292" s="730" t="e">
        <f ca="1">IF(B292="Контрольно-исполнительная съемка","б/н",MID(B292,SEARCH("№",B292,1),SEARCH(" ",B292,SEARCH("№",B292,1))-SEARCH("№",B292,1)))</f>
        <v>#VALUE!</v>
      </c>
      <c r="D292" s="731"/>
      <c r="E292" s="731"/>
      <c r="F292" s="731"/>
      <c r="G292" s="731"/>
      <c r="H292" s="731"/>
      <c r="I292" s="731"/>
      <c r="J292" s="731"/>
      <c r="K292" s="731"/>
      <c r="L292" s="731"/>
      <c r="M292" s="731"/>
      <c r="N292" s="731"/>
      <c r="O292" s="731"/>
      <c r="P292" s="731"/>
      <c r="Q292" s="731"/>
      <c r="R292" s="731"/>
      <c r="S292" s="731"/>
      <c r="T292" s="731"/>
      <c r="U292" s="731"/>
      <c r="V292" s="731"/>
      <c r="W292" s="731"/>
      <c r="X292" s="731"/>
      <c r="Y292" s="732"/>
      <c r="Z292" s="727">
        <f ca="1">IFERROR(IF(OR(IFERROR(B292,0)=0,B292=""),0,1),0)</f>
        <v>0</v>
      </c>
      <c r="AA292" s="727"/>
      <c r="AB292" s="727"/>
      <c r="AC292" s="727"/>
      <c r="AD292" s="727"/>
      <c r="AE292" s="727"/>
      <c r="AF292" s="727"/>
      <c r="AG292" s="727"/>
      <c r="AH292" s="727"/>
      <c r="AI292" s="727"/>
      <c r="AJ292" s="727"/>
      <c r="AK292" s="727"/>
      <c r="AL292" s="727"/>
      <c r="AM292" s="727"/>
      <c r="AN292" s="727"/>
      <c r="AO292" s="727"/>
      <c r="AP292" s="727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729"/>
      <c r="BL292" s="729"/>
      <c r="BM292" s="729"/>
      <c r="BN292" s="729"/>
      <c r="BO292" s="729"/>
      <c r="BP292" s="729"/>
      <c r="BQ292" s="19">
        <f t="shared" ca="1" si="10"/>
        <v>0</v>
      </c>
    </row>
    <row r="293" spans="1:74" hidden="1">
      <c r="A293" s="542">
        <f ca="1">SUBTOTAL(9,$BQ$9:BQ293)</f>
        <v>123</v>
      </c>
      <c r="B293" s="543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730" t="e">
        <f ca="1">IF(B293="Контрольно-исполнительная съемка","б/н",MID(B293,SEARCH("№",B293,1),SEARCH(" ",B293,SEARCH("№",B293,1))-SEARCH("№",B293,1)))</f>
        <v>#VALUE!</v>
      </c>
      <c r="D293" s="731"/>
      <c r="E293" s="731"/>
      <c r="F293" s="731"/>
      <c r="G293" s="731"/>
      <c r="H293" s="731"/>
      <c r="I293" s="731"/>
      <c r="J293" s="731"/>
      <c r="K293" s="731"/>
      <c r="L293" s="731"/>
      <c r="M293" s="731"/>
      <c r="N293" s="731"/>
      <c r="O293" s="731"/>
      <c r="P293" s="731"/>
      <c r="Q293" s="731"/>
      <c r="R293" s="731"/>
      <c r="S293" s="731"/>
      <c r="T293" s="731"/>
      <c r="U293" s="731"/>
      <c r="V293" s="731"/>
      <c r="W293" s="731"/>
      <c r="X293" s="731"/>
      <c r="Y293" s="732"/>
      <c r="Z293" s="727">
        <f ca="1">IFERROR(IF(OR(IFERROR(B293,0)=0,B293=""),0,1),0)</f>
        <v>0</v>
      </c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729"/>
      <c r="BL293" s="729"/>
      <c r="BM293" s="729"/>
      <c r="BN293" s="729"/>
      <c r="BO293" s="729"/>
      <c r="BP293" s="729"/>
      <c r="BQ293" s="19">
        <f t="shared" ca="1" si="10"/>
        <v>0</v>
      </c>
      <c r="BV293" s="19" t="str">
        <f>MID(BV277,1,LEN(BV277))</f>
        <v/>
      </c>
    </row>
    <row r="294" spans="1:74" hidden="1">
      <c r="A294" s="542">
        <f ca="1">SUBTOTAL(9,$BQ$9:BQ294)</f>
        <v>123</v>
      </c>
      <c r="B294" s="543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730" t="e">
        <f ca="1">IF(B294="Контрольно-исполнительная съемка","б/н",MID(B294,SEARCH("№",B294,1),SEARCH(" ",B294,SEARCH("№",B294,1))-SEARCH("№",B294,1)))</f>
        <v>#VALUE!</v>
      </c>
      <c r="D294" s="731"/>
      <c r="E294" s="731"/>
      <c r="F294" s="731"/>
      <c r="G294" s="731"/>
      <c r="H294" s="731"/>
      <c r="I294" s="731"/>
      <c r="J294" s="731"/>
      <c r="K294" s="731"/>
      <c r="L294" s="731"/>
      <c r="M294" s="731"/>
      <c r="N294" s="731"/>
      <c r="O294" s="731"/>
      <c r="P294" s="731"/>
      <c r="Q294" s="731"/>
      <c r="R294" s="731"/>
      <c r="S294" s="731"/>
      <c r="T294" s="731"/>
      <c r="U294" s="731"/>
      <c r="V294" s="731"/>
      <c r="W294" s="731"/>
      <c r="X294" s="731"/>
      <c r="Y294" s="732"/>
      <c r="Z294" s="727">
        <f ca="1">IFERROR(IF(OR(IFERROR(B294,0)=0,B294=""),0,1),0)</f>
        <v>0</v>
      </c>
      <c r="AA294" s="727"/>
      <c r="AB294" s="727"/>
      <c r="AC294" s="727"/>
      <c r="AD294" s="727"/>
      <c r="AE294" s="727"/>
      <c r="AF294" s="727"/>
      <c r="AG294" s="727"/>
      <c r="AH294" s="727"/>
      <c r="AI294" s="727"/>
      <c r="AJ294" s="727"/>
      <c r="AK294" s="727"/>
      <c r="AL294" s="727"/>
      <c r="AM294" s="727"/>
      <c r="AN294" s="727"/>
      <c r="AO294" s="727"/>
      <c r="AP294" s="727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9"/>
      <c r="BL294" s="729"/>
      <c r="BM294" s="729"/>
      <c r="BN294" s="729"/>
      <c r="BO294" s="729"/>
      <c r="BP294" s="729"/>
      <c r="BQ294" s="19">
        <f t="shared" ca="1" si="10"/>
        <v>0</v>
      </c>
    </row>
    <row r="295" spans="1:74" ht="52">
      <c r="A295" s="542">
        <f ca="1">SUBTOTAL(9,$BQ$9:BQ295)</f>
        <v>124</v>
      </c>
      <c r="B295" s="543" t="str">
        <f ca="1">VLOOKUP(BS290,'АКТЫ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295" s="727" t="str">
        <f ca="1">IF(B295&lt;&gt;"-","б/н","")</f>
        <v>б/н</v>
      </c>
      <c r="D295" s="727"/>
      <c r="E295" s="727"/>
      <c r="F295" s="727"/>
      <c r="G295" s="727"/>
      <c r="H295" s="727"/>
      <c r="I295" s="727"/>
      <c r="J295" s="727"/>
      <c r="K295" s="727"/>
      <c r="L295" s="727"/>
      <c r="M295" s="727"/>
      <c r="N295" s="727"/>
      <c r="O295" s="727"/>
      <c r="P295" s="727"/>
      <c r="Q295" s="727"/>
      <c r="R295" s="727"/>
      <c r="S295" s="727"/>
      <c r="T295" s="727"/>
      <c r="U295" s="727"/>
      <c r="V295" s="727"/>
      <c r="W295" s="727"/>
      <c r="X295" s="727"/>
      <c r="Y295" s="727"/>
      <c r="Z295" s="727" t="str">
        <f ca="1">IFERROR(IF(OR(IFERROR(B295,0)=0,B295="-"),0,"1 компл"),0)</f>
        <v>1 компл</v>
      </c>
      <c r="AA295" s="727"/>
      <c r="AB295" s="727"/>
      <c r="AC295" s="727"/>
      <c r="AD295" s="727"/>
      <c r="AE295" s="727"/>
      <c r="AF295" s="727"/>
      <c r="AG295" s="727"/>
      <c r="AH295" s="727"/>
      <c r="AI295" s="727"/>
      <c r="AJ295" s="727"/>
      <c r="AK295" s="727"/>
      <c r="AL295" s="727"/>
      <c r="AM295" s="727"/>
      <c r="AN295" s="727"/>
      <c r="AO295" s="727"/>
      <c r="AP295" s="727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729"/>
      <c r="BL295" s="729"/>
      <c r="BM295" s="729"/>
      <c r="BN295" s="729"/>
      <c r="BO295" s="729"/>
      <c r="BP295" s="729"/>
      <c r="BQ295" s="19">
        <f t="shared" ca="1" si="10"/>
        <v>1</v>
      </c>
    </row>
    <row r="296" spans="1:74" ht="26">
      <c r="A296" s="542">
        <f ca="1">SUBTOTAL(9,$BQ$9:BQ296)</f>
        <v>125</v>
      </c>
      <c r="B296" s="543" t="str">
        <f ca="1">IF(BS296&lt;&gt;"",IF(MID(BS296,1,4)="АОСР",CONCATENATE("Акт освидетельствования скрытых работ '",VLOOKUP(BS296,'АКТЫ скрытых работ'!A:O,3,FALSE),"'"),CONCATENATE("Акт освидетельствования ответственных конструкций '",VLOOKUP(BS296,'АКТЫ скрытых работ'!A:O,3,FALSE),"'")),0)</f>
        <v>Акт освидетельствования скрытых работ 'Огрунтовка и окраска сварных соединений'</v>
      </c>
      <c r="C296" s="727" t="str">
        <f ca="1">CONCATENATE("№",VLOOKUP(BS296,'АКТЫ скрытых работ'!A:O,2,FALSE))</f>
        <v>№4-КЗ_КК_6</v>
      </c>
      <c r="D296" s="727"/>
      <c r="E296" s="727"/>
      <c r="F296" s="727"/>
      <c r="G296" s="727"/>
      <c r="H296" s="727"/>
      <c r="I296" s="727"/>
      <c r="J296" s="727"/>
      <c r="K296" s="727"/>
      <c r="L296" s="727"/>
      <c r="M296" s="727"/>
      <c r="N296" s="727"/>
      <c r="O296" s="727"/>
      <c r="P296" s="727"/>
      <c r="Q296" s="727"/>
      <c r="R296" s="727"/>
      <c r="S296" s="727"/>
      <c r="T296" s="727"/>
      <c r="U296" s="727"/>
      <c r="V296" s="727"/>
      <c r="W296" s="727"/>
      <c r="X296" s="727"/>
      <c r="Y296" s="727"/>
      <c r="Z296" s="727">
        <f ca="1">IF(BS296="АООК_",0,1)</f>
        <v>1</v>
      </c>
      <c r="AA296" s="727"/>
      <c r="AB296" s="727"/>
      <c r="AC296" s="727"/>
      <c r="AD296" s="727"/>
      <c r="AE296" s="727"/>
      <c r="AF296" s="727"/>
      <c r="AG296" s="727"/>
      <c r="AH296" s="727"/>
      <c r="AI296" s="727"/>
      <c r="AJ296" s="727"/>
      <c r="AK296" s="727"/>
      <c r="AL296" s="727"/>
      <c r="AM296" s="727"/>
      <c r="AN296" s="727"/>
      <c r="AO296" s="727"/>
      <c r="AP296" s="727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729"/>
      <c r="BL296" s="729"/>
      <c r="BM296" s="729"/>
      <c r="BN296" s="729"/>
      <c r="BO296" s="729"/>
      <c r="BP296" s="729"/>
      <c r="BQ296" s="19">
        <f t="shared" ca="1" si="10"/>
        <v>1</v>
      </c>
      <c r="BS296" s="569" t="str">
        <f ca="1">IF(INDIRECT("'АКТЫ скрытых работ'!R"&amp;BU296&amp;"C1",0)=CONCATENATE("АОСР_",BT296),CONCATENATE("АОСР_",BT296),CONCATENATE("АООК_",BT296))</f>
        <v>АОСР_37</v>
      </c>
      <c r="BT296" s="569">
        <v>37</v>
      </c>
      <c r="BU296" s="570">
        <f>BT296+1</f>
        <v>38</v>
      </c>
    </row>
    <row r="297" spans="1:74" ht="26">
      <c r="A297" s="542">
        <f ca="1">SUBTOTAL(9,$BQ$9:BQ297)</f>
        <v>126</v>
      </c>
      <c r="B297" s="545" t="str">
        <f ca="1">IF(IFERROR(SEARCH("; ",VLOOKUP(BS296,'АКТЫ скрытых работ'!A:O,11,FALSE),1),0)=0,VLOOKUP(BS296,'АКТЫ скрытых работ'!A:O,11,FALSE),LEFT(VLOOKUP(BS296,'АКТЫ скрытых работ'!A:O,11,FALSE),SEARCH(";",VLOOKUP(BS296,'АКТЫ скрытых работ'!A:O,11,FALSE))-1))</f>
        <v>Исполнительная схема №1 Монтаж контура заземления КК-0,4кВ</v>
      </c>
      <c r="C297" s="730" t="str">
        <f ca="1">IF(B297="Контрольно-исполнительная съемка","б/н",MID(B297,SEARCH("№",B297,1),SEARCH(" ",B297,SEARCH("№",B297,1))-SEARCH("№",B297,1)))</f>
        <v>№1</v>
      </c>
      <c r="D297" s="731"/>
      <c r="E297" s="731"/>
      <c r="F297" s="731"/>
      <c r="G297" s="731"/>
      <c r="H297" s="731"/>
      <c r="I297" s="731"/>
      <c r="J297" s="731"/>
      <c r="K297" s="731"/>
      <c r="L297" s="731"/>
      <c r="M297" s="731"/>
      <c r="N297" s="731"/>
      <c r="O297" s="731"/>
      <c r="P297" s="731"/>
      <c r="Q297" s="731"/>
      <c r="R297" s="731"/>
      <c r="S297" s="731"/>
      <c r="T297" s="731"/>
      <c r="U297" s="731"/>
      <c r="V297" s="731"/>
      <c r="W297" s="731"/>
      <c r="X297" s="731"/>
      <c r="Y297" s="732"/>
      <c r="Z297" s="727">
        <f ca="1">IFERROR(IF(OR(IFERROR(B297,0)=0,B297="-"),0,1),0)</f>
        <v>1</v>
      </c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729"/>
      <c r="BL297" s="729"/>
      <c r="BM297" s="729"/>
      <c r="BN297" s="729"/>
      <c r="BO297" s="729"/>
      <c r="BP297" s="729"/>
      <c r="BQ297" s="19">
        <f t="shared" ca="1" si="10"/>
        <v>1</v>
      </c>
    </row>
    <row r="298" spans="1:74" hidden="1">
      <c r="A298" s="542">
        <f ca="1">SUBTOTAL(9,$BQ$9:BQ298)</f>
        <v>126</v>
      </c>
      <c r="B298" s="543" t="str">
        <f ca="1">IF(IFERROR(SEARCH(";",VLOOKUP(BS296,'АКТЫ скрытых работ'!A:O,11,FALSE),LEN(B297)+2),0)&lt;&gt;0,MID(VLOOKUP(BS296,'АКТЫ скрытых работ'!A:O,11,FALSE),LEN(B297)+3,SEARCH(";",VLOOKUP(BS296,'АКТЫ скрытых работ'!A:O,11,FALSE),LEN(B297)+3)-LEN(B297)-3),MID(VLOOKUP(BS296,'АКТЫ скрытых работ'!A:O,11,FALSE),LEN(B297)+3,LEN(VLOOKUP(BS296,'АКТЫ скрытых работ'!A:O,11,FALSE))))</f>
        <v/>
      </c>
      <c r="C298" s="730" t="e">
        <f ca="1">IF(B298="Контрольно-исполнительная съемка","б/н",MID(B298,SEARCH("№",B298,1),SEARCH(" ",B298,SEARCH("№",B298,1))-SEARCH("№",B298,1)))</f>
        <v>#VALUE!</v>
      </c>
      <c r="D298" s="731"/>
      <c r="E298" s="731"/>
      <c r="F298" s="731"/>
      <c r="G298" s="731"/>
      <c r="H298" s="731"/>
      <c r="I298" s="731"/>
      <c r="J298" s="731"/>
      <c r="K298" s="731"/>
      <c r="L298" s="731"/>
      <c r="M298" s="731"/>
      <c r="N298" s="731"/>
      <c r="O298" s="731"/>
      <c r="P298" s="731"/>
      <c r="Q298" s="731"/>
      <c r="R298" s="731"/>
      <c r="S298" s="731"/>
      <c r="T298" s="731"/>
      <c r="U298" s="731"/>
      <c r="V298" s="731"/>
      <c r="W298" s="731"/>
      <c r="X298" s="731"/>
      <c r="Y298" s="732"/>
      <c r="Z298" s="727">
        <f ca="1">IFERROR(IF(OR(IFERROR(B298,0)=0,B298=""),0,1),0)</f>
        <v>0</v>
      </c>
      <c r="AA298" s="727"/>
      <c r="AB298" s="727"/>
      <c r="AC298" s="727"/>
      <c r="AD298" s="727"/>
      <c r="AE298" s="727"/>
      <c r="AF298" s="727"/>
      <c r="AG298" s="727"/>
      <c r="AH298" s="727"/>
      <c r="AI298" s="727"/>
      <c r="AJ298" s="727"/>
      <c r="AK298" s="727"/>
      <c r="AL298" s="727"/>
      <c r="AM298" s="727"/>
      <c r="AN298" s="727"/>
      <c r="AO298" s="727"/>
      <c r="AP298" s="727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9"/>
      <c r="BL298" s="729"/>
      <c r="BM298" s="729"/>
      <c r="BN298" s="729"/>
      <c r="BO298" s="729"/>
      <c r="BP298" s="729"/>
      <c r="BQ298" s="19">
        <f t="shared" ca="1" si="10"/>
        <v>0</v>
      </c>
    </row>
    <row r="299" spans="1:74" hidden="1">
      <c r="A299" s="542">
        <f ca="1">SUBTOTAL(9,$BQ$9:BQ299)</f>
        <v>126</v>
      </c>
      <c r="B299" s="543" t="str">
        <f ca="1">IF(IFERROR(SEARCH(";",VLOOKUP(BS296,'АКТЫ скрытых работ'!A:O,11,FALSE),SUM(LEN(B297),LEN(B298))+4),0)&lt;&gt;0,MID(VLOOKUP(BS296,'АКТЫ скрытых работ'!A:O,11,FALSE),SUM(LEN(B297),LEN(B298))+5,SEARCH(";",VLOOKUP(BS296,'АКТЫ скрытых работ'!A:O,11,FALSE),SUM(LEN(B297),LEN(B298))+4)-SUM(LEN(B297),LEN(B298))-5),MID(VLOOKUP(BS296,'АКТЫ скрытых работ'!A:O,11,FALSE),SUM(LEN(B297),LEN(B298))+5,LEN(VLOOKUP(BS296,'АКТЫ скрытых работ'!A:O,11,FALSE))))</f>
        <v/>
      </c>
      <c r="C299" s="730" t="e">
        <f ca="1">IF(B299="Контрольно-исполнительная съемка","б/н",MID(B299,SEARCH("№",B299,1),SEARCH(" ",B299,SEARCH("№",B299,1))-SEARCH("№",B299,1)))</f>
        <v>#VALUE!</v>
      </c>
      <c r="D299" s="731"/>
      <c r="E299" s="731"/>
      <c r="F299" s="731"/>
      <c r="G299" s="731"/>
      <c r="H299" s="731"/>
      <c r="I299" s="731"/>
      <c r="J299" s="731"/>
      <c r="K299" s="731"/>
      <c r="L299" s="731"/>
      <c r="M299" s="731"/>
      <c r="N299" s="731"/>
      <c r="O299" s="731"/>
      <c r="P299" s="731"/>
      <c r="Q299" s="731"/>
      <c r="R299" s="731"/>
      <c r="S299" s="731"/>
      <c r="T299" s="731"/>
      <c r="U299" s="731"/>
      <c r="V299" s="731"/>
      <c r="W299" s="731"/>
      <c r="X299" s="731"/>
      <c r="Y299" s="732"/>
      <c r="Z299" s="727">
        <f ca="1">IFERROR(IF(OR(IFERROR(B299,0)=0,B299=""),0,1),0)</f>
        <v>0</v>
      </c>
      <c r="AA299" s="727"/>
      <c r="AB299" s="727"/>
      <c r="AC299" s="727"/>
      <c r="AD299" s="727"/>
      <c r="AE299" s="727"/>
      <c r="AF299" s="727"/>
      <c r="AG299" s="727"/>
      <c r="AH299" s="727"/>
      <c r="AI299" s="727"/>
      <c r="AJ299" s="727"/>
      <c r="AK299" s="727"/>
      <c r="AL299" s="727"/>
      <c r="AM299" s="727"/>
      <c r="AN299" s="727"/>
      <c r="AO299" s="727"/>
      <c r="AP299" s="727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729"/>
      <c r="BL299" s="729"/>
      <c r="BM299" s="729"/>
      <c r="BN299" s="729"/>
      <c r="BO299" s="729"/>
      <c r="BP299" s="729"/>
      <c r="BQ299" s="19">
        <f t="shared" ca="1" si="10"/>
        <v>0</v>
      </c>
      <c r="BV299" s="19" t="str">
        <f>MID(BV283,1,LEN(BV283))</f>
        <v/>
      </c>
    </row>
    <row r="300" spans="1:74" hidden="1">
      <c r="A300" s="542">
        <f ca="1">SUBTOTAL(9,$BQ$9:BQ300)</f>
        <v>126</v>
      </c>
      <c r="B300" s="543" t="str">
        <f ca="1">IF(IFERROR(SEARCH(";",VLOOKUP(BS296,'АКТЫ скрытых работ'!A:O,11,FALSE),SUM(LEN(B297),LEN(B298),LEN(B299))+8),0)&lt;&gt;0,MID(VLOOKUP(BS296,'АКТЫ скрытых работ'!A:O,11,FALSE),SUM(LEN(B297),LEN(B298),LEN(B299))+4,SEARCH(";",VLOOKUP(BS296,'АКТЫ скрытых работ'!A:O,11,FALSE),SUM(LEN(B297),LEN(B298),LEN(B299))+4)-SUM(LEN(B297),LEN(B298),LEN(B299))-6),MID(VLOOKUP(BS296,'АКТЫ скрытых работ'!A:O,11,FALSE),SUM(LEN(B297),LEN(B298),LEN(B299))+7,LEN(VLOOKUP(BS296,'АКТЫ скрытых работ'!A:O,11,FALSE))))</f>
        <v/>
      </c>
      <c r="C300" s="730" t="e">
        <f ca="1">IF(B300="Контрольно-исполнительная съемка","б/н",MID(B300,SEARCH("№",B300,1),SEARCH(" ",B300,SEARCH("№",B300,1))-SEARCH("№",B300,1)))</f>
        <v>#VALUE!</v>
      </c>
      <c r="D300" s="731"/>
      <c r="E300" s="731"/>
      <c r="F300" s="731"/>
      <c r="G300" s="731"/>
      <c r="H300" s="731"/>
      <c r="I300" s="731"/>
      <c r="J300" s="731"/>
      <c r="K300" s="731"/>
      <c r="L300" s="731"/>
      <c r="M300" s="731"/>
      <c r="N300" s="731"/>
      <c r="O300" s="731"/>
      <c r="P300" s="731"/>
      <c r="Q300" s="731"/>
      <c r="R300" s="731"/>
      <c r="S300" s="731"/>
      <c r="T300" s="731"/>
      <c r="U300" s="731"/>
      <c r="V300" s="731"/>
      <c r="W300" s="731"/>
      <c r="X300" s="731"/>
      <c r="Y300" s="732"/>
      <c r="Z300" s="727">
        <f ca="1">IFERROR(IF(OR(IFERROR(B300,0)=0,B300=""),0,1),0)</f>
        <v>0</v>
      </c>
      <c r="AA300" s="727"/>
      <c r="AB300" s="727"/>
      <c r="AC300" s="727"/>
      <c r="AD300" s="727"/>
      <c r="AE300" s="727"/>
      <c r="AF300" s="727"/>
      <c r="AG300" s="727"/>
      <c r="AH300" s="727"/>
      <c r="AI300" s="727"/>
      <c r="AJ300" s="727"/>
      <c r="AK300" s="727"/>
      <c r="AL300" s="727"/>
      <c r="AM300" s="727"/>
      <c r="AN300" s="727"/>
      <c r="AO300" s="727"/>
      <c r="AP300" s="727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729"/>
      <c r="BL300" s="729"/>
      <c r="BM300" s="729"/>
      <c r="BN300" s="729"/>
      <c r="BO300" s="729"/>
      <c r="BP300" s="729"/>
      <c r="BQ300" s="19">
        <f t="shared" ca="1" si="10"/>
        <v>0</v>
      </c>
    </row>
    <row r="301" spans="1:74" ht="26">
      <c r="A301" s="542">
        <f ca="1">SUBTOTAL(9,$BQ$9:BQ301)</f>
        <v>127</v>
      </c>
      <c r="B301" s="543" t="str">
        <f ca="1">VLOOKUP(BS296,'АКТЫ скрытых работ'!A:O,14,FALSE)</f>
        <v>Отказное письмо исх. №60-12/2020 от 12.05.2020 ООО "Биквест-Центр"</v>
      </c>
      <c r="C301" s="727" t="str">
        <f ca="1">IF(B301&lt;&gt;"-","б/н","")</f>
        <v>б/н</v>
      </c>
      <c r="D301" s="727"/>
      <c r="E301" s="727"/>
      <c r="F301" s="727"/>
      <c r="G301" s="727"/>
      <c r="H301" s="727"/>
      <c r="I301" s="727"/>
      <c r="J301" s="727"/>
      <c r="K301" s="727"/>
      <c r="L301" s="727"/>
      <c r="M301" s="727"/>
      <c r="N301" s="727"/>
      <c r="O301" s="727"/>
      <c r="P301" s="727"/>
      <c r="Q301" s="727"/>
      <c r="R301" s="727"/>
      <c r="S301" s="727"/>
      <c r="T301" s="727"/>
      <c r="U301" s="727"/>
      <c r="V301" s="727"/>
      <c r="W301" s="727"/>
      <c r="X301" s="727"/>
      <c r="Y301" s="727"/>
      <c r="Z301" s="727" t="str">
        <f ca="1">IFERROR(IF(OR(IFERROR(B301,0)=0,B301="-"),0,"1 компл"),0)</f>
        <v>1 компл</v>
      </c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729"/>
      <c r="BL301" s="729"/>
      <c r="BM301" s="729"/>
      <c r="BN301" s="729"/>
      <c r="BO301" s="729"/>
      <c r="BP301" s="729"/>
      <c r="BQ301" s="19">
        <f t="shared" ca="1" si="10"/>
        <v>1</v>
      </c>
    </row>
    <row r="302" spans="1:74" ht="26">
      <c r="A302" s="542">
        <f ca="1">SUBTOTAL(9,$BQ$9:BQ302)</f>
        <v>128</v>
      </c>
      <c r="B302" s="543" t="str">
        <f ca="1">IF(BS302&lt;&gt;"",IF(MID(BS302,1,4)="АОСР",CONCATENATE("Акт освидетельствования скрытых работ '",VLOOKUP(BS302,'АКТЫ скрытых работ'!A:O,3,FALSE),"'"),CONCATENATE("Акт освидетельствования ответственных конструкций '",VLOOKUP(BS302,'АКТЫ скрытых работ'!A:O,3,FALSE),"'")),0)</f>
        <v>Акт освидетельствования скрытых работ 'Обратная засыпка траншеи'</v>
      </c>
      <c r="C302" s="727" t="str">
        <f ca="1">CONCATENATE("№",VLOOKUP(BS302,'АКТЫ скрытых работ'!A:O,2,FALSE))</f>
        <v>№5-КЗ_КК_6</v>
      </c>
      <c r="D302" s="727"/>
      <c r="E302" s="727"/>
      <c r="F302" s="727"/>
      <c r="G302" s="727"/>
      <c r="H302" s="727"/>
      <c r="I302" s="727"/>
      <c r="J302" s="727"/>
      <c r="K302" s="727"/>
      <c r="L302" s="727"/>
      <c r="M302" s="727"/>
      <c r="N302" s="727"/>
      <c r="O302" s="727"/>
      <c r="P302" s="727"/>
      <c r="Q302" s="727"/>
      <c r="R302" s="727"/>
      <c r="S302" s="727"/>
      <c r="T302" s="727"/>
      <c r="U302" s="727"/>
      <c r="V302" s="727"/>
      <c r="W302" s="727"/>
      <c r="X302" s="727"/>
      <c r="Y302" s="727"/>
      <c r="Z302" s="727">
        <f ca="1">IF(BS302="АООК_",0,1)</f>
        <v>1</v>
      </c>
      <c r="AA302" s="727"/>
      <c r="AB302" s="727"/>
      <c r="AC302" s="727"/>
      <c r="AD302" s="727"/>
      <c r="AE302" s="727"/>
      <c r="AF302" s="727"/>
      <c r="AG302" s="727"/>
      <c r="AH302" s="727"/>
      <c r="AI302" s="727"/>
      <c r="AJ302" s="727"/>
      <c r="AK302" s="727"/>
      <c r="AL302" s="727"/>
      <c r="AM302" s="727"/>
      <c r="AN302" s="727"/>
      <c r="AO302" s="727"/>
      <c r="AP302" s="727"/>
      <c r="AQ302" s="729"/>
      <c r="AR302" s="729"/>
      <c r="AS302" s="729"/>
      <c r="AT302" s="729"/>
      <c r="AU302" s="729"/>
      <c r="AV302" s="729"/>
      <c r="AW302" s="729"/>
      <c r="AX302" s="729"/>
      <c r="AY302" s="729"/>
      <c r="AZ302" s="729"/>
      <c r="BA302" s="729"/>
      <c r="BB302" s="729"/>
      <c r="BC302" s="729"/>
      <c r="BD302" s="729"/>
      <c r="BE302" s="729"/>
      <c r="BF302" s="729"/>
      <c r="BG302" s="729"/>
      <c r="BH302" s="729"/>
      <c r="BI302" s="729"/>
      <c r="BJ302" s="729"/>
      <c r="BK302" s="729"/>
      <c r="BL302" s="729"/>
      <c r="BM302" s="729"/>
      <c r="BN302" s="729"/>
      <c r="BO302" s="729"/>
      <c r="BP302" s="729"/>
      <c r="BQ302" s="19">
        <f t="shared" ca="1" si="10"/>
        <v>1</v>
      </c>
      <c r="BS302" s="569" t="str">
        <f ca="1">IF(INDIRECT("'АКТЫ скрытых работ'!R"&amp;BU302&amp;"C1",0)=CONCATENATE("АОСР_",BT302),CONCATENATE("АОСР_",BT302),CONCATENATE("АООК_",BT302))</f>
        <v>АОСР_38</v>
      </c>
      <c r="BT302" s="569">
        <v>38</v>
      </c>
      <c r="BU302" s="570">
        <f>BT302+1</f>
        <v>39</v>
      </c>
    </row>
    <row r="303" spans="1:74" ht="26">
      <c r="A303" s="542">
        <f ca="1">SUBTOTAL(9,$BQ$9:BQ303)</f>
        <v>129</v>
      </c>
      <c r="B303" s="545" t="str">
        <f ca="1">IF(IFERROR(SEARCH("; ",VLOOKUP(BS302,'АКТЫ скрытых работ'!A:O,11,FALSE),1),0)=0,VLOOKUP(BS302,'АКТЫ скрытых работ'!A:O,11,FALSE),LEFT(VLOOKUP(BS302,'АКТЫ скрытых работ'!A:O,11,FALSE),SEARCH(";",VLOOKUP(BS302,'АКТЫ скрытых работ'!A:O,11,FALSE))-1))</f>
        <v>Исполнительная схема №1 Монтаж контура заземления КК-0,4кВ</v>
      </c>
      <c r="C303" s="730" t="str">
        <f ca="1">IF(B303="Контрольно-исполнительная съемка","б/н",MID(B303,SEARCH("№",B303,1),SEARCH(" ",B303,SEARCH("№",B303,1))-SEARCH("№",B303,1)))</f>
        <v>№1</v>
      </c>
      <c r="D303" s="731"/>
      <c r="E303" s="731"/>
      <c r="F303" s="731"/>
      <c r="G303" s="731"/>
      <c r="H303" s="731"/>
      <c r="I303" s="731"/>
      <c r="J303" s="731"/>
      <c r="K303" s="731"/>
      <c r="L303" s="731"/>
      <c r="M303" s="731"/>
      <c r="N303" s="731"/>
      <c r="O303" s="731"/>
      <c r="P303" s="731"/>
      <c r="Q303" s="731"/>
      <c r="R303" s="731"/>
      <c r="S303" s="731"/>
      <c r="T303" s="731"/>
      <c r="U303" s="731"/>
      <c r="V303" s="731"/>
      <c r="W303" s="731"/>
      <c r="X303" s="731"/>
      <c r="Y303" s="732"/>
      <c r="Z303" s="727">
        <f ca="1">IFERROR(IF(OR(IFERROR(B303,0)=0,B303="-"),0,1),0)</f>
        <v>1</v>
      </c>
      <c r="AA303" s="727"/>
      <c r="AB303" s="727"/>
      <c r="AC303" s="727"/>
      <c r="AD303" s="727"/>
      <c r="AE303" s="727"/>
      <c r="AF303" s="727"/>
      <c r="AG303" s="727"/>
      <c r="AH303" s="727"/>
      <c r="AI303" s="727"/>
      <c r="AJ303" s="727"/>
      <c r="AK303" s="727"/>
      <c r="AL303" s="727"/>
      <c r="AM303" s="727"/>
      <c r="AN303" s="727"/>
      <c r="AO303" s="727"/>
      <c r="AP303" s="727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9"/>
      <c r="BL303" s="729"/>
      <c r="BM303" s="729"/>
      <c r="BN303" s="729"/>
      <c r="BO303" s="729"/>
      <c r="BP303" s="729"/>
      <c r="BQ303" s="19">
        <f t="shared" ca="1" si="10"/>
        <v>1</v>
      </c>
    </row>
    <row r="304" spans="1:74" hidden="1">
      <c r="A304" s="542">
        <f ca="1">SUBTOTAL(9,$BQ$9:BQ304)</f>
        <v>129</v>
      </c>
      <c r="B304" s="543" t="str">
        <f ca="1">IF(IFERROR(SEARCH(";",VLOOKUP(BS302,'АКТЫ скрытых работ'!A:O,11,FALSE),LEN(B303)+2),0)&lt;&gt;0,MID(VLOOKUP(BS302,'АКТЫ скрытых работ'!A:O,11,FALSE),LEN(B303)+3,SEARCH(";",VLOOKUP(BS302,'АКТЫ скрытых работ'!A:O,11,FALSE),LEN(B303)+3)-LEN(B303)-3),MID(VLOOKUP(BS302,'АКТЫ скрытых работ'!A:O,11,FALSE),LEN(B303)+3,LEN(VLOOKUP(BS302,'АКТЫ скрытых работ'!A:O,11,FALSE))))</f>
        <v/>
      </c>
      <c r="C304" s="730" t="e">
        <f ca="1">IF(B304="Контрольно-исполнительная съемка","б/н",MID(B304,SEARCH("№",B304,1),SEARCH(" ",B304,SEARCH("№",B304,1))-SEARCH("№",B304,1)))</f>
        <v>#VALUE!</v>
      </c>
      <c r="D304" s="731"/>
      <c r="E304" s="731"/>
      <c r="F304" s="731"/>
      <c r="G304" s="731"/>
      <c r="H304" s="731"/>
      <c r="I304" s="731"/>
      <c r="J304" s="731"/>
      <c r="K304" s="731"/>
      <c r="L304" s="731"/>
      <c r="M304" s="731"/>
      <c r="N304" s="731"/>
      <c r="O304" s="731"/>
      <c r="P304" s="731"/>
      <c r="Q304" s="731"/>
      <c r="R304" s="731"/>
      <c r="S304" s="731"/>
      <c r="T304" s="731"/>
      <c r="U304" s="731"/>
      <c r="V304" s="731"/>
      <c r="W304" s="731"/>
      <c r="X304" s="731"/>
      <c r="Y304" s="732"/>
      <c r="Z304" s="727">
        <f ca="1">IFERROR(IF(OR(IFERROR(B304,0)=0,B304=""),0,1),0)</f>
        <v>0</v>
      </c>
      <c r="AA304" s="727"/>
      <c r="AB304" s="727"/>
      <c r="AC304" s="727"/>
      <c r="AD304" s="727"/>
      <c r="AE304" s="727"/>
      <c r="AF304" s="727"/>
      <c r="AG304" s="727"/>
      <c r="AH304" s="727"/>
      <c r="AI304" s="727"/>
      <c r="AJ304" s="727"/>
      <c r="AK304" s="727"/>
      <c r="AL304" s="727"/>
      <c r="AM304" s="727"/>
      <c r="AN304" s="727"/>
      <c r="AO304" s="727"/>
      <c r="AP304" s="727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729"/>
      <c r="BL304" s="729"/>
      <c r="BM304" s="729"/>
      <c r="BN304" s="729"/>
      <c r="BO304" s="729"/>
      <c r="BP304" s="729"/>
      <c r="BQ304" s="19">
        <f t="shared" ca="1" si="10"/>
        <v>0</v>
      </c>
    </row>
    <row r="305" spans="1:74" hidden="1">
      <c r="A305" s="542">
        <f ca="1">SUBTOTAL(9,$BQ$9:BQ305)</f>
        <v>129</v>
      </c>
      <c r="B305" s="543" t="str">
        <f ca="1">IF(IFERROR(SEARCH(";",VLOOKUP(BS302,'АКТЫ скрытых работ'!A:O,11,FALSE),SUM(LEN(B303),LEN(B304))+4),0)&lt;&gt;0,MID(VLOOKUP(BS302,'АКТЫ скрытых работ'!A:O,11,FALSE),SUM(LEN(B303),LEN(B304))+5,SEARCH(";",VLOOKUP(BS302,'АКТЫ скрытых работ'!A:O,11,FALSE),SUM(LEN(B303),LEN(B304))+4)-SUM(LEN(B303),LEN(B304))-5),MID(VLOOKUP(BS302,'АКТЫ скрытых работ'!A:O,11,FALSE),SUM(LEN(B303),LEN(B304))+5,LEN(VLOOKUP(BS302,'АКТЫ скрытых работ'!A:O,11,FALSE))))</f>
        <v/>
      </c>
      <c r="C305" s="730" t="e">
        <f ca="1">IF(B305="Контрольно-исполнительная съемка","б/н",MID(B305,SEARCH("№",B305,1),SEARCH(" ",B305,SEARCH("№",B305,1))-SEARCH("№",B305,1)))</f>
        <v>#VALUE!</v>
      </c>
      <c r="D305" s="731"/>
      <c r="E305" s="731"/>
      <c r="F305" s="731"/>
      <c r="G305" s="731"/>
      <c r="H305" s="731"/>
      <c r="I305" s="731"/>
      <c r="J305" s="731"/>
      <c r="K305" s="731"/>
      <c r="L305" s="731"/>
      <c r="M305" s="731"/>
      <c r="N305" s="731"/>
      <c r="O305" s="731"/>
      <c r="P305" s="731"/>
      <c r="Q305" s="731"/>
      <c r="R305" s="731"/>
      <c r="S305" s="731"/>
      <c r="T305" s="731"/>
      <c r="U305" s="731"/>
      <c r="V305" s="731"/>
      <c r="W305" s="731"/>
      <c r="X305" s="731"/>
      <c r="Y305" s="732"/>
      <c r="Z305" s="727">
        <f ca="1">IFERROR(IF(OR(IFERROR(B305,0)=0,B305=""),0,1),0)</f>
        <v>0</v>
      </c>
      <c r="AA305" s="727"/>
      <c r="AB305" s="727"/>
      <c r="AC305" s="727"/>
      <c r="AD305" s="727"/>
      <c r="AE305" s="727"/>
      <c r="AF305" s="727"/>
      <c r="AG305" s="727"/>
      <c r="AH305" s="727"/>
      <c r="AI305" s="727"/>
      <c r="AJ305" s="727"/>
      <c r="AK305" s="727"/>
      <c r="AL305" s="727"/>
      <c r="AM305" s="727"/>
      <c r="AN305" s="727"/>
      <c r="AO305" s="727"/>
      <c r="AP305" s="727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729"/>
      <c r="BL305" s="729"/>
      <c r="BM305" s="729"/>
      <c r="BN305" s="729"/>
      <c r="BO305" s="729"/>
      <c r="BP305" s="729"/>
      <c r="BQ305" s="19">
        <f t="shared" ref="BQ305:BQ316" ca="1" si="11">IF(Z305&gt;0,1,0)</f>
        <v>0</v>
      </c>
      <c r="BV305" s="19" t="str">
        <f>MID(BV289,1,LEN(BV289))</f>
        <v/>
      </c>
    </row>
    <row r="306" spans="1:74" hidden="1">
      <c r="A306" s="542">
        <f ca="1">SUBTOTAL(9,$BQ$9:BQ306)</f>
        <v>129</v>
      </c>
      <c r="B306" s="543" t="str">
        <f ca="1">IF(IFERROR(SEARCH(";",VLOOKUP(BS302,'АКТЫ скрытых работ'!A:O,11,FALSE),SUM(LEN(B303),LEN(B304),LEN(B305))+8),0)&lt;&gt;0,MID(VLOOKUP(BS302,'АКТЫ скрытых работ'!A:O,11,FALSE),SUM(LEN(B303),LEN(B304),LEN(B305))+4,SEARCH(";",VLOOKUP(BS302,'АКТЫ скрытых работ'!A:O,11,FALSE),SUM(LEN(B303),LEN(B304),LEN(B305))+4)-SUM(LEN(B303),LEN(B304),LEN(B305))-6),MID(VLOOKUP(BS302,'АКТЫ скрытых работ'!A:O,11,FALSE),SUM(LEN(B303),LEN(B304),LEN(B305))+7,LEN(VLOOKUP(BS302,'АКТЫ скрытых работ'!A:O,11,FALSE))))</f>
        <v/>
      </c>
      <c r="C306" s="730" t="e">
        <f ca="1">IF(B306="Контрольно-исполнительная съемка","б/н",MID(B306,SEARCH("№",B306,1),SEARCH(" ",B306,SEARCH("№",B306,1))-SEARCH("№",B306,1)))</f>
        <v>#VALUE!</v>
      </c>
      <c r="D306" s="731"/>
      <c r="E306" s="731"/>
      <c r="F306" s="731"/>
      <c r="G306" s="731"/>
      <c r="H306" s="731"/>
      <c r="I306" s="731"/>
      <c r="J306" s="731"/>
      <c r="K306" s="731"/>
      <c r="L306" s="731"/>
      <c r="M306" s="731"/>
      <c r="N306" s="731"/>
      <c r="O306" s="731"/>
      <c r="P306" s="731"/>
      <c r="Q306" s="731"/>
      <c r="R306" s="731"/>
      <c r="S306" s="731"/>
      <c r="T306" s="731"/>
      <c r="U306" s="731"/>
      <c r="V306" s="731"/>
      <c r="W306" s="731"/>
      <c r="X306" s="731"/>
      <c r="Y306" s="732"/>
      <c r="Z306" s="727">
        <f ca="1">IFERROR(IF(OR(IFERROR(B306,0)=0,B306=""),0,1),0)</f>
        <v>0</v>
      </c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729"/>
      <c r="BL306" s="729"/>
      <c r="BM306" s="729"/>
      <c r="BN306" s="729"/>
      <c r="BO306" s="729"/>
      <c r="BP306" s="729"/>
      <c r="BQ306" s="19">
        <f t="shared" ca="1" si="11"/>
        <v>0</v>
      </c>
    </row>
    <row r="307" spans="1:74" hidden="1">
      <c r="A307" s="542">
        <f ca="1">SUBTOTAL(9,$BQ$9:BQ307)</f>
        <v>129</v>
      </c>
      <c r="B307" s="543" t="str">
        <f ca="1">VLOOKUP(BS302,'АКТЫ скрытых работ'!A:O,14,FALSE)</f>
        <v>-</v>
      </c>
      <c r="C307" s="727" t="str">
        <f ca="1">IF(B307&lt;&gt;"-","б/н","")</f>
        <v/>
      </c>
      <c r="D307" s="727"/>
      <c r="E307" s="727"/>
      <c r="F307" s="727"/>
      <c r="G307" s="727"/>
      <c r="H307" s="727"/>
      <c r="I307" s="727"/>
      <c r="J307" s="727"/>
      <c r="K307" s="727"/>
      <c r="L307" s="727"/>
      <c r="M307" s="727"/>
      <c r="N307" s="727"/>
      <c r="O307" s="727"/>
      <c r="P307" s="727"/>
      <c r="Q307" s="727"/>
      <c r="R307" s="727"/>
      <c r="S307" s="727"/>
      <c r="T307" s="727"/>
      <c r="U307" s="727"/>
      <c r="V307" s="727"/>
      <c r="W307" s="727"/>
      <c r="X307" s="727"/>
      <c r="Y307" s="727"/>
      <c r="Z307" s="727">
        <f ca="1">IFERROR(IF(OR(IFERROR(B307,0)=0,B307="-"),0,"1 компл"),0)</f>
        <v>0</v>
      </c>
      <c r="AA307" s="727"/>
      <c r="AB307" s="727"/>
      <c r="AC307" s="727"/>
      <c r="AD307" s="727"/>
      <c r="AE307" s="727"/>
      <c r="AF307" s="727"/>
      <c r="AG307" s="727"/>
      <c r="AH307" s="727"/>
      <c r="AI307" s="727"/>
      <c r="AJ307" s="727"/>
      <c r="AK307" s="727"/>
      <c r="AL307" s="727"/>
      <c r="AM307" s="727"/>
      <c r="AN307" s="727"/>
      <c r="AO307" s="727"/>
      <c r="AP307" s="727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9"/>
      <c r="BL307" s="729"/>
      <c r="BM307" s="729"/>
      <c r="BN307" s="729"/>
      <c r="BO307" s="729"/>
      <c r="BP307" s="729"/>
      <c r="BQ307" s="19">
        <f t="shared" ca="1" si="11"/>
        <v>0</v>
      </c>
    </row>
    <row r="308" spans="1:74" ht="26">
      <c r="A308" s="542">
        <f ca="1">SUBTOTAL(9,$BQ$9:BQ308)</f>
        <v>130</v>
      </c>
      <c r="B308" s="543" t="str">
        <f ca="1">IF(BS308&lt;&gt;"",IF(MID(BS308,1,4)="АОСР",CONCATENATE("Акт освидетельствования скрытых работ '",VLOOKUP(BS308,'АКТЫ скрытых работ'!A:O,3,FALSE),"'"),CONCATENATE("Акт освидетельствования ответственных конструкций '",VLOOKUP(BS308,'АКТЫ скрытых работ'!A:O,3,FALSE),"'")),0)</f>
        <v>Акт освидетельствования скрытых работ 'Разработка грунта траншеи'</v>
      </c>
      <c r="C308" s="727" t="str">
        <f ca="1">CONCATENATE("№",VLOOKUP(BS308,'АКТЫ скрытых работ'!A:O,2,FALSE))</f>
        <v>№1-КЗ_КК_7</v>
      </c>
      <c r="D308" s="727"/>
      <c r="E308" s="727"/>
      <c r="F308" s="727"/>
      <c r="G308" s="727"/>
      <c r="H308" s="727"/>
      <c r="I308" s="727"/>
      <c r="J308" s="727"/>
      <c r="K308" s="727"/>
      <c r="L308" s="727"/>
      <c r="M308" s="727"/>
      <c r="N308" s="727"/>
      <c r="O308" s="727"/>
      <c r="P308" s="727"/>
      <c r="Q308" s="727"/>
      <c r="R308" s="727"/>
      <c r="S308" s="727"/>
      <c r="T308" s="727"/>
      <c r="U308" s="727"/>
      <c r="V308" s="727"/>
      <c r="W308" s="727"/>
      <c r="X308" s="727"/>
      <c r="Y308" s="727"/>
      <c r="Z308" s="727">
        <f ca="1">IF(BS308="АООК_",0,1)</f>
        <v>1</v>
      </c>
      <c r="AA308" s="727"/>
      <c r="AB308" s="727"/>
      <c r="AC308" s="727"/>
      <c r="AD308" s="727"/>
      <c r="AE308" s="727"/>
      <c r="AF308" s="727"/>
      <c r="AG308" s="727"/>
      <c r="AH308" s="727"/>
      <c r="AI308" s="727"/>
      <c r="AJ308" s="727"/>
      <c r="AK308" s="727"/>
      <c r="AL308" s="727"/>
      <c r="AM308" s="727"/>
      <c r="AN308" s="727"/>
      <c r="AO308" s="727"/>
      <c r="AP308" s="727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729"/>
      <c r="BL308" s="729"/>
      <c r="BM308" s="729"/>
      <c r="BN308" s="729"/>
      <c r="BO308" s="729"/>
      <c r="BP308" s="729"/>
      <c r="BQ308" s="19">
        <f t="shared" ca="1" si="11"/>
        <v>1</v>
      </c>
      <c r="BS308" s="569" t="str">
        <f ca="1">IF(INDIRECT("'АКТЫ скрытых работ'!R"&amp;BU308&amp;"C1",0)=CONCATENATE("АОСР_",BT308),CONCATENATE("АОСР_",BT308),CONCATENATE("АООК_",BT308))</f>
        <v>АОСР_39</v>
      </c>
      <c r="BT308" s="569">
        <v>39</v>
      </c>
      <c r="BU308" s="570">
        <f>BT308+1</f>
        <v>40</v>
      </c>
    </row>
    <row r="309" spans="1:74" ht="26">
      <c r="A309" s="542">
        <f ca="1">SUBTOTAL(9,$BQ$9:BQ309)</f>
        <v>131</v>
      </c>
      <c r="B309" s="545" t="str">
        <f ca="1">IF(IFERROR(SEARCH("; ",VLOOKUP(BS308,'АКТЫ скрытых работ'!A:O,11,FALSE),1),0)=0,VLOOKUP(BS308,'АКТЫ скрытых работ'!A:O,11,FALSE),LEFT(VLOOKUP(BS308,'АКТЫ скрытых работ'!A:O,11,FALSE),SEARCH(";",VLOOKUP(BS308,'АКТЫ скрытых работ'!A:O,11,FALSE))-1))</f>
        <v>Исполнительная схема №1 Монтаж контура заземления КК-0,4кВ</v>
      </c>
      <c r="C309" s="730" t="str">
        <f ca="1">IF(B309="Контрольно-исполнительная съемка","б/н",MID(B309,SEARCH("№",B309,1),SEARCH(" ",B309,SEARCH("№",B309,1))-SEARCH("№",B309,1)))</f>
        <v>№1</v>
      </c>
      <c r="D309" s="731"/>
      <c r="E309" s="731"/>
      <c r="F309" s="731"/>
      <c r="G309" s="731"/>
      <c r="H309" s="731"/>
      <c r="I309" s="731"/>
      <c r="J309" s="731"/>
      <c r="K309" s="731"/>
      <c r="L309" s="731"/>
      <c r="M309" s="731"/>
      <c r="N309" s="731"/>
      <c r="O309" s="731"/>
      <c r="P309" s="731"/>
      <c r="Q309" s="731"/>
      <c r="R309" s="731"/>
      <c r="S309" s="731"/>
      <c r="T309" s="731"/>
      <c r="U309" s="731"/>
      <c r="V309" s="731"/>
      <c r="W309" s="731"/>
      <c r="X309" s="731"/>
      <c r="Y309" s="732"/>
      <c r="Z309" s="727">
        <f ca="1">IFERROR(IF(OR(IFERROR(B309,0)=0,B309="-"),0,1),0)</f>
        <v>1</v>
      </c>
      <c r="AA309" s="727"/>
      <c r="AB309" s="727"/>
      <c r="AC309" s="727"/>
      <c r="AD309" s="727"/>
      <c r="AE309" s="727"/>
      <c r="AF309" s="727"/>
      <c r="AG309" s="727"/>
      <c r="AH309" s="727"/>
      <c r="AI309" s="727"/>
      <c r="AJ309" s="727"/>
      <c r="AK309" s="727"/>
      <c r="AL309" s="727"/>
      <c r="AM309" s="727"/>
      <c r="AN309" s="727"/>
      <c r="AO309" s="727"/>
      <c r="AP309" s="727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729"/>
      <c r="BL309" s="729"/>
      <c r="BM309" s="729"/>
      <c r="BN309" s="729"/>
      <c r="BO309" s="729"/>
      <c r="BP309" s="729"/>
      <c r="BQ309" s="19">
        <f t="shared" ca="1" si="11"/>
        <v>1</v>
      </c>
    </row>
    <row r="310" spans="1:74" hidden="1">
      <c r="A310" s="542">
        <f ca="1">SUBTOTAL(9,$BQ$9:BQ310)</f>
        <v>131</v>
      </c>
      <c r="B310" s="543" t="str">
        <f ca="1">IF(IFERROR(SEARCH(";",VLOOKUP(BS308,'АКТЫ скрытых работ'!A:O,11,FALSE),LEN(B309)+2),0)&lt;&gt;0,MID(VLOOKUP(BS308,'АКТЫ скрытых работ'!A:O,11,FALSE),LEN(B309)+3,SEARCH(";",VLOOKUP(BS308,'АКТЫ скрытых работ'!A:O,11,FALSE),LEN(B309)+3)-LEN(B309)-3),MID(VLOOKUP(BS308,'АКТЫ скрытых работ'!A:O,11,FALSE),LEN(B309)+3,LEN(VLOOKUP(BS308,'АКТЫ скрытых работ'!A:O,11,FALSE))))</f>
        <v/>
      </c>
      <c r="C310" s="730" t="e">
        <f ca="1">IF(B310="Контрольно-исполнительная съемка","б/н",MID(B310,SEARCH("№",B310,1),SEARCH(" ",B310,SEARCH("№",B310,1))-SEARCH("№",B310,1)))</f>
        <v>#VALUE!</v>
      </c>
      <c r="D310" s="731"/>
      <c r="E310" s="731"/>
      <c r="F310" s="731"/>
      <c r="G310" s="731"/>
      <c r="H310" s="731"/>
      <c r="I310" s="731"/>
      <c r="J310" s="731"/>
      <c r="K310" s="731"/>
      <c r="L310" s="731"/>
      <c r="M310" s="731"/>
      <c r="N310" s="731"/>
      <c r="O310" s="731"/>
      <c r="P310" s="731"/>
      <c r="Q310" s="731"/>
      <c r="R310" s="731"/>
      <c r="S310" s="731"/>
      <c r="T310" s="731"/>
      <c r="U310" s="731"/>
      <c r="V310" s="731"/>
      <c r="W310" s="731"/>
      <c r="X310" s="731"/>
      <c r="Y310" s="732"/>
      <c r="Z310" s="727">
        <f ca="1">IFERROR(IF(OR(IFERROR(B310,0)=0,B310=""),0,1),0)</f>
        <v>0</v>
      </c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729"/>
      <c r="BL310" s="729"/>
      <c r="BM310" s="729"/>
      <c r="BN310" s="729"/>
      <c r="BO310" s="729"/>
      <c r="BP310" s="729"/>
      <c r="BQ310" s="19">
        <f t="shared" ca="1" si="11"/>
        <v>0</v>
      </c>
    </row>
    <row r="311" spans="1:74" hidden="1">
      <c r="A311" s="542">
        <f ca="1">SUBTOTAL(9,$BQ$9:BQ311)</f>
        <v>131</v>
      </c>
      <c r="B311" s="543" t="str">
        <f ca="1">IF(IFERROR(SEARCH(";",VLOOKUP(BS308,'АКТЫ скрытых работ'!A:O,11,FALSE),SUM(LEN(B309),LEN(B310))+4),0)&lt;&gt;0,MID(VLOOKUP(BS308,'АКТЫ скрытых работ'!A:O,11,FALSE),SUM(LEN(B309),LEN(B310))+5,SEARCH(";",VLOOKUP(BS308,'АКТЫ скрытых работ'!A:O,11,FALSE),SUM(LEN(B309),LEN(B310))+4)-SUM(LEN(B309),LEN(B310))-5),MID(VLOOKUP(BS308,'АКТЫ скрытых работ'!A:O,11,FALSE),SUM(LEN(B309),LEN(B310))+5,LEN(VLOOKUP(BS308,'АКТЫ скрытых работ'!A:O,11,FALSE))))</f>
        <v/>
      </c>
      <c r="C311" s="730" t="e">
        <f ca="1">IF(B311="Контрольно-исполнительная съемка","б/н",MID(B311,SEARCH("№",B311,1),SEARCH(" ",B311,SEARCH("№",B311,1))-SEARCH("№",B311,1)))</f>
        <v>#VALUE!</v>
      </c>
      <c r="D311" s="731"/>
      <c r="E311" s="731"/>
      <c r="F311" s="731"/>
      <c r="G311" s="731"/>
      <c r="H311" s="731"/>
      <c r="I311" s="731"/>
      <c r="J311" s="731"/>
      <c r="K311" s="731"/>
      <c r="L311" s="731"/>
      <c r="M311" s="731"/>
      <c r="N311" s="731"/>
      <c r="O311" s="731"/>
      <c r="P311" s="731"/>
      <c r="Q311" s="731"/>
      <c r="R311" s="731"/>
      <c r="S311" s="731"/>
      <c r="T311" s="731"/>
      <c r="U311" s="731"/>
      <c r="V311" s="731"/>
      <c r="W311" s="731"/>
      <c r="X311" s="731"/>
      <c r="Y311" s="732"/>
      <c r="Z311" s="727">
        <f ca="1">IFERROR(IF(OR(IFERROR(B311,0)=0,B311=""),0,1),0)</f>
        <v>0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9"/>
      <c r="BL311" s="729"/>
      <c r="BM311" s="729"/>
      <c r="BN311" s="729"/>
      <c r="BO311" s="729"/>
      <c r="BP311" s="729"/>
      <c r="BQ311" s="19">
        <f t="shared" ca="1" si="11"/>
        <v>0</v>
      </c>
      <c r="BV311" s="19" t="str">
        <f>MID(BV295,1,LEN(BV295))</f>
        <v/>
      </c>
    </row>
    <row r="312" spans="1:74" hidden="1">
      <c r="A312" s="542">
        <f ca="1">SUBTOTAL(9,$BQ$9:BQ312)</f>
        <v>131</v>
      </c>
      <c r="B312" s="543" t="str">
        <f ca="1">IF(IFERROR(SEARCH(";",VLOOKUP(BS308,'АКТЫ скрытых работ'!A:O,11,FALSE),SUM(LEN(B309),LEN(B310),LEN(B311))+8),0)&lt;&gt;0,MID(VLOOKUP(BS308,'АКТЫ скрытых работ'!A:O,11,FALSE),SUM(LEN(B309),LEN(B310),LEN(B311))+4,SEARCH(";",VLOOKUP(BS308,'АКТЫ скрытых работ'!A:O,11,FALSE),SUM(LEN(B309),LEN(B310),LEN(B311))+4)-SUM(LEN(B309),LEN(B310),LEN(B311))-6),MID(VLOOKUP(BS308,'АКТЫ скрытых работ'!A:O,11,FALSE),SUM(LEN(B309),LEN(B310),LEN(B311))+7,LEN(VLOOKUP(BS308,'АКТЫ скрытых работ'!A:O,11,FALSE))))</f>
        <v/>
      </c>
      <c r="C312" s="730" t="e">
        <f ca="1">IF(B312="Контрольно-исполнительная съемка","б/н",MID(B312,SEARCH("№",B312,1),SEARCH(" ",B312,SEARCH("№",B312,1))-SEARCH("№",B312,1)))</f>
        <v>#VALUE!</v>
      </c>
      <c r="D312" s="731"/>
      <c r="E312" s="731"/>
      <c r="F312" s="731"/>
      <c r="G312" s="731"/>
      <c r="H312" s="731"/>
      <c r="I312" s="731"/>
      <c r="J312" s="731"/>
      <c r="K312" s="731"/>
      <c r="L312" s="731"/>
      <c r="M312" s="731"/>
      <c r="N312" s="731"/>
      <c r="O312" s="731"/>
      <c r="P312" s="731"/>
      <c r="Q312" s="731"/>
      <c r="R312" s="731"/>
      <c r="S312" s="731"/>
      <c r="T312" s="731"/>
      <c r="U312" s="731"/>
      <c r="V312" s="731"/>
      <c r="W312" s="731"/>
      <c r="X312" s="731"/>
      <c r="Y312" s="732"/>
      <c r="Z312" s="727">
        <f ca="1">IFERROR(IF(OR(IFERROR(B312,0)=0,B312=""),0,1),0)</f>
        <v>0</v>
      </c>
      <c r="AA312" s="727"/>
      <c r="AB312" s="727"/>
      <c r="AC312" s="727"/>
      <c r="AD312" s="727"/>
      <c r="AE312" s="727"/>
      <c r="AF312" s="727"/>
      <c r="AG312" s="727"/>
      <c r="AH312" s="727"/>
      <c r="AI312" s="727"/>
      <c r="AJ312" s="727"/>
      <c r="AK312" s="727"/>
      <c r="AL312" s="727"/>
      <c r="AM312" s="727"/>
      <c r="AN312" s="727"/>
      <c r="AO312" s="727"/>
      <c r="AP312" s="727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729"/>
      <c r="BL312" s="729"/>
      <c r="BM312" s="729"/>
      <c r="BN312" s="729"/>
      <c r="BO312" s="729"/>
      <c r="BP312" s="729"/>
      <c r="BQ312" s="19">
        <f t="shared" ca="1" si="11"/>
        <v>0</v>
      </c>
    </row>
    <row r="313" spans="1:74" hidden="1">
      <c r="A313" s="542">
        <f ca="1">SUBTOTAL(9,$BQ$9:BQ313)</f>
        <v>131</v>
      </c>
      <c r="B313" s="543" t="str">
        <f ca="1">VLOOKUP(BS308,'АКТЫ скрытых работ'!A:O,14,FALSE)</f>
        <v>-</v>
      </c>
      <c r="C313" s="727" t="str">
        <f ca="1">IF(B313&lt;&gt;"-","б/н","")</f>
        <v/>
      </c>
      <c r="D313" s="727"/>
      <c r="E313" s="727"/>
      <c r="F313" s="727"/>
      <c r="G313" s="727"/>
      <c r="H313" s="727"/>
      <c r="I313" s="727"/>
      <c r="J313" s="727"/>
      <c r="K313" s="727"/>
      <c r="L313" s="727"/>
      <c r="M313" s="727"/>
      <c r="N313" s="727"/>
      <c r="O313" s="727"/>
      <c r="P313" s="727"/>
      <c r="Q313" s="727"/>
      <c r="R313" s="727"/>
      <c r="S313" s="727"/>
      <c r="T313" s="727"/>
      <c r="U313" s="727"/>
      <c r="V313" s="727"/>
      <c r="W313" s="727"/>
      <c r="X313" s="727"/>
      <c r="Y313" s="727"/>
      <c r="Z313" s="727">
        <f ca="1">IFERROR(IF(OR(IFERROR(B313,0)=0,B313="-"),0,"1 компл"),0)</f>
        <v>0</v>
      </c>
      <c r="AA313" s="727"/>
      <c r="AB313" s="727"/>
      <c r="AC313" s="727"/>
      <c r="AD313" s="727"/>
      <c r="AE313" s="727"/>
      <c r="AF313" s="727"/>
      <c r="AG313" s="727"/>
      <c r="AH313" s="727"/>
      <c r="AI313" s="727"/>
      <c r="AJ313" s="727"/>
      <c r="AK313" s="727"/>
      <c r="AL313" s="727"/>
      <c r="AM313" s="727"/>
      <c r="AN313" s="727"/>
      <c r="AO313" s="727"/>
      <c r="AP313" s="727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729"/>
      <c r="BL313" s="729"/>
      <c r="BM313" s="729"/>
      <c r="BN313" s="729"/>
      <c r="BO313" s="729"/>
      <c r="BP313" s="729"/>
      <c r="BQ313" s="19">
        <f t="shared" ca="1" si="11"/>
        <v>0</v>
      </c>
    </row>
    <row r="314" spans="1:74" ht="26">
      <c r="A314" s="542">
        <f ca="1">SUBTOTAL(9,$BQ$9:BQ314)</f>
        <v>132</v>
      </c>
      <c r="B314" s="543" t="str">
        <f ca="1">IF(BS314&lt;&gt;"",IF(MID(BS314,1,4)="АОСР",CONCATENATE("Акт освидетельствования скрытых работ '",VLOOKUP(BS314,'АКТЫ скрытых работ'!A:O,3,FALSE),"'"),CONCATENATE("Акт освидетельствования ответственных конструкций '",VLOOKUP(BS314,'АКТЫ скрытых работ'!A:O,3,FALSE),"'")),0)</f>
        <v>Акт освидетельствования скрытых работ 'Монтаж вертикальных электродов контура заземления'</v>
      </c>
      <c r="C314" s="727" t="str">
        <f ca="1">CONCATENATE("№",VLOOKUP(BS314,'АКТЫ скрытых работ'!A:O,2,FALSE))</f>
        <v>№2-КЗ_КК_7</v>
      </c>
      <c r="D314" s="727"/>
      <c r="E314" s="727"/>
      <c r="F314" s="727"/>
      <c r="G314" s="727"/>
      <c r="H314" s="727"/>
      <c r="I314" s="727"/>
      <c r="J314" s="727"/>
      <c r="K314" s="727"/>
      <c r="L314" s="727"/>
      <c r="M314" s="727"/>
      <c r="N314" s="727"/>
      <c r="O314" s="727"/>
      <c r="P314" s="727"/>
      <c r="Q314" s="727"/>
      <c r="R314" s="727"/>
      <c r="S314" s="727"/>
      <c r="T314" s="727"/>
      <c r="U314" s="727"/>
      <c r="V314" s="727"/>
      <c r="W314" s="727"/>
      <c r="X314" s="727"/>
      <c r="Y314" s="727"/>
      <c r="Z314" s="727">
        <f ca="1">IF(BS314="АООК_",0,1)</f>
        <v>1</v>
      </c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729"/>
      <c r="BL314" s="729"/>
      <c r="BM314" s="729"/>
      <c r="BN314" s="729"/>
      <c r="BO314" s="729"/>
      <c r="BP314" s="729"/>
      <c r="BQ314" s="19">
        <f t="shared" ca="1" si="11"/>
        <v>1</v>
      </c>
      <c r="BR314" s="726"/>
      <c r="BS314" s="569" t="str">
        <f ca="1">IF(INDIRECT("'АКТЫ скрытых работ'!R"&amp;BU314&amp;"C1",0)=CONCATENATE("АОСР_",BT314),CONCATENATE("АОСР_",BT314),CONCATENATE("АООК_",BT314))</f>
        <v>АОСР_40</v>
      </c>
      <c r="BT314" s="569">
        <v>40</v>
      </c>
      <c r="BU314" s="570">
        <f>BT314+1</f>
        <v>41</v>
      </c>
    </row>
    <row r="315" spans="1:74" ht="26">
      <c r="A315" s="542">
        <f ca="1">SUBTOTAL(9,$BQ$9:BQ315)</f>
        <v>133</v>
      </c>
      <c r="B315" s="545" t="str">
        <f ca="1">IF(IFERROR(SEARCH("; ",VLOOKUP(BS314,'АКТЫ скрытых работ'!A:O,11,FALSE),1),0)=0,VLOOKUP(BS314,'АКТЫ скрытых работ'!A:O,11,FALSE),LEFT(VLOOKUP(BS314,'АКТЫ скрытых работ'!A:O,11,FALSE),SEARCH(";",VLOOKUP(BS314,'АКТЫ скрытых работ'!A:O,11,FALSE))-1))</f>
        <v>Исполнительная схема №1 Монтаж контура заземления КК-0,4кВ</v>
      </c>
      <c r="C315" s="730" t="str">
        <f ca="1">IF(B315="Контрольно-исполнительная съемка","б/н",MID(B315,SEARCH("№",B315,1),SEARCH(" ",B315,SEARCH("№",B315,1))-SEARCH("№",B315,1)))</f>
        <v>№1</v>
      </c>
      <c r="D315" s="731"/>
      <c r="E315" s="731"/>
      <c r="F315" s="731"/>
      <c r="G315" s="731"/>
      <c r="H315" s="731"/>
      <c r="I315" s="731"/>
      <c r="J315" s="731"/>
      <c r="K315" s="731"/>
      <c r="L315" s="731"/>
      <c r="M315" s="731"/>
      <c r="N315" s="731"/>
      <c r="O315" s="731"/>
      <c r="P315" s="731"/>
      <c r="Q315" s="731"/>
      <c r="R315" s="731"/>
      <c r="S315" s="731"/>
      <c r="T315" s="731"/>
      <c r="U315" s="731"/>
      <c r="V315" s="731"/>
      <c r="W315" s="731"/>
      <c r="X315" s="731"/>
      <c r="Y315" s="732"/>
      <c r="Z315" s="727">
        <f ca="1">IFERROR(IF(OR(IFERROR(B315,0)=0,B315="-"),0,1),0)</f>
        <v>1</v>
      </c>
      <c r="AA315" s="727"/>
      <c r="AB315" s="727"/>
      <c r="AC315" s="727"/>
      <c r="AD315" s="727"/>
      <c r="AE315" s="727"/>
      <c r="AF315" s="727"/>
      <c r="AG315" s="727"/>
      <c r="AH315" s="727"/>
      <c r="AI315" s="727"/>
      <c r="AJ315" s="727"/>
      <c r="AK315" s="727"/>
      <c r="AL315" s="727"/>
      <c r="AM315" s="727"/>
      <c r="AN315" s="727"/>
      <c r="AO315" s="727"/>
      <c r="AP315" s="727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9"/>
      <c r="BL315" s="729"/>
      <c r="BM315" s="729"/>
      <c r="BN315" s="729"/>
      <c r="BO315" s="729"/>
      <c r="BP315" s="729"/>
      <c r="BQ315" s="19">
        <f t="shared" ca="1" si="11"/>
        <v>1</v>
      </c>
      <c r="BR315" s="726"/>
    </row>
    <row r="316" spans="1:74" hidden="1">
      <c r="A316" s="542">
        <f ca="1">SUBTOTAL(9,$BQ$9:BQ316)</f>
        <v>133</v>
      </c>
      <c r="B316" s="543" t="str">
        <f ca="1">IF(IFERROR(SEARCH(";",VLOOKUP(BS314,'АКТЫ скрытых работ'!A:O,11,FALSE),LEN(B315)+2),0)&lt;&gt;0,MID(VLOOKUP(BS314,'АКТЫ скрытых работ'!A:O,11,FALSE),LEN(B315)+3,SEARCH(";",VLOOKUP(BS314,'АКТЫ скрытых работ'!A:O,11,FALSE),LEN(B315)+3)-LEN(B315)-3),MID(VLOOKUP(BS314,'АКТЫ скрытых работ'!A:O,11,FALSE),LEN(B315)+3,LEN(VLOOKUP(BS314,'АКТЫ скрытых работ'!A:O,11,FALSE))))</f>
        <v/>
      </c>
      <c r="C316" s="730" t="e">
        <f ca="1">IF(B316="Контрольно-исполнительная съемка","б/н",MID(B316,SEARCH("№",B316,1),SEARCH(" ",B316,SEARCH("№",B316,1))-SEARCH("№",B316,1)))</f>
        <v>#VALUE!</v>
      </c>
      <c r="D316" s="731"/>
      <c r="E316" s="731"/>
      <c r="F316" s="731"/>
      <c r="G316" s="731"/>
      <c r="H316" s="731"/>
      <c r="I316" s="731"/>
      <c r="J316" s="731"/>
      <c r="K316" s="731"/>
      <c r="L316" s="731"/>
      <c r="M316" s="731"/>
      <c r="N316" s="731"/>
      <c r="O316" s="731"/>
      <c r="P316" s="731"/>
      <c r="Q316" s="731"/>
      <c r="R316" s="731"/>
      <c r="S316" s="731"/>
      <c r="T316" s="731"/>
      <c r="U316" s="731"/>
      <c r="V316" s="731"/>
      <c r="W316" s="731"/>
      <c r="X316" s="731"/>
      <c r="Y316" s="732"/>
      <c r="Z316" s="727">
        <f ca="1">IFERROR(IF(OR(IFERROR(B316,0)=0,B316=""),0,1),0)</f>
        <v>0</v>
      </c>
      <c r="AA316" s="727"/>
      <c r="AB316" s="727"/>
      <c r="AC316" s="727"/>
      <c r="AD316" s="727"/>
      <c r="AE316" s="727"/>
      <c r="AF316" s="727"/>
      <c r="AG316" s="727"/>
      <c r="AH316" s="727"/>
      <c r="AI316" s="727"/>
      <c r="AJ316" s="727"/>
      <c r="AK316" s="727"/>
      <c r="AL316" s="727"/>
      <c r="AM316" s="727"/>
      <c r="AN316" s="727"/>
      <c r="AO316" s="727"/>
      <c r="AP316" s="727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729"/>
      <c r="BL316" s="729"/>
      <c r="BM316" s="729"/>
      <c r="BN316" s="729"/>
      <c r="BO316" s="729"/>
      <c r="BP316" s="729"/>
      <c r="BQ316" s="19">
        <f t="shared" ca="1" si="11"/>
        <v>0</v>
      </c>
      <c r="BR316" s="726"/>
    </row>
    <row r="317" spans="1:74" hidden="1">
      <c r="A317" s="542">
        <f ca="1">SUBTOTAL(9,$BQ$9:BQ317)</f>
        <v>133</v>
      </c>
      <c r="B317" s="543" t="str">
        <f ca="1">IF(IFERROR(SEARCH(";",VLOOKUP(BS314,'АКТЫ скрытых работ'!A:O,11,FALSE),SUM(LEN(B315),LEN(B316))+4),0)&lt;&gt;0,MID(VLOOKUP(BS314,'АКТЫ скрытых работ'!A:O,11,FALSE),SUM(LEN(B315),LEN(B316))+5,SEARCH(";",VLOOKUP(BS314,'АКТЫ скрытых работ'!A:O,11,FALSE),SUM(LEN(B315),LEN(B316))+4)-SUM(LEN(B315),LEN(B316))-5),MID(VLOOKUP(BS314,'АКТЫ скрытых работ'!A:O,11,FALSE),SUM(LEN(B315),LEN(B316))+5,LEN(VLOOKUP(BS314,'АКТЫ скрытых работ'!A:O,11,FALSE))))</f>
        <v/>
      </c>
      <c r="C317" s="730" t="e">
        <f ca="1">IF(B317="Контрольно-исполнительная съемка","б/н",MID(B317,SEARCH("№",B317,1),SEARCH(" ",B317,SEARCH("№",B317,1))-SEARCH("№",B317,1)))</f>
        <v>#VALUE!</v>
      </c>
      <c r="D317" s="731"/>
      <c r="E317" s="731"/>
      <c r="F317" s="731"/>
      <c r="G317" s="731"/>
      <c r="H317" s="731"/>
      <c r="I317" s="731"/>
      <c r="J317" s="731"/>
      <c r="K317" s="731"/>
      <c r="L317" s="731"/>
      <c r="M317" s="731"/>
      <c r="N317" s="731"/>
      <c r="O317" s="731"/>
      <c r="P317" s="731"/>
      <c r="Q317" s="731"/>
      <c r="R317" s="731"/>
      <c r="S317" s="731"/>
      <c r="T317" s="731"/>
      <c r="U317" s="731"/>
      <c r="V317" s="731"/>
      <c r="W317" s="731"/>
      <c r="X317" s="731"/>
      <c r="Y317" s="732"/>
      <c r="Z317" s="727">
        <f ca="1">IFERROR(IF(OR(IFERROR(B317,0)=0,B317=""),0,1),0)</f>
        <v>0</v>
      </c>
      <c r="AA317" s="727"/>
      <c r="AB317" s="727"/>
      <c r="AC317" s="727"/>
      <c r="AD317" s="727"/>
      <c r="AE317" s="727"/>
      <c r="AF317" s="727"/>
      <c r="AG317" s="727"/>
      <c r="AH317" s="727"/>
      <c r="AI317" s="727"/>
      <c r="AJ317" s="727"/>
      <c r="AK317" s="727"/>
      <c r="AL317" s="727"/>
      <c r="AM317" s="727"/>
      <c r="AN317" s="727"/>
      <c r="AO317" s="727"/>
      <c r="AP317" s="727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729"/>
      <c r="BL317" s="729"/>
      <c r="BM317" s="729"/>
      <c r="BN317" s="729"/>
      <c r="BO317" s="729"/>
      <c r="BP317" s="729"/>
      <c r="BQ317" s="19">
        <f ca="1">IF(Z317&gt;0,1,0)</f>
        <v>0</v>
      </c>
      <c r="BR317" s="726"/>
      <c r="BV317" s="19" t="str">
        <f>MID(BV301,1,LEN(BV301))</f>
        <v/>
      </c>
    </row>
    <row r="318" spans="1:74" hidden="1">
      <c r="A318" s="542">
        <f ca="1">SUBTOTAL(9,$BQ$9:BQ318)</f>
        <v>133</v>
      </c>
      <c r="B318" s="543" t="str">
        <f ca="1">IF(IFERROR(SEARCH(";",VLOOKUP(BS314,'АКТЫ скрытых работ'!A:O,11,FALSE),SUM(LEN(B315),LEN(B316),LEN(B317))+8),0)&lt;&gt;0,MID(VLOOKUP(BS314,'АКТЫ скрытых работ'!A:O,11,FALSE),SUM(LEN(B315),LEN(B316),LEN(B317))+4,SEARCH(";",VLOOKUP(BS314,'АКТЫ скрытых работ'!A:O,11,FALSE),SUM(LEN(B315),LEN(B316),LEN(B317))+4)-SUM(LEN(B315),LEN(B316),LEN(B317))-6),MID(VLOOKUP(BS314,'АКТЫ скрытых работ'!A:O,11,FALSE),SUM(LEN(B315),LEN(B316),LEN(B317))+7,LEN(VLOOKUP(BS314,'АКТЫ скрытых работ'!A:O,11,FALSE))))</f>
        <v/>
      </c>
      <c r="C318" s="730" t="e">
        <f ca="1">IF(B318="Контрольно-исполнительная съемка","б/н",MID(B318,SEARCH("№",B318,1),SEARCH(" ",B318,SEARCH("№",B318,1))-SEARCH("№",B318,1)))</f>
        <v>#VALUE!</v>
      </c>
      <c r="D318" s="731"/>
      <c r="E318" s="731"/>
      <c r="F318" s="731"/>
      <c r="G318" s="731"/>
      <c r="H318" s="731"/>
      <c r="I318" s="731"/>
      <c r="J318" s="731"/>
      <c r="K318" s="731"/>
      <c r="L318" s="731"/>
      <c r="M318" s="731"/>
      <c r="N318" s="731"/>
      <c r="O318" s="731"/>
      <c r="P318" s="731"/>
      <c r="Q318" s="731"/>
      <c r="R318" s="731"/>
      <c r="S318" s="731"/>
      <c r="T318" s="731"/>
      <c r="U318" s="731"/>
      <c r="V318" s="731"/>
      <c r="W318" s="731"/>
      <c r="X318" s="731"/>
      <c r="Y318" s="732"/>
      <c r="Z318" s="727">
        <f ca="1">IFERROR(IF(OR(IFERROR(B318,0)=0,B318=""),0,1),0)</f>
        <v>0</v>
      </c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729"/>
      <c r="BL318" s="729"/>
      <c r="BM318" s="729"/>
      <c r="BN318" s="729"/>
      <c r="BO318" s="729"/>
      <c r="BP318" s="729"/>
      <c r="BQ318" s="19">
        <f ca="1">IF(Z318&gt;0,1,0)</f>
        <v>0</v>
      </c>
      <c r="BR318" s="726"/>
    </row>
    <row r="319" spans="1:74" ht="39">
      <c r="A319" s="542">
        <f ca="1">SUBTOTAL(9,$BQ$9:BQ319)</f>
        <v>134</v>
      </c>
      <c r="B319" s="543" t="str">
        <f ca="1">VLOOKUP(BS314,'АКТЫ скрытых работ'!A:O,14,FALSE)</f>
        <v>Информационное письмо №1157 от 26.10.2016 "Центр Декларирования Сертификации" (ООО "ЦДС)"</v>
      </c>
      <c r="C319" s="727" t="str">
        <f ca="1">IF(B319&lt;&gt;"-","б/н","")</f>
        <v>б/н</v>
      </c>
      <c r="D319" s="727"/>
      <c r="E319" s="727"/>
      <c r="F319" s="727"/>
      <c r="G319" s="727"/>
      <c r="H319" s="727"/>
      <c r="I319" s="727"/>
      <c r="J319" s="727"/>
      <c r="K319" s="727"/>
      <c r="L319" s="727"/>
      <c r="M319" s="727"/>
      <c r="N319" s="727"/>
      <c r="O319" s="727"/>
      <c r="P319" s="727"/>
      <c r="Q319" s="727"/>
      <c r="R319" s="727"/>
      <c r="S319" s="727"/>
      <c r="T319" s="727"/>
      <c r="U319" s="727"/>
      <c r="V319" s="727"/>
      <c r="W319" s="727"/>
      <c r="X319" s="727"/>
      <c r="Y319" s="727"/>
      <c r="Z319" s="727" t="str">
        <f ca="1">IFERROR(IF(OR(IFERROR(B319,0)=0,B319="-"),0,"1 компл"),0)</f>
        <v>1 компл</v>
      </c>
      <c r="AA319" s="727"/>
      <c r="AB319" s="727"/>
      <c r="AC319" s="727"/>
      <c r="AD319" s="727"/>
      <c r="AE319" s="727"/>
      <c r="AF319" s="727"/>
      <c r="AG319" s="727"/>
      <c r="AH319" s="727"/>
      <c r="AI319" s="727"/>
      <c r="AJ319" s="727"/>
      <c r="AK319" s="727"/>
      <c r="AL319" s="727"/>
      <c r="AM319" s="727"/>
      <c r="AN319" s="727"/>
      <c r="AO319" s="727"/>
      <c r="AP319" s="727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9"/>
      <c r="BL319" s="729"/>
      <c r="BM319" s="729"/>
      <c r="BN319" s="729"/>
      <c r="BO319" s="729"/>
      <c r="BP319" s="729"/>
      <c r="BQ319" s="19">
        <f t="shared" ref="BQ319:BQ382" ca="1" si="12">IF(Z319&gt;0,1,0)</f>
        <v>1</v>
      </c>
      <c r="BR319" s="726"/>
    </row>
    <row r="320" spans="1:74" ht="26">
      <c r="A320" s="542">
        <f ca="1">SUBTOTAL(9,$BQ$9:BQ320)</f>
        <v>135</v>
      </c>
      <c r="B320" s="543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горизонтального заземлителя'</v>
      </c>
      <c r="C320" s="727" t="str">
        <f ca="1">CONCATENATE("№",VLOOKUP(BS320,'АКТЫ скрытых работ'!A:O,2,FALSE))</f>
        <v>№3-КЗ_КК_7</v>
      </c>
      <c r="D320" s="727"/>
      <c r="E320" s="727"/>
      <c r="F320" s="727"/>
      <c r="G320" s="727"/>
      <c r="H320" s="727"/>
      <c r="I320" s="727"/>
      <c r="J320" s="727"/>
      <c r="K320" s="727"/>
      <c r="L320" s="727"/>
      <c r="M320" s="727"/>
      <c r="N320" s="727"/>
      <c r="O320" s="727"/>
      <c r="P320" s="727"/>
      <c r="Q320" s="727"/>
      <c r="R320" s="727"/>
      <c r="S320" s="727"/>
      <c r="T320" s="727"/>
      <c r="U320" s="727"/>
      <c r="V320" s="727"/>
      <c r="W320" s="727"/>
      <c r="X320" s="727"/>
      <c r="Y320" s="727"/>
      <c r="Z320" s="727">
        <f ca="1">IF(BS320="АООК_",0,1)</f>
        <v>1</v>
      </c>
      <c r="AA320" s="727"/>
      <c r="AB320" s="727"/>
      <c r="AC320" s="727"/>
      <c r="AD320" s="727"/>
      <c r="AE320" s="727"/>
      <c r="AF320" s="727"/>
      <c r="AG320" s="727"/>
      <c r="AH320" s="727"/>
      <c r="AI320" s="727"/>
      <c r="AJ320" s="727"/>
      <c r="AK320" s="727"/>
      <c r="AL320" s="727"/>
      <c r="AM320" s="727"/>
      <c r="AN320" s="727"/>
      <c r="AO320" s="727"/>
      <c r="AP320" s="727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729"/>
      <c r="BL320" s="729"/>
      <c r="BM320" s="729"/>
      <c r="BN320" s="729"/>
      <c r="BO320" s="729"/>
      <c r="BP320" s="729"/>
      <c r="BQ320" s="19">
        <f t="shared" ca="1" si="12"/>
        <v>1</v>
      </c>
      <c r="BS320" s="569" t="str">
        <f ca="1">IF(INDIRECT("'АКТЫ скрытых работ'!R"&amp;BU320&amp;"C1",0)=CONCATENATE("АОСР_",BT320),CONCATENATE("АОСР_",BT320),CONCATENATE("АООК_",BT320))</f>
        <v>АОСР_41</v>
      </c>
      <c r="BT320" s="569">
        <v>41</v>
      </c>
      <c r="BU320" s="570">
        <f>BT320+1</f>
        <v>42</v>
      </c>
    </row>
    <row r="321" spans="1:74" ht="26">
      <c r="A321" s="542">
        <f ca="1">SUBTOTAL(9,$BQ$9:BQ321)</f>
        <v>136</v>
      </c>
      <c r="B321" s="545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№1 Монтаж контура заземления КК-0,4кВ</v>
      </c>
      <c r="C321" s="730" t="str">
        <f ca="1">IF(B321="Контрольно-исполнительная съемка","б/н",MID(B321,SEARCH("№",B321,1),SEARCH(" ",B321,SEARCH("№",B321,1))-SEARCH("№",B321,1)))</f>
        <v>№1</v>
      </c>
      <c r="D321" s="731"/>
      <c r="E321" s="731"/>
      <c r="F321" s="731"/>
      <c r="G321" s="731"/>
      <c r="H321" s="731"/>
      <c r="I321" s="731"/>
      <c r="J321" s="731"/>
      <c r="K321" s="731"/>
      <c r="L321" s="731"/>
      <c r="M321" s="731"/>
      <c r="N321" s="731"/>
      <c r="O321" s="731"/>
      <c r="P321" s="731"/>
      <c r="Q321" s="731"/>
      <c r="R321" s="731"/>
      <c r="S321" s="731"/>
      <c r="T321" s="731"/>
      <c r="U321" s="731"/>
      <c r="V321" s="731"/>
      <c r="W321" s="731"/>
      <c r="X321" s="731"/>
      <c r="Y321" s="732"/>
      <c r="Z321" s="727">
        <f ca="1">IFERROR(IF(OR(IFERROR(B321,0)=0,B321="-"),0,1),0)</f>
        <v>1</v>
      </c>
      <c r="AA321" s="727"/>
      <c r="AB321" s="727"/>
      <c r="AC321" s="727"/>
      <c r="AD321" s="727"/>
      <c r="AE321" s="727"/>
      <c r="AF321" s="727"/>
      <c r="AG321" s="727"/>
      <c r="AH321" s="727"/>
      <c r="AI321" s="727"/>
      <c r="AJ321" s="727"/>
      <c r="AK321" s="727"/>
      <c r="AL321" s="727"/>
      <c r="AM321" s="727"/>
      <c r="AN321" s="727"/>
      <c r="AO321" s="727"/>
      <c r="AP321" s="727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729"/>
      <c r="BL321" s="729"/>
      <c r="BM321" s="729"/>
      <c r="BN321" s="729"/>
      <c r="BO321" s="729"/>
      <c r="BP321" s="729"/>
      <c r="BQ321" s="19">
        <f t="shared" ca="1" si="12"/>
        <v>1</v>
      </c>
    </row>
    <row r="322" spans="1:74" hidden="1">
      <c r="A322" s="542">
        <f ca="1">SUBTOTAL(9,$BQ$9:BQ322)</f>
        <v>136</v>
      </c>
      <c r="B322" s="543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/>
      </c>
      <c r="C322" s="730" t="e">
        <f ca="1">IF(B322="Контрольно-исполнительная съемка","б/н",MID(B322,SEARCH("№",B322,1),SEARCH(" ",B322,SEARCH("№",B322,1))-SEARCH("№",B322,1)))</f>
        <v>#VALUE!</v>
      </c>
      <c r="D322" s="731"/>
      <c r="E322" s="731"/>
      <c r="F322" s="731"/>
      <c r="G322" s="731"/>
      <c r="H322" s="731"/>
      <c r="I322" s="731"/>
      <c r="J322" s="731"/>
      <c r="K322" s="731"/>
      <c r="L322" s="731"/>
      <c r="M322" s="731"/>
      <c r="N322" s="731"/>
      <c r="O322" s="731"/>
      <c r="P322" s="731"/>
      <c r="Q322" s="731"/>
      <c r="R322" s="731"/>
      <c r="S322" s="731"/>
      <c r="T322" s="731"/>
      <c r="U322" s="731"/>
      <c r="V322" s="731"/>
      <c r="W322" s="731"/>
      <c r="X322" s="731"/>
      <c r="Y322" s="732"/>
      <c r="Z322" s="727">
        <f ca="1">IFERROR(IF(OR(IFERROR(B322,0)=0,B322=""),0,1),0)</f>
        <v>0</v>
      </c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729"/>
      <c r="BL322" s="729"/>
      <c r="BM322" s="729"/>
      <c r="BN322" s="729"/>
      <c r="BO322" s="729"/>
      <c r="BP322" s="729"/>
      <c r="BQ322" s="19">
        <f t="shared" ca="1" si="12"/>
        <v>0</v>
      </c>
    </row>
    <row r="323" spans="1:74" hidden="1">
      <c r="A323" s="542">
        <f ca="1">SUBTOTAL(9,$BQ$9:BQ323)</f>
        <v>136</v>
      </c>
      <c r="B323" s="543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730" t="e">
        <f ca="1">IF(B323="Контрольно-исполнительная съемка","б/н",MID(B323,SEARCH("№",B323,1),SEARCH(" ",B323,SEARCH("№",B323,1))-SEARCH("№",B323,1)))</f>
        <v>#VALUE!</v>
      </c>
      <c r="D323" s="731"/>
      <c r="E323" s="731"/>
      <c r="F323" s="731"/>
      <c r="G323" s="731"/>
      <c r="H323" s="731"/>
      <c r="I323" s="731"/>
      <c r="J323" s="731"/>
      <c r="K323" s="731"/>
      <c r="L323" s="731"/>
      <c r="M323" s="731"/>
      <c r="N323" s="731"/>
      <c r="O323" s="731"/>
      <c r="P323" s="731"/>
      <c r="Q323" s="731"/>
      <c r="R323" s="731"/>
      <c r="S323" s="731"/>
      <c r="T323" s="731"/>
      <c r="U323" s="731"/>
      <c r="V323" s="731"/>
      <c r="W323" s="731"/>
      <c r="X323" s="731"/>
      <c r="Y323" s="732"/>
      <c r="Z323" s="727">
        <f ca="1">IFERROR(IF(OR(IFERROR(B323,0)=0,B323=""),0,1),0)</f>
        <v>0</v>
      </c>
      <c r="AA323" s="727"/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/>
      <c r="AN323" s="727"/>
      <c r="AO323" s="727"/>
      <c r="AP323" s="727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9"/>
      <c r="BL323" s="729"/>
      <c r="BM323" s="729"/>
      <c r="BN323" s="729"/>
      <c r="BO323" s="729"/>
      <c r="BP323" s="729"/>
      <c r="BQ323" s="19">
        <f t="shared" ca="1" si="12"/>
        <v>0</v>
      </c>
      <c r="BV323" s="19" t="str">
        <f>MID(BV307,1,LEN(BV307))</f>
        <v/>
      </c>
    </row>
    <row r="324" spans="1:74" hidden="1">
      <c r="A324" s="542">
        <f ca="1">SUBTOTAL(9,$BQ$9:BQ324)</f>
        <v>136</v>
      </c>
      <c r="B324" s="543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730" t="e">
        <f ca="1">IF(B324="Контрольно-исполнительная съемка","б/н",MID(B324,SEARCH("№",B324,1),SEARCH(" ",B324,SEARCH("№",B324,1))-SEARCH("№",B324,1)))</f>
        <v>#VALUE!</v>
      </c>
      <c r="D324" s="731"/>
      <c r="E324" s="731"/>
      <c r="F324" s="731"/>
      <c r="G324" s="731"/>
      <c r="H324" s="731"/>
      <c r="I324" s="731"/>
      <c r="J324" s="731"/>
      <c r="K324" s="731"/>
      <c r="L324" s="731"/>
      <c r="M324" s="731"/>
      <c r="N324" s="731"/>
      <c r="O324" s="731"/>
      <c r="P324" s="731"/>
      <c r="Q324" s="731"/>
      <c r="R324" s="731"/>
      <c r="S324" s="731"/>
      <c r="T324" s="731"/>
      <c r="U324" s="731"/>
      <c r="V324" s="731"/>
      <c r="W324" s="731"/>
      <c r="X324" s="731"/>
      <c r="Y324" s="732"/>
      <c r="Z324" s="727">
        <f ca="1">IFERROR(IF(OR(IFERROR(B324,0)=0,B324=""),0,1),0)</f>
        <v>0</v>
      </c>
      <c r="AA324" s="727"/>
      <c r="AB324" s="727"/>
      <c r="AC324" s="727"/>
      <c r="AD324" s="727"/>
      <c r="AE324" s="727"/>
      <c r="AF324" s="727"/>
      <c r="AG324" s="727"/>
      <c r="AH324" s="727"/>
      <c r="AI324" s="727"/>
      <c r="AJ324" s="727"/>
      <c r="AK324" s="727"/>
      <c r="AL324" s="727"/>
      <c r="AM324" s="727"/>
      <c r="AN324" s="727"/>
      <c r="AO324" s="727"/>
      <c r="AP324" s="727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729"/>
      <c r="BL324" s="729"/>
      <c r="BM324" s="729"/>
      <c r="BN324" s="729"/>
      <c r="BO324" s="729"/>
      <c r="BP324" s="729"/>
      <c r="BQ324" s="19">
        <f t="shared" ca="1" si="12"/>
        <v>0</v>
      </c>
    </row>
    <row r="325" spans="1:74" ht="52">
      <c r="A325" s="542">
        <f ca="1">SUBTOTAL(9,$BQ$9:BQ325)</f>
        <v>137</v>
      </c>
      <c r="B325" s="543" t="str">
        <f ca="1">VLOOKUP(BS320,'АКТЫ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325" s="727" t="str">
        <f ca="1">IF(B325&lt;&gt;"-","б/н","")</f>
        <v>б/н</v>
      </c>
      <c r="D325" s="727"/>
      <c r="E325" s="727"/>
      <c r="F325" s="727"/>
      <c r="G325" s="727"/>
      <c r="H325" s="727"/>
      <c r="I325" s="727"/>
      <c r="J325" s="727"/>
      <c r="K325" s="727"/>
      <c r="L325" s="727"/>
      <c r="M325" s="727"/>
      <c r="N325" s="727"/>
      <c r="O325" s="727"/>
      <c r="P325" s="727"/>
      <c r="Q325" s="727"/>
      <c r="R325" s="727"/>
      <c r="S325" s="727"/>
      <c r="T325" s="727"/>
      <c r="U325" s="727"/>
      <c r="V325" s="727"/>
      <c r="W325" s="727"/>
      <c r="X325" s="727"/>
      <c r="Y325" s="727"/>
      <c r="Z325" s="727" t="str">
        <f ca="1">IFERROR(IF(OR(IFERROR(B325,0)=0,B325="-"),0,"1 компл"),0)</f>
        <v>1 компл</v>
      </c>
      <c r="AA325" s="727"/>
      <c r="AB325" s="727"/>
      <c r="AC325" s="727"/>
      <c r="AD325" s="727"/>
      <c r="AE325" s="727"/>
      <c r="AF325" s="727"/>
      <c r="AG325" s="727"/>
      <c r="AH325" s="727"/>
      <c r="AI325" s="727"/>
      <c r="AJ325" s="727"/>
      <c r="AK325" s="727"/>
      <c r="AL325" s="727"/>
      <c r="AM325" s="727"/>
      <c r="AN325" s="727"/>
      <c r="AO325" s="727"/>
      <c r="AP325" s="727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729"/>
      <c r="BL325" s="729"/>
      <c r="BM325" s="729"/>
      <c r="BN325" s="729"/>
      <c r="BO325" s="729"/>
      <c r="BP325" s="729"/>
      <c r="BQ325" s="19">
        <f t="shared" ca="1" si="12"/>
        <v>1</v>
      </c>
    </row>
    <row r="326" spans="1:74" ht="26">
      <c r="A326" s="542">
        <f ca="1">SUBTOTAL(9,$BQ$9:BQ326)</f>
        <v>138</v>
      </c>
      <c r="B326" s="543" t="str">
        <f ca="1">IF(BS326&lt;&gt;"",IF(MID(BS326,1,4)="АОСР",CONCATENATE("Акт освидетельствования скрытых работ '",VLOOKUP(BS326,'АКТЫ скрытых работ'!A:O,3,FALSE),"'"),CONCATENATE("Акт освидетельствования ответственных конструкций '",VLOOKUP(BS326,'АКТЫ скрытых работ'!A:O,3,FALSE),"'")),0)</f>
        <v>Акт освидетельствования скрытых работ 'Огрунтовка и окраска сварных соединений'</v>
      </c>
      <c r="C326" s="727" t="str">
        <f ca="1">CONCATENATE("№",VLOOKUP(BS326,'АКТЫ скрытых работ'!A:O,2,FALSE))</f>
        <v>№4-КЗ_КК_7</v>
      </c>
      <c r="D326" s="727"/>
      <c r="E326" s="727"/>
      <c r="F326" s="727"/>
      <c r="G326" s="727"/>
      <c r="H326" s="727"/>
      <c r="I326" s="727"/>
      <c r="J326" s="727"/>
      <c r="K326" s="727"/>
      <c r="L326" s="727"/>
      <c r="M326" s="727"/>
      <c r="N326" s="727"/>
      <c r="O326" s="727"/>
      <c r="P326" s="727"/>
      <c r="Q326" s="727"/>
      <c r="R326" s="727"/>
      <c r="S326" s="727"/>
      <c r="T326" s="727"/>
      <c r="U326" s="727"/>
      <c r="V326" s="727"/>
      <c r="W326" s="727"/>
      <c r="X326" s="727"/>
      <c r="Y326" s="727"/>
      <c r="Z326" s="727">
        <f ca="1">IF(BS326="АООК_",0,1)</f>
        <v>1</v>
      </c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729"/>
      <c r="BL326" s="729"/>
      <c r="BM326" s="729"/>
      <c r="BN326" s="729"/>
      <c r="BO326" s="729"/>
      <c r="BP326" s="729"/>
      <c r="BQ326" s="19">
        <f t="shared" ca="1" si="12"/>
        <v>1</v>
      </c>
      <c r="BS326" s="569" t="str">
        <f ca="1">IF(INDIRECT("'АКТЫ скрытых работ'!R"&amp;BU326&amp;"C1",0)=CONCATENATE("АОСР_",BT326),CONCATENATE("АОСР_",BT326),CONCATENATE("АООК_",BT326))</f>
        <v>АОСР_42</v>
      </c>
      <c r="BT326" s="569">
        <v>42</v>
      </c>
      <c r="BU326" s="570">
        <f>BT326+1</f>
        <v>43</v>
      </c>
    </row>
    <row r="327" spans="1:74" ht="26">
      <c r="A327" s="542">
        <f ca="1">SUBTOTAL(9,$BQ$9:BQ327)</f>
        <v>139</v>
      </c>
      <c r="B327" s="545" t="str">
        <f ca="1">IF(IFERROR(SEARCH("; ",VLOOKUP(BS326,'АКТЫ скрытых работ'!A:O,11,FALSE),1),0)=0,VLOOKUP(BS326,'АКТЫ скрытых работ'!A:O,11,FALSE),LEFT(VLOOKUP(BS326,'АКТЫ скрытых работ'!A:O,11,FALSE),SEARCH(";",VLOOKUP(BS326,'АКТЫ скрытых работ'!A:O,11,FALSE))-1))</f>
        <v>Исполнительная схема №1 Монтаж контура заземления КК-0,4кВ</v>
      </c>
      <c r="C327" s="730" t="str">
        <f ca="1">IF(B327="Контрольно-исполнительная съемка","б/н",MID(B327,SEARCH("№",B327,1),SEARCH(" ",B327,SEARCH("№",B327,1))-SEARCH("№",B327,1)))</f>
        <v>№1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31"/>
      <c r="V327" s="731"/>
      <c r="W327" s="731"/>
      <c r="X327" s="731"/>
      <c r="Y327" s="732"/>
      <c r="Z327" s="727">
        <f ca="1">IFERROR(IF(OR(IFERROR(B327,0)=0,B327="-"),0,1),0)</f>
        <v>1</v>
      </c>
      <c r="AA327" s="727"/>
      <c r="AB327" s="727"/>
      <c r="AC327" s="727"/>
      <c r="AD327" s="727"/>
      <c r="AE327" s="727"/>
      <c r="AF327" s="727"/>
      <c r="AG327" s="727"/>
      <c r="AH327" s="727"/>
      <c r="AI327" s="727"/>
      <c r="AJ327" s="727"/>
      <c r="AK327" s="727"/>
      <c r="AL327" s="727"/>
      <c r="AM327" s="727"/>
      <c r="AN327" s="727"/>
      <c r="AO327" s="727"/>
      <c r="AP327" s="727"/>
      <c r="AQ327" s="729"/>
      <c r="AR327" s="729"/>
      <c r="AS327" s="729"/>
      <c r="AT327" s="729"/>
      <c r="AU327" s="729"/>
      <c r="AV327" s="729"/>
      <c r="AW327" s="729"/>
      <c r="AX327" s="729"/>
      <c r="AY327" s="729"/>
      <c r="AZ327" s="729"/>
      <c r="BA327" s="729"/>
      <c r="BB327" s="729"/>
      <c r="BC327" s="729"/>
      <c r="BD327" s="729"/>
      <c r="BE327" s="729"/>
      <c r="BF327" s="729"/>
      <c r="BG327" s="729"/>
      <c r="BH327" s="729"/>
      <c r="BI327" s="729"/>
      <c r="BJ327" s="729"/>
      <c r="BK327" s="729"/>
      <c r="BL327" s="729"/>
      <c r="BM327" s="729"/>
      <c r="BN327" s="729"/>
      <c r="BO327" s="729"/>
      <c r="BP327" s="729"/>
      <c r="BQ327" s="19">
        <f t="shared" ca="1" si="12"/>
        <v>1</v>
      </c>
    </row>
    <row r="328" spans="1:74" hidden="1">
      <c r="A328" s="542">
        <f ca="1">SUBTOTAL(9,$BQ$9:BQ328)</f>
        <v>139</v>
      </c>
      <c r="B328" s="543" t="str">
        <f ca="1">IF(IFERROR(SEARCH(";",VLOOKUP(BS326,'АКТЫ скрытых работ'!A:O,11,FALSE),LEN(B327)+2),0)&lt;&gt;0,MID(VLOOKUP(BS326,'АКТЫ скрытых работ'!A:O,11,FALSE),LEN(B327)+3,SEARCH(";",VLOOKUP(BS326,'АКТЫ скрытых работ'!A:O,11,FALSE),LEN(B327)+3)-LEN(B327)-3),MID(VLOOKUP(BS326,'АКТЫ скрытых работ'!A:O,11,FALSE),LEN(B327)+3,LEN(VLOOKUP(BS326,'АКТЫ скрытых работ'!A:O,11,FALSE))))</f>
        <v/>
      </c>
      <c r="C328" s="730" t="e">
        <f ca="1">IF(B328="Контрольно-исполнительная съемка","б/н",MID(B328,SEARCH("№",B328,1),SEARCH(" ",B328,SEARCH("№",B328,1))-SEARCH("№",B328,1)))</f>
        <v>#VALUE!</v>
      </c>
      <c r="D328" s="731"/>
      <c r="E328" s="731"/>
      <c r="F328" s="731"/>
      <c r="G328" s="731"/>
      <c r="H328" s="731"/>
      <c r="I328" s="731"/>
      <c r="J328" s="731"/>
      <c r="K328" s="731"/>
      <c r="L328" s="731"/>
      <c r="M328" s="731"/>
      <c r="N328" s="731"/>
      <c r="O328" s="731"/>
      <c r="P328" s="731"/>
      <c r="Q328" s="731"/>
      <c r="R328" s="731"/>
      <c r="S328" s="731"/>
      <c r="T328" s="731"/>
      <c r="U328" s="731"/>
      <c r="V328" s="731"/>
      <c r="W328" s="731"/>
      <c r="X328" s="731"/>
      <c r="Y328" s="732"/>
      <c r="Z328" s="727">
        <f ca="1">IFERROR(IF(OR(IFERROR(B328,0)=0,B328=""),0,1),0)</f>
        <v>0</v>
      </c>
      <c r="AA328" s="727"/>
      <c r="AB328" s="727"/>
      <c r="AC328" s="727"/>
      <c r="AD328" s="727"/>
      <c r="AE328" s="727"/>
      <c r="AF328" s="727"/>
      <c r="AG328" s="727"/>
      <c r="AH328" s="727"/>
      <c r="AI328" s="727"/>
      <c r="AJ328" s="727"/>
      <c r="AK328" s="727"/>
      <c r="AL328" s="727"/>
      <c r="AM328" s="727"/>
      <c r="AN328" s="727"/>
      <c r="AO328" s="727"/>
      <c r="AP328" s="727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9"/>
      <c r="BL328" s="729"/>
      <c r="BM328" s="729"/>
      <c r="BN328" s="729"/>
      <c r="BO328" s="729"/>
      <c r="BP328" s="729"/>
      <c r="BQ328" s="19">
        <f t="shared" ca="1" si="12"/>
        <v>0</v>
      </c>
    </row>
    <row r="329" spans="1:74" hidden="1">
      <c r="A329" s="542">
        <f ca="1">SUBTOTAL(9,$BQ$9:BQ329)</f>
        <v>139</v>
      </c>
      <c r="B329" s="543" t="str">
        <f ca="1">IF(IFERROR(SEARCH(";",VLOOKUP(BS326,'АКТЫ скрытых работ'!A:O,11,FALSE),SUM(LEN(B327),LEN(B328))+4),0)&lt;&gt;0,MID(VLOOKUP(BS326,'АКТЫ скрытых работ'!A:O,11,FALSE),SUM(LEN(B327),LEN(B328))+5,SEARCH(";",VLOOKUP(BS326,'АКТЫ скрытых работ'!A:O,11,FALSE),SUM(LEN(B327),LEN(B328))+4)-SUM(LEN(B327),LEN(B328))-5),MID(VLOOKUP(BS326,'АКТЫ скрытых работ'!A:O,11,FALSE),SUM(LEN(B327),LEN(B328))+5,LEN(VLOOKUP(BS326,'АКТЫ скрытых работ'!A:O,11,FALSE))))</f>
        <v/>
      </c>
      <c r="C329" s="730" t="e">
        <f ca="1">IF(B329="Контрольно-исполнительная съемка","б/н",MID(B329,SEARCH("№",B329,1),SEARCH(" ",B329,SEARCH("№",B329,1))-SEARCH("№",B329,1)))</f>
        <v>#VALUE!</v>
      </c>
      <c r="D329" s="731"/>
      <c r="E329" s="731"/>
      <c r="F329" s="731"/>
      <c r="G329" s="731"/>
      <c r="H329" s="731"/>
      <c r="I329" s="731"/>
      <c r="J329" s="731"/>
      <c r="K329" s="731"/>
      <c r="L329" s="731"/>
      <c r="M329" s="731"/>
      <c r="N329" s="731"/>
      <c r="O329" s="731"/>
      <c r="P329" s="731"/>
      <c r="Q329" s="731"/>
      <c r="R329" s="731"/>
      <c r="S329" s="731"/>
      <c r="T329" s="731"/>
      <c r="U329" s="731"/>
      <c r="V329" s="731"/>
      <c r="W329" s="731"/>
      <c r="X329" s="731"/>
      <c r="Y329" s="732"/>
      <c r="Z329" s="727">
        <f ca="1">IFERROR(IF(OR(IFERROR(B329,0)=0,B329=""),0,1),0)</f>
        <v>0</v>
      </c>
      <c r="AA329" s="727"/>
      <c r="AB329" s="727"/>
      <c r="AC329" s="727"/>
      <c r="AD329" s="727"/>
      <c r="AE329" s="727"/>
      <c r="AF329" s="727"/>
      <c r="AG329" s="727"/>
      <c r="AH329" s="727"/>
      <c r="AI329" s="727"/>
      <c r="AJ329" s="727"/>
      <c r="AK329" s="727"/>
      <c r="AL329" s="727"/>
      <c r="AM329" s="727"/>
      <c r="AN329" s="727"/>
      <c r="AO329" s="727"/>
      <c r="AP329" s="727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729"/>
      <c r="BL329" s="729"/>
      <c r="BM329" s="729"/>
      <c r="BN329" s="729"/>
      <c r="BO329" s="729"/>
      <c r="BP329" s="729"/>
      <c r="BQ329" s="19">
        <f t="shared" ca="1" si="12"/>
        <v>0</v>
      </c>
      <c r="BV329" s="19" t="str">
        <f>MID(BV313,1,LEN(BV313))</f>
        <v/>
      </c>
    </row>
    <row r="330" spans="1:74" hidden="1">
      <c r="A330" s="542">
        <f ca="1">SUBTOTAL(9,$BQ$9:BQ330)</f>
        <v>139</v>
      </c>
      <c r="B330" s="543" t="str">
        <f ca="1">IF(IFERROR(SEARCH(";",VLOOKUP(BS326,'АКТЫ скрытых работ'!A:O,11,FALSE),SUM(LEN(B327),LEN(B328),LEN(B329))+8),0)&lt;&gt;0,MID(VLOOKUP(BS326,'АКТЫ скрытых работ'!A:O,11,FALSE),SUM(LEN(B327),LEN(B328),LEN(B329))+4,SEARCH(";",VLOOKUP(BS326,'АКТЫ скрытых работ'!A:O,11,FALSE),SUM(LEN(B327),LEN(B328),LEN(B329))+4)-SUM(LEN(B327),LEN(B328),LEN(B329))-6),MID(VLOOKUP(BS326,'АКТЫ скрытых работ'!A:O,11,FALSE),SUM(LEN(B327),LEN(B328),LEN(B329))+7,LEN(VLOOKUP(BS326,'АКТЫ скрытых работ'!A:O,11,FALSE))))</f>
        <v/>
      </c>
      <c r="C330" s="730" t="e">
        <f ca="1">IF(B330="Контрольно-исполнительная съемка","б/н",MID(B330,SEARCH("№",B330,1),SEARCH(" ",B330,SEARCH("№",B330,1))-SEARCH("№",B330,1)))</f>
        <v>#VALUE!</v>
      </c>
      <c r="D330" s="731"/>
      <c r="E330" s="731"/>
      <c r="F330" s="731"/>
      <c r="G330" s="731"/>
      <c r="H330" s="731"/>
      <c r="I330" s="731"/>
      <c r="J330" s="731"/>
      <c r="K330" s="731"/>
      <c r="L330" s="731"/>
      <c r="M330" s="731"/>
      <c r="N330" s="731"/>
      <c r="O330" s="731"/>
      <c r="P330" s="731"/>
      <c r="Q330" s="731"/>
      <c r="R330" s="731"/>
      <c r="S330" s="731"/>
      <c r="T330" s="731"/>
      <c r="U330" s="731"/>
      <c r="V330" s="731"/>
      <c r="W330" s="731"/>
      <c r="X330" s="731"/>
      <c r="Y330" s="732"/>
      <c r="Z330" s="727">
        <f ca="1">IFERROR(IF(OR(IFERROR(B330,0)=0,B330=""),0,1),0)</f>
        <v>0</v>
      </c>
      <c r="AA330" s="727"/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727"/>
      <c r="AL330" s="727"/>
      <c r="AM330" s="727"/>
      <c r="AN330" s="727"/>
      <c r="AO330" s="727"/>
      <c r="AP330" s="727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19">
        <f t="shared" ca="1" si="12"/>
        <v>0</v>
      </c>
    </row>
    <row r="331" spans="1:74" ht="26">
      <c r="A331" s="542">
        <f ca="1">SUBTOTAL(9,$BQ$9:BQ331)</f>
        <v>140</v>
      </c>
      <c r="B331" s="543" t="str">
        <f ca="1">VLOOKUP(BS326,'АКТЫ скрытых работ'!A:O,14,FALSE)</f>
        <v>Отказное письмо исх. №60-12/2020 от 12.05.2020 ООО "Биквест-Центр"</v>
      </c>
      <c r="C331" s="727" t="str">
        <f ca="1">IF(B331&lt;&gt;"-","б/н","")</f>
        <v>б/н</v>
      </c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727"/>
      <c r="T331" s="727"/>
      <c r="U331" s="727"/>
      <c r="V331" s="727"/>
      <c r="W331" s="727"/>
      <c r="X331" s="727"/>
      <c r="Y331" s="727"/>
      <c r="Z331" s="727" t="str">
        <f ca="1">IFERROR(IF(OR(IFERROR(B331,0)=0,B331="-"),0,"1 компл"),0)</f>
        <v>1 компл</v>
      </c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19">
        <f t="shared" ca="1" si="12"/>
        <v>1</v>
      </c>
    </row>
    <row r="332" spans="1:74" ht="26">
      <c r="A332" s="542">
        <f ca="1">SUBTOTAL(9,$BQ$9:BQ332)</f>
        <v>141</v>
      </c>
      <c r="B332" s="543" t="str">
        <f ca="1">IF(BS332&lt;&gt;"",IF(MID(BS332,1,4)="АОСР",CONCATENATE("Акт освидетельствования скрытых работ '",VLOOKUP(BS332,'АКТЫ скрытых работ'!A:O,3,FALSE),"'"),CONCATENATE("Акт освидетельствования ответственных конструкций '",VLOOKUP(BS332,'АКТЫ скрытых работ'!A:O,3,FALSE),"'")),0)</f>
        <v>Акт освидетельствования скрытых работ 'Обратная засыпка траншеи'</v>
      </c>
      <c r="C332" s="727" t="str">
        <f ca="1">CONCATENATE("№",VLOOKUP(BS332,'АКТЫ скрытых работ'!A:O,2,FALSE))</f>
        <v>№5-КЗ_КК_7</v>
      </c>
      <c r="D332" s="727"/>
      <c r="E332" s="727"/>
      <c r="F332" s="727"/>
      <c r="G332" s="727"/>
      <c r="H332" s="727"/>
      <c r="I332" s="727"/>
      <c r="J332" s="727"/>
      <c r="K332" s="727"/>
      <c r="L332" s="727"/>
      <c r="M332" s="727"/>
      <c r="N332" s="727"/>
      <c r="O332" s="727"/>
      <c r="P332" s="727"/>
      <c r="Q332" s="727"/>
      <c r="R332" s="727"/>
      <c r="S332" s="727"/>
      <c r="T332" s="727"/>
      <c r="U332" s="727"/>
      <c r="V332" s="727"/>
      <c r="W332" s="727"/>
      <c r="X332" s="727"/>
      <c r="Y332" s="727"/>
      <c r="Z332" s="727">
        <f ca="1">IF(BS332="АООК_",0,1)</f>
        <v>1</v>
      </c>
      <c r="AA332" s="727"/>
      <c r="AB332" s="727"/>
      <c r="AC332" s="727"/>
      <c r="AD332" s="727"/>
      <c r="AE332" s="727"/>
      <c r="AF332" s="727"/>
      <c r="AG332" s="727"/>
      <c r="AH332" s="727"/>
      <c r="AI332" s="727"/>
      <c r="AJ332" s="727"/>
      <c r="AK332" s="727"/>
      <c r="AL332" s="727"/>
      <c r="AM332" s="727"/>
      <c r="AN332" s="727"/>
      <c r="AO332" s="727"/>
      <c r="AP332" s="727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9"/>
      <c r="BL332" s="729"/>
      <c r="BM332" s="729"/>
      <c r="BN332" s="729"/>
      <c r="BO332" s="729"/>
      <c r="BP332" s="729"/>
      <c r="BQ332" s="19">
        <f t="shared" ca="1" si="12"/>
        <v>1</v>
      </c>
      <c r="BS332" s="569" t="str">
        <f ca="1">IF(INDIRECT("'АКТЫ скрытых работ'!R"&amp;BU332&amp;"C1",0)=CONCATENATE("АОСР_",BT332),CONCATENATE("АОСР_",BT332),CONCATENATE("АООК_",BT332))</f>
        <v>АОСР_43</v>
      </c>
      <c r="BT332" s="569">
        <v>43</v>
      </c>
      <c r="BU332" s="570">
        <f>BT332+1</f>
        <v>44</v>
      </c>
    </row>
    <row r="333" spans="1:74" ht="26">
      <c r="A333" s="542">
        <f ca="1">SUBTOTAL(9,$BQ$9:BQ333)</f>
        <v>142</v>
      </c>
      <c r="B333" s="545" t="str">
        <f ca="1">IF(IFERROR(SEARCH("; ",VLOOKUP(BS332,'АКТЫ скрытых работ'!A:O,11,FALSE),1),0)=0,VLOOKUP(BS332,'АКТЫ скрытых работ'!A:O,11,FALSE),LEFT(VLOOKUP(BS332,'АКТЫ скрытых работ'!A:O,11,FALSE),SEARCH(";",VLOOKUP(BS332,'АКТЫ скрытых работ'!A:O,11,FALSE))-1))</f>
        <v>Исполнительная схема №1 Монтаж контура заземления КК-0,4кВ</v>
      </c>
      <c r="C333" s="730" t="str">
        <f ca="1">IF(B333="Контрольно-исполнительная съемка","б/н",MID(B333,SEARCH("№",B333,1),SEARCH(" ",B333,SEARCH("№",B333,1))-SEARCH("№",B333,1)))</f>
        <v>№1</v>
      </c>
      <c r="D333" s="731"/>
      <c r="E333" s="731"/>
      <c r="F333" s="731"/>
      <c r="G333" s="731"/>
      <c r="H333" s="731"/>
      <c r="I333" s="731"/>
      <c r="J333" s="731"/>
      <c r="K333" s="731"/>
      <c r="L333" s="731"/>
      <c r="M333" s="731"/>
      <c r="N333" s="731"/>
      <c r="O333" s="731"/>
      <c r="P333" s="731"/>
      <c r="Q333" s="731"/>
      <c r="R333" s="731"/>
      <c r="S333" s="731"/>
      <c r="T333" s="731"/>
      <c r="U333" s="731"/>
      <c r="V333" s="731"/>
      <c r="W333" s="731"/>
      <c r="X333" s="731"/>
      <c r="Y333" s="732"/>
      <c r="Z333" s="727">
        <f ca="1">IFERROR(IF(OR(IFERROR(B333,0)=0,B333="-"),0,1),0)</f>
        <v>1</v>
      </c>
      <c r="AA333" s="727"/>
      <c r="AB333" s="727"/>
      <c r="AC333" s="727"/>
      <c r="AD333" s="727"/>
      <c r="AE333" s="727"/>
      <c r="AF333" s="727"/>
      <c r="AG333" s="727"/>
      <c r="AH333" s="727"/>
      <c r="AI333" s="727"/>
      <c r="AJ333" s="727"/>
      <c r="AK333" s="727"/>
      <c r="AL333" s="727"/>
      <c r="AM333" s="727"/>
      <c r="AN333" s="727"/>
      <c r="AO333" s="727"/>
      <c r="AP333" s="727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729"/>
      <c r="BL333" s="729"/>
      <c r="BM333" s="729"/>
      <c r="BN333" s="729"/>
      <c r="BO333" s="729"/>
      <c r="BP333" s="729"/>
      <c r="BQ333" s="19">
        <f t="shared" ca="1" si="12"/>
        <v>1</v>
      </c>
    </row>
    <row r="334" spans="1:74" hidden="1">
      <c r="A334" s="542">
        <f ca="1">SUBTOTAL(9,$BQ$9:BQ334)</f>
        <v>142</v>
      </c>
      <c r="B334" s="543" t="str">
        <f ca="1">IF(IFERROR(SEARCH(";",VLOOKUP(BS332,'АКТЫ скрытых работ'!A:O,11,FALSE),LEN(B333)+2),0)&lt;&gt;0,MID(VLOOKUP(BS332,'АКТЫ скрытых работ'!A:O,11,FALSE),LEN(B333)+3,SEARCH(";",VLOOKUP(BS332,'АКТЫ скрытых работ'!A:O,11,FALSE),LEN(B333)+3)-LEN(B333)-3),MID(VLOOKUP(BS332,'АКТЫ скрытых работ'!A:O,11,FALSE),LEN(B333)+3,LEN(VLOOKUP(BS332,'АКТЫ скрытых работ'!A:O,11,FALSE))))</f>
        <v/>
      </c>
      <c r="C334" s="730" t="e">
        <f ca="1">IF(B334="Контрольно-исполнительная съемка","б/н",MID(B334,SEARCH("№",B334,1),SEARCH(" ",B334,SEARCH("№",B334,1))-SEARCH("№",B334,1)))</f>
        <v>#VALUE!</v>
      </c>
      <c r="D334" s="731"/>
      <c r="E334" s="731"/>
      <c r="F334" s="731"/>
      <c r="G334" s="731"/>
      <c r="H334" s="731"/>
      <c r="I334" s="731"/>
      <c r="J334" s="731"/>
      <c r="K334" s="731"/>
      <c r="L334" s="731"/>
      <c r="M334" s="731"/>
      <c r="N334" s="731"/>
      <c r="O334" s="731"/>
      <c r="P334" s="731"/>
      <c r="Q334" s="731"/>
      <c r="R334" s="731"/>
      <c r="S334" s="731"/>
      <c r="T334" s="731"/>
      <c r="U334" s="731"/>
      <c r="V334" s="731"/>
      <c r="W334" s="731"/>
      <c r="X334" s="731"/>
      <c r="Y334" s="732"/>
      <c r="Z334" s="727">
        <f ca="1">IFERROR(IF(OR(IFERROR(B334,0)=0,B334=""),0,1),0)</f>
        <v>0</v>
      </c>
      <c r="AA334" s="727"/>
      <c r="AB334" s="727"/>
      <c r="AC334" s="727"/>
      <c r="AD334" s="727"/>
      <c r="AE334" s="727"/>
      <c r="AF334" s="727"/>
      <c r="AG334" s="727"/>
      <c r="AH334" s="727"/>
      <c r="AI334" s="727"/>
      <c r="AJ334" s="727"/>
      <c r="AK334" s="727"/>
      <c r="AL334" s="727"/>
      <c r="AM334" s="727"/>
      <c r="AN334" s="727"/>
      <c r="AO334" s="727"/>
      <c r="AP334" s="727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729"/>
      <c r="BL334" s="729"/>
      <c r="BM334" s="729"/>
      <c r="BN334" s="729"/>
      <c r="BO334" s="729"/>
      <c r="BP334" s="729"/>
      <c r="BQ334" s="19">
        <f t="shared" ca="1" si="12"/>
        <v>0</v>
      </c>
    </row>
    <row r="335" spans="1:74" hidden="1">
      <c r="A335" s="542">
        <f ca="1">SUBTOTAL(9,$BQ$9:BQ335)</f>
        <v>142</v>
      </c>
      <c r="B335" s="543" t="str">
        <f ca="1">IF(IFERROR(SEARCH(";",VLOOKUP(BS332,'АКТЫ скрытых работ'!A:O,11,FALSE),SUM(LEN(B333),LEN(B334))+4),0)&lt;&gt;0,MID(VLOOKUP(BS332,'АКТЫ скрытых работ'!A:O,11,FALSE),SUM(LEN(B333),LEN(B334))+5,SEARCH(";",VLOOKUP(BS332,'АКТЫ скрытых работ'!A:O,11,FALSE),SUM(LEN(B333),LEN(B334))+4)-SUM(LEN(B333),LEN(B334))-5),MID(VLOOKUP(BS332,'АКТЫ скрытых работ'!A:O,11,FALSE),SUM(LEN(B333),LEN(B334))+5,LEN(VLOOKUP(BS332,'АКТЫ скрытых работ'!A:O,11,FALSE))))</f>
        <v/>
      </c>
      <c r="C335" s="730" t="e">
        <f ca="1">IF(B335="Контрольно-исполнительная съемка","б/н",MID(B335,SEARCH("№",B335,1),SEARCH(" ",B335,SEARCH("№",B335,1))-SEARCH("№",B335,1)))</f>
        <v>#VALUE!</v>
      </c>
      <c r="D335" s="731"/>
      <c r="E335" s="731"/>
      <c r="F335" s="731"/>
      <c r="G335" s="731"/>
      <c r="H335" s="731"/>
      <c r="I335" s="731"/>
      <c r="J335" s="731"/>
      <c r="K335" s="731"/>
      <c r="L335" s="731"/>
      <c r="M335" s="731"/>
      <c r="N335" s="731"/>
      <c r="O335" s="731"/>
      <c r="P335" s="731"/>
      <c r="Q335" s="731"/>
      <c r="R335" s="731"/>
      <c r="S335" s="731"/>
      <c r="T335" s="731"/>
      <c r="U335" s="731"/>
      <c r="V335" s="731"/>
      <c r="W335" s="731"/>
      <c r="X335" s="731"/>
      <c r="Y335" s="732"/>
      <c r="Z335" s="727">
        <f ca="1">IFERROR(IF(OR(IFERROR(B335,0)=0,B335=""),0,1),0)</f>
        <v>0</v>
      </c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729"/>
      <c r="BL335" s="729"/>
      <c r="BM335" s="729"/>
      <c r="BN335" s="729"/>
      <c r="BO335" s="729"/>
      <c r="BP335" s="729"/>
      <c r="BQ335" s="19">
        <f t="shared" ca="1" si="12"/>
        <v>0</v>
      </c>
      <c r="BV335" s="19" t="str">
        <f>MID(BV319,1,LEN(BV319))</f>
        <v/>
      </c>
    </row>
    <row r="336" spans="1:74" hidden="1">
      <c r="A336" s="542">
        <f ca="1">SUBTOTAL(9,$BQ$9:BQ336)</f>
        <v>142</v>
      </c>
      <c r="B336" s="543" t="str">
        <f ca="1">IF(IFERROR(SEARCH(";",VLOOKUP(BS332,'АКТЫ скрытых работ'!A:O,11,FALSE),SUM(LEN(B333),LEN(B334),LEN(B335))+8),0)&lt;&gt;0,MID(VLOOKUP(BS332,'АКТЫ скрытых работ'!A:O,11,FALSE),SUM(LEN(B333),LEN(B334),LEN(B335))+4,SEARCH(";",VLOOKUP(BS332,'АКТЫ скрытых работ'!A:O,11,FALSE),SUM(LEN(B333),LEN(B334),LEN(B335))+4)-SUM(LEN(B333),LEN(B334),LEN(B335))-6),MID(VLOOKUP(BS332,'АКТЫ скрытых работ'!A:O,11,FALSE),SUM(LEN(B333),LEN(B334),LEN(B335))+7,LEN(VLOOKUP(BS332,'АКТЫ скрытых работ'!A:O,11,FALSE))))</f>
        <v/>
      </c>
      <c r="C336" s="730" t="e">
        <f ca="1">IF(B336="Контрольно-исполнительная съемка","б/н",MID(B336,SEARCH("№",B336,1),SEARCH(" ",B336,SEARCH("№",B336,1))-SEARCH("№",B336,1)))</f>
        <v>#VALUE!</v>
      </c>
      <c r="D336" s="731"/>
      <c r="E336" s="731"/>
      <c r="F336" s="731"/>
      <c r="G336" s="731"/>
      <c r="H336" s="731"/>
      <c r="I336" s="731"/>
      <c r="J336" s="731"/>
      <c r="K336" s="731"/>
      <c r="L336" s="731"/>
      <c r="M336" s="731"/>
      <c r="N336" s="731"/>
      <c r="O336" s="731"/>
      <c r="P336" s="731"/>
      <c r="Q336" s="731"/>
      <c r="R336" s="731"/>
      <c r="S336" s="731"/>
      <c r="T336" s="731"/>
      <c r="U336" s="731"/>
      <c r="V336" s="731"/>
      <c r="W336" s="731"/>
      <c r="X336" s="731"/>
      <c r="Y336" s="732"/>
      <c r="Z336" s="727">
        <f ca="1">IFERROR(IF(OR(IFERROR(B336,0)=0,B336=""),0,1),0)</f>
        <v>0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9"/>
      <c r="BL336" s="729"/>
      <c r="BM336" s="729"/>
      <c r="BN336" s="729"/>
      <c r="BO336" s="729"/>
      <c r="BP336" s="729"/>
      <c r="BQ336" s="19">
        <f t="shared" ca="1" si="12"/>
        <v>0</v>
      </c>
    </row>
    <row r="337" spans="1:74" hidden="1">
      <c r="A337" s="542">
        <f ca="1">SUBTOTAL(9,$BQ$9:BQ337)</f>
        <v>142</v>
      </c>
      <c r="B337" s="543" t="str">
        <f ca="1">VLOOKUP(BS332,'АКТЫ скрытых работ'!A:O,14,FALSE)</f>
        <v>-</v>
      </c>
      <c r="C337" s="727" t="str">
        <f ca="1">IF(B337&lt;&gt;"-","б/н","")</f>
        <v/>
      </c>
      <c r="D337" s="727"/>
      <c r="E337" s="727"/>
      <c r="F337" s="727"/>
      <c r="G337" s="727"/>
      <c r="H337" s="727"/>
      <c r="I337" s="727"/>
      <c r="J337" s="727"/>
      <c r="K337" s="727"/>
      <c r="L337" s="727"/>
      <c r="M337" s="727"/>
      <c r="N337" s="727"/>
      <c r="O337" s="727"/>
      <c r="P337" s="727"/>
      <c r="Q337" s="727"/>
      <c r="R337" s="727"/>
      <c r="S337" s="727"/>
      <c r="T337" s="727"/>
      <c r="U337" s="727"/>
      <c r="V337" s="727"/>
      <c r="W337" s="727"/>
      <c r="X337" s="727"/>
      <c r="Y337" s="727"/>
      <c r="Z337" s="727">
        <f ca="1">IFERROR(IF(OR(IFERROR(B337,0)=0,B337="-"),0,"1 компл"),0)</f>
        <v>0</v>
      </c>
      <c r="AA337" s="727"/>
      <c r="AB337" s="727"/>
      <c r="AC337" s="727"/>
      <c r="AD337" s="727"/>
      <c r="AE337" s="727"/>
      <c r="AF337" s="727"/>
      <c r="AG337" s="727"/>
      <c r="AH337" s="727"/>
      <c r="AI337" s="727"/>
      <c r="AJ337" s="727"/>
      <c r="AK337" s="727"/>
      <c r="AL337" s="727"/>
      <c r="AM337" s="727"/>
      <c r="AN337" s="727"/>
      <c r="AO337" s="727"/>
      <c r="AP337" s="727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729"/>
      <c r="BL337" s="729"/>
      <c r="BM337" s="729"/>
      <c r="BN337" s="729"/>
      <c r="BO337" s="729"/>
      <c r="BP337" s="729"/>
      <c r="BQ337" s="19">
        <f t="shared" ca="1" si="12"/>
        <v>0</v>
      </c>
    </row>
    <row r="338" spans="1:74" ht="26">
      <c r="A338" s="542">
        <f ca="1">SUBTOTAL(9,$BQ$9:BQ338)</f>
        <v>143</v>
      </c>
      <c r="B338" s="543" t="str">
        <f ca="1">IF(BS338&lt;&gt;"",IF(MID(BS338,1,4)="АОСР",CONCATENATE("Акт освидетельствования скрытых работ '",VLOOKUP(BS338,'АКТЫ скрытых работ'!A:O,3,FALSE),"'"),CONCATENATE("Акт освидетельствования ответственных конструкций '",VLOOKUP(BS338,'АКТЫ скрытых работ'!A:O,3,FALSE),"'")),0)</f>
        <v>Акт освидетельствования скрытых работ 'Разработка грунта траншеи'</v>
      </c>
      <c r="C338" s="727" t="str">
        <f ca="1">CONCATENATE("№",VLOOKUP(BS338,'АКТЫ скрытых работ'!A:O,2,FALSE))</f>
        <v>№1-КЗ_КК_8</v>
      </c>
      <c r="D338" s="727"/>
      <c r="E338" s="727"/>
      <c r="F338" s="727"/>
      <c r="G338" s="727"/>
      <c r="H338" s="727"/>
      <c r="I338" s="727"/>
      <c r="J338" s="727"/>
      <c r="K338" s="727"/>
      <c r="L338" s="727"/>
      <c r="M338" s="727"/>
      <c r="N338" s="727"/>
      <c r="O338" s="727"/>
      <c r="P338" s="727"/>
      <c r="Q338" s="727"/>
      <c r="R338" s="727"/>
      <c r="S338" s="727"/>
      <c r="T338" s="727"/>
      <c r="U338" s="727"/>
      <c r="V338" s="727"/>
      <c r="W338" s="727"/>
      <c r="X338" s="727"/>
      <c r="Y338" s="727"/>
      <c r="Z338" s="727">
        <f ca="1">IF(BS338="АООК_",0,1)</f>
        <v>1</v>
      </c>
      <c r="AA338" s="727"/>
      <c r="AB338" s="727"/>
      <c r="AC338" s="727"/>
      <c r="AD338" s="727"/>
      <c r="AE338" s="727"/>
      <c r="AF338" s="727"/>
      <c r="AG338" s="727"/>
      <c r="AH338" s="727"/>
      <c r="AI338" s="727"/>
      <c r="AJ338" s="727"/>
      <c r="AK338" s="727"/>
      <c r="AL338" s="727"/>
      <c r="AM338" s="727"/>
      <c r="AN338" s="727"/>
      <c r="AO338" s="727"/>
      <c r="AP338" s="727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729"/>
      <c r="BL338" s="729"/>
      <c r="BM338" s="729"/>
      <c r="BN338" s="729"/>
      <c r="BO338" s="729"/>
      <c r="BP338" s="729"/>
      <c r="BQ338" s="19">
        <f t="shared" ca="1" si="12"/>
        <v>1</v>
      </c>
      <c r="BS338" s="569" t="str">
        <f ca="1">IF(INDIRECT("'АКТЫ скрытых работ'!R"&amp;BU338&amp;"C1",0)=CONCATENATE("АОСР_",BT338),CONCATENATE("АОСР_",BT338),CONCATENATE("АООК_",BT338))</f>
        <v>АОСР_44</v>
      </c>
      <c r="BT338" s="569">
        <v>44</v>
      </c>
      <c r="BU338" s="570">
        <f>BT338+1</f>
        <v>45</v>
      </c>
    </row>
    <row r="339" spans="1:74" ht="26">
      <c r="A339" s="542">
        <f ca="1">SUBTOTAL(9,$BQ$9:BQ339)</f>
        <v>144</v>
      </c>
      <c r="B339" s="545" t="str">
        <f ca="1">IF(IFERROR(SEARCH("; ",VLOOKUP(BS338,'АКТЫ скрытых работ'!A:O,11,FALSE),1),0)=0,VLOOKUP(BS338,'АКТЫ скрытых работ'!A:O,11,FALSE),LEFT(VLOOKUP(BS338,'АКТЫ скрытых работ'!A:O,11,FALSE),SEARCH(";",VLOOKUP(BS338,'АКТЫ скрытых работ'!A:O,11,FALSE))-1))</f>
        <v>Исполнительная схема №1 Монтаж контура заземления КК-0,4кВ</v>
      </c>
      <c r="C339" s="730" t="str">
        <f ca="1">IF(B339="Контрольно-исполнительная съемка","б/н",MID(B339,SEARCH("№",B339,1),SEARCH(" ",B339,SEARCH("№",B339,1))-SEARCH("№",B339,1)))</f>
        <v>№1</v>
      </c>
      <c r="D339" s="731"/>
      <c r="E339" s="731"/>
      <c r="F339" s="731"/>
      <c r="G339" s="731"/>
      <c r="H339" s="731"/>
      <c r="I339" s="731"/>
      <c r="J339" s="731"/>
      <c r="K339" s="731"/>
      <c r="L339" s="731"/>
      <c r="M339" s="731"/>
      <c r="N339" s="731"/>
      <c r="O339" s="731"/>
      <c r="P339" s="731"/>
      <c r="Q339" s="731"/>
      <c r="R339" s="731"/>
      <c r="S339" s="731"/>
      <c r="T339" s="731"/>
      <c r="U339" s="731"/>
      <c r="V339" s="731"/>
      <c r="W339" s="731"/>
      <c r="X339" s="731"/>
      <c r="Y339" s="732"/>
      <c r="Z339" s="727">
        <f ca="1">IFERROR(IF(OR(IFERROR(B339,0)=0,B339="-"),0,1),0)</f>
        <v>1</v>
      </c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729"/>
      <c r="BL339" s="729"/>
      <c r="BM339" s="729"/>
      <c r="BN339" s="729"/>
      <c r="BO339" s="729"/>
      <c r="BP339" s="729"/>
      <c r="BQ339" s="19">
        <f t="shared" ca="1" si="12"/>
        <v>1</v>
      </c>
    </row>
    <row r="340" spans="1:74" hidden="1">
      <c r="A340" s="542">
        <f ca="1">SUBTOTAL(9,$BQ$9:BQ340)</f>
        <v>144</v>
      </c>
      <c r="B340" s="543" t="str">
        <f ca="1">IF(IFERROR(SEARCH(";",VLOOKUP(BS338,'АКТЫ скрытых работ'!A:O,11,FALSE),LEN(B339)+2),0)&lt;&gt;0,MID(VLOOKUP(BS338,'АКТЫ скрытых работ'!A:O,11,FALSE),LEN(B339)+3,SEARCH(";",VLOOKUP(BS338,'АКТЫ скрытых работ'!A:O,11,FALSE),LEN(B339)+3)-LEN(B339)-3),MID(VLOOKUP(BS338,'АКТЫ скрытых работ'!A:O,11,FALSE),LEN(B339)+3,LEN(VLOOKUP(BS338,'АКТЫ скрытых работ'!A:O,11,FALSE))))</f>
        <v/>
      </c>
      <c r="C340" s="730" t="e">
        <f ca="1">IF(B340="Контрольно-исполнительная съемка","б/н",MID(B340,SEARCH("№",B340,1),SEARCH(" ",B340,SEARCH("№",B340,1))-SEARCH("№",B340,1)))</f>
        <v>#VALUE!</v>
      </c>
      <c r="D340" s="731"/>
      <c r="E340" s="731"/>
      <c r="F340" s="731"/>
      <c r="G340" s="731"/>
      <c r="H340" s="731"/>
      <c r="I340" s="731"/>
      <c r="J340" s="731"/>
      <c r="K340" s="731"/>
      <c r="L340" s="731"/>
      <c r="M340" s="731"/>
      <c r="N340" s="731"/>
      <c r="O340" s="731"/>
      <c r="P340" s="731"/>
      <c r="Q340" s="731"/>
      <c r="R340" s="731"/>
      <c r="S340" s="731"/>
      <c r="T340" s="731"/>
      <c r="U340" s="731"/>
      <c r="V340" s="731"/>
      <c r="W340" s="731"/>
      <c r="X340" s="731"/>
      <c r="Y340" s="732"/>
      <c r="Z340" s="727">
        <f ca="1">IFERROR(IF(OR(IFERROR(B340,0)=0,B340=""),0,1),0)</f>
        <v>0</v>
      </c>
      <c r="AA340" s="727"/>
      <c r="AB340" s="727"/>
      <c r="AC340" s="727"/>
      <c r="AD340" s="727"/>
      <c r="AE340" s="727"/>
      <c r="AF340" s="727"/>
      <c r="AG340" s="727"/>
      <c r="AH340" s="727"/>
      <c r="AI340" s="727"/>
      <c r="AJ340" s="727"/>
      <c r="AK340" s="727"/>
      <c r="AL340" s="727"/>
      <c r="AM340" s="727"/>
      <c r="AN340" s="727"/>
      <c r="AO340" s="727"/>
      <c r="AP340" s="727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9"/>
      <c r="BL340" s="729"/>
      <c r="BM340" s="729"/>
      <c r="BN340" s="729"/>
      <c r="BO340" s="729"/>
      <c r="BP340" s="729"/>
      <c r="BQ340" s="19">
        <f t="shared" ca="1" si="12"/>
        <v>0</v>
      </c>
    </row>
    <row r="341" spans="1:74" hidden="1">
      <c r="A341" s="542">
        <f ca="1">SUBTOTAL(9,$BQ$9:BQ341)</f>
        <v>144</v>
      </c>
      <c r="B341" s="543" t="str">
        <f ca="1">IF(IFERROR(SEARCH(";",VLOOKUP(BS338,'АКТЫ скрытых работ'!A:O,11,FALSE),SUM(LEN(B339),LEN(B340))+4),0)&lt;&gt;0,MID(VLOOKUP(BS338,'АКТЫ скрытых работ'!A:O,11,FALSE),SUM(LEN(B339),LEN(B340))+5,SEARCH(";",VLOOKUP(BS338,'АКТЫ скрытых работ'!A:O,11,FALSE),SUM(LEN(B339),LEN(B340))+4)-SUM(LEN(B339),LEN(B340))-5),MID(VLOOKUP(BS338,'АКТЫ скрытых работ'!A:O,11,FALSE),SUM(LEN(B339),LEN(B340))+5,LEN(VLOOKUP(BS338,'АКТЫ скрытых работ'!A:O,11,FALSE))))</f>
        <v/>
      </c>
      <c r="C341" s="730" t="e">
        <f ca="1">IF(B341="Контрольно-исполнительная съемка","б/н",MID(B341,SEARCH("№",B341,1),SEARCH(" ",B341,SEARCH("№",B341,1))-SEARCH("№",B341,1)))</f>
        <v>#VALUE!</v>
      </c>
      <c r="D341" s="731"/>
      <c r="E341" s="731"/>
      <c r="F341" s="731"/>
      <c r="G341" s="731"/>
      <c r="H341" s="731"/>
      <c r="I341" s="731"/>
      <c r="J341" s="731"/>
      <c r="K341" s="731"/>
      <c r="L341" s="731"/>
      <c r="M341" s="731"/>
      <c r="N341" s="731"/>
      <c r="O341" s="731"/>
      <c r="P341" s="731"/>
      <c r="Q341" s="731"/>
      <c r="R341" s="731"/>
      <c r="S341" s="731"/>
      <c r="T341" s="731"/>
      <c r="U341" s="731"/>
      <c r="V341" s="731"/>
      <c r="W341" s="731"/>
      <c r="X341" s="731"/>
      <c r="Y341" s="732"/>
      <c r="Z341" s="727">
        <f ca="1">IFERROR(IF(OR(IFERROR(B341,0)=0,B341=""),0,1),0)</f>
        <v>0</v>
      </c>
      <c r="AA341" s="727"/>
      <c r="AB341" s="727"/>
      <c r="AC341" s="727"/>
      <c r="AD341" s="727"/>
      <c r="AE341" s="727"/>
      <c r="AF341" s="727"/>
      <c r="AG341" s="727"/>
      <c r="AH341" s="727"/>
      <c r="AI341" s="727"/>
      <c r="AJ341" s="727"/>
      <c r="AK341" s="727"/>
      <c r="AL341" s="727"/>
      <c r="AM341" s="727"/>
      <c r="AN341" s="727"/>
      <c r="AO341" s="727"/>
      <c r="AP341" s="727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729"/>
      <c r="BL341" s="729"/>
      <c r="BM341" s="729"/>
      <c r="BN341" s="729"/>
      <c r="BO341" s="729"/>
      <c r="BP341" s="729"/>
      <c r="BQ341" s="19">
        <f t="shared" ca="1" si="12"/>
        <v>0</v>
      </c>
      <c r="BV341" s="19" t="str">
        <f>MID(BV325,1,LEN(BV325))</f>
        <v/>
      </c>
    </row>
    <row r="342" spans="1:74" hidden="1">
      <c r="A342" s="542">
        <f ca="1">SUBTOTAL(9,$BQ$9:BQ342)</f>
        <v>144</v>
      </c>
      <c r="B342" s="543" t="str">
        <f ca="1">IF(IFERROR(SEARCH(";",VLOOKUP(BS338,'АКТЫ скрытых работ'!A:O,11,FALSE),SUM(LEN(B339),LEN(B340),LEN(B341))+8),0)&lt;&gt;0,MID(VLOOKUP(BS338,'АКТЫ скрытых работ'!A:O,11,FALSE),SUM(LEN(B339),LEN(B340),LEN(B341))+4,SEARCH(";",VLOOKUP(BS338,'АКТЫ скрытых работ'!A:O,11,FALSE),SUM(LEN(B339),LEN(B340),LEN(B341))+4)-SUM(LEN(B339),LEN(B340),LEN(B341))-6),MID(VLOOKUP(BS338,'АКТЫ скрытых работ'!A:O,11,FALSE),SUM(LEN(B339),LEN(B340),LEN(B341))+7,LEN(VLOOKUP(BS338,'АКТЫ скрытых работ'!A:O,11,FALSE))))</f>
        <v/>
      </c>
      <c r="C342" s="730" t="e">
        <f ca="1">IF(B342="Контрольно-исполнительная съемка","б/н",MID(B342,SEARCH("№",B342,1),SEARCH(" ",B342,SEARCH("№",B342,1))-SEARCH("№",B342,1)))</f>
        <v>#VALUE!</v>
      </c>
      <c r="D342" s="731"/>
      <c r="E342" s="731"/>
      <c r="F342" s="731"/>
      <c r="G342" s="731"/>
      <c r="H342" s="731"/>
      <c r="I342" s="731"/>
      <c r="J342" s="731"/>
      <c r="K342" s="731"/>
      <c r="L342" s="731"/>
      <c r="M342" s="731"/>
      <c r="N342" s="731"/>
      <c r="O342" s="731"/>
      <c r="P342" s="731"/>
      <c r="Q342" s="731"/>
      <c r="R342" s="731"/>
      <c r="S342" s="731"/>
      <c r="T342" s="731"/>
      <c r="U342" s="731"/>
      <c r="V342" s="731"/>
      <c r="W342" s="731"/>
      <c r="X342" s="731"/>
      <c r="Y342" s="732"/>
      <c r="Z342" s="727">
        <f ca="1">IFERROR(IF(OR(IFERROR(B342,0)=0,B342=""),0,1),0)</f>
        <v>0</v>
      </c>
      <c r="AA342" s="727"/>
      <c r="AB342" s="727"/>
      <c r="AC342" s="727"/>
      <c r="AD342" s="727"/>
      <c r="AE342" s="727"/>
      <c r="AF342" s="727"/>
      <c r="AG342" s="727"/>
      <c r="AH342" s="727"/>
      <c r="AI342" s="727"/>
      <c r="AJ342" s="727"/>
      <c r="AK342" s="727"/>
      <c r="AL342" s="727"/>
      <c r="AM342" s="727"/>
      <c r="AN342" s="727"/>
      <c r="AO342" s="727"/>
      <c r="AP342" s="727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729"/>
      <c r="BL342" s="729"/>
      <c r="BM342" s="729"/>
      <c r="BN342" s="729"/>
      <c r="BO342" s="729"/>
      <c r="BP342" s="729"/>
      <c r="BQ342" s="19">
        <f t="shared" ca="1" si="12"/>
        <v>0</v>
      </c>
    </row>
    <row r="343" spans="1:74" hidden="1">
      <c r="A343" s="542">
        <f ca="1">SUBTOTAL(9,$BQ$9:BQ343)</f>
        <v>144</v>
      </c>
      <c r="B343" s="543" t="str">
        <f ca="1">VLOOKUP(BS338,'АКТЫ скрытых работ'!A:O,14,FALSE)</f>
        <v>-</v>
      </c>
      <c r="C343" s="727" t="str">
        <f ca="1">IF(B343&lt;&gt;"-","б/н","")</f>
        <v/>
      </c>
      <c r="D343" s="727"/>
      <c r="E343" s="727"/>
      <c r="F343" s="727"/>
      <c r="G343" s="727"/>
      <c r="H343" s="727"/>
      <c r="I343" s="727"/>
      <c r="J343" s="727"/>
      <c r="K343" s="727"/>
      <c r="L343" s="727"/>
      <c r="M343" s="727"/>
      <c r="N343" s="727"/>
      <c r="O343" s="727"/>
      <c r="P343" s="727"/>
      <c r="Q343" s="727"/>
      <c r="R343" s="727"/>
      <c r="S343" s="727"/>
      <c r="T343" s="727"/>
      <c r="U343" s="727"/>
      <c r="V343" s="727"/>
      <c r="W343" s="727"/>
      <c r="X343" s="727"/>
      <c r="Y343" s="727"/>
      <c r="Z343" s="727">
        <f ca="1">IFERROR(IF(OR(IFERROR(B343,0)=0,B343="-"),0,"1 компл"),0)</f>
        <v>0</v>
      </c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729"/>
      <c r="BL343" s="729"/>
      <c r="BM343" s="729"/>
      <c r="BN343" s="729"/>
      <c r="BO343" s="729"/>
      <c r="BP343" s="729"/>
      <c r="BQ343" s="19">
        <f t="shared" ca="1" si="12"/>
        <v>0</v>
      </c>
    </row>
    <row r="344" spans="1:74" ht="26">
      <c r="A344" s="542">
        <f ca="1">SUBTOTAL(9,$BQ$9:BQ344)</f>
        <v>145</v>
      </c>
      <c r="B344" s="543" t="str">
        <f ca="1">IF(BS344&lt;&gt;"",IF(MID(BS344,1,4)="АОСР",CONCATENATE("Акт освидетельствования скрытых работ '",VLOOKUP(BS344,'АКТЫ скрытых работ'!A:O,3,FALSE),"'"),CONCATENATE("Акт освидетельствования ответственных конструкций '",VLOOKUP(BS344,'АКТЫ скрытых работ'!A:O,3,FALSE),"'")),0)</f>
        <v>Акт освидетельствования скрытых работ 'Монтаж вертикальных электродов контура заземления'</v>
      </c>
      <c r="C344" s="727" t="str">
        <f ca="1">CONCATENATE("№",VLOOKUP(BS344,'АКТЫ скрытых работ'!A:O,2,FALSE))</f>
        <v>№2-КЗ_КК_8</v>
      </c>
      <c r="D344" s="727"/>
      <c r="E344" s="727"/>
      <c r="F344" s="727"/>
      <c r="G344" s="727"/>
      <c r="H344" s="727"/>
      <c r="I344" s="727"/>
      <c r="J344" s="727"/>
      <c r="K344" s="727"/>
      <c r="L344" s="727"/>
      <c r="M344" s="727"/>
      <c r="N344" s="727"/>
      <c r="O344" s="727"/>
      <c r="P344" s="727"/>
      <c r="Q344" s="727"/>
      <c r="R344" s="727"/>
      <c r="S344" s="727"/>
      <c r="T344" s="727"/>
      <c r="U344" s="727"/>
      <c r="V344" s="727"/>
      <c r="W344" s="727"/>
      <c r="X344" s="727"/>
      <c r="Y344" s="727"/>
      <c r="Z344" s="727">
        <f ca="1">IF(BS344="АООК_",0,1)</f>
        <v>1</v>
      </c>
      <c r="AA344" s="727"/>
      <c r="AB344" s="727"/>
      <c r="AC344" s="727"/>
      <c r="AD344" s="727"/>
      <c r="AE344" s="727"/>
      <c r="AF344" s="727"/>
      <c r="AG344" s="727"/>
      <c r="AH344" s="727"/>
      <c r="AI344" s="727"/>
      <c r="AJ344" s="727"/>
      <c r="AK344" s="727"/>
      <c r="AL344" s="727"/>
      <c r="AM344" s="727"/>
      <c r="AN344" s="727"/>
      <c r="AO344" s="727"/>
      <c r="AP344" s="727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9"/>
      <c r="BL344" s="729"/>
      <c r="BM344" s="729"/>
      <c r="BN344" s="729"/>
      <c r="BO344" s="729"/>
      <c r="BP344" s="729"/>
      <c r="BQ344" s="19">
        <f t="shared" ca="1" si="12"/>
        <v>1</v>
      </c>
      <c r="BS344" s="569" t="str">
        <f ca="1">IF(INDIRECT("'АКТЫ скрытых работ'!R"&amp;BU344&amp;"C1",0)=CONCATENATE("АОСР_",BT344),CONCATENATE("АОСР_",BT344),CONCATENATE("АООК_",BT344))</f>
        <v>АОСР_45</v>
      </c>
      <c r="BT344" s="569">
        <v>45</v>
      </c>
      <c r="BU344" s="570">
        <f>BT344+1</f>
        <v>46</v>
      </c>
    </row>
    <row r="345" spans="1:74" ht="26">
      <c r="A345" s="542">
        <f ca="1">SUBTOTAL(9,$BQ$9:BQ345)</f>
        <v>146</v>
      </c>
      <c r="B345" s="545" t="str">
        <f ca="1">IF(IFERROR(SEARCH("; ",VLOOKUP(BS344,'АКТЫ скрытых работ'!A:O,11,FALSE),1),0)=0,VLOOKUP(BS344,'АКТЫ скрытых работ'!A:O,11,FALSE),LEFT(VLOOKUP(BS344,'АКТЫ скрытых работ'!A:O,11,FALSE),SEARCH(";",VLOOKUP(BS344,'АКТЫ скрытых работ'!A:O,11,FALSE))-1))</f>
        <v>Исполнительная схема №1 Монтаж контура заземления КК-0,4кВ</v>
      </c>
      <c r="C345" s="730" t="str">
        <f ca="1">IF(B345="Контрольно-исполнительная съемка","б/н",MID(B345,SEARCH("№",B345,1),SEARCH(" ",B345,SEARCH("№",B345,1))-SEARCH("№",B345,1)))</f>
        <v>№1</v>
      </c>
      <c r="D345" s="731"/>
      <c r="E345" s="731"/>
      <c r="F345" s="731"/>
      <c r="G345" s="731"/>
      <c r="H345" s="731"/>
      <c r="I345" s="731"/>
      <c r="J345" s="731"/>
      <c r="K345" s="731"/>
      <c r="L345" s="731"/>
      <c r="M345" s="731"/>
      <c r="N345" s="731"/>
      <c r="O345" s="731"/>
      <c r="P345" s="731"/>
      <c r="Q345" s="731"/>
      <c r="R345" s="731"/>
      <c r="S345" s="731"/>
      <c r="T345" s="731"/>
      <c r="U345" s="731"/>
      <c r="V345" s="731"/>
      <c r="W345" s="731"/>
      <c r="X345" s="731"/>
      <c r="Y345" s="732"/>
      <c r="Z345" s="727">
        <f ca="1">IFERROR(IF(OR(IFERROR(B345,0)=0,B345="-"),0,1),0)</f>
        <v>1</v>
      </c>
      <c r="AA345" s="727"/>
      <c r="AB345" s="727"/>
      <c r="AC345" s="727"/>
      <c r="AD345" s="727"/>
      <c r="AE345" s="727"/>
      <c r="AF345" s="727"/>
      <c r="AG345" s="727"/>
      <c r="AH345" s="727"/>
      <c r="AI345" s="727"/>
      <c r="AJ345" s="727"/>
      <c r="AK345" s="727"/>
      <c r="AL345" s="727"/>
      <c r="AM345" s="727"/>
      <c r="AN345" s="727"/>
      <c r="AO345" s="727"/>
      <c r="AP345" s="727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729"/>
      <c r="BL345" s="729"/>
      <c r="BM345" s="729"/>
      <c r="BN345" s="729"/>
      <c r="BO345" s="729"/>
      <c r="BP345" s="729"/>
      <c r="BQ345" s="19">
        <f t="shared" ca="1" si="12"/>
        <v>1</v>
      </c>
    </row>
    <row r="346" spans="1:74" hidden="1">
      <c r="A346" s="542">
        <f ca="1">SUBTOTAL(9,$BQ$9:BQ346)</f>
        <v>146</v>
      </c>
      <c r="B346" s="543" t="str">
        <f ca="1">IF(IFERROR(SEARCH(";",VLOOKUP(BS344,'АКТЫ скрытых работ'!A:O,11,FALSE),LEN(B345)+2),0)&lt;&gt;0,MID(VLOOKUP(BS344,'АКТЫ скрытых работ'!A:O,11,FALSE),LEN(B345)+3,SEARCH(";",VLOOKUP(BS344,'АКТЫ скрытых работ'!A:O,11,FALSE),LEN(B345)+3)-LEN(B345)-3),MID(VLOOKUP(BS344,'АКТЫ скрытых работ'!A:O,11,FALSE),LEN(B345)+3,LEN(VLOOKUP(BS344,'АКТЫ скрытых работ'!A:O,11,FALSE))))</f>
        <v/>
      </c>
      <c r="C346" s="730" t="e">
        <f ca="1">IF(B346="Контрольно-исполнительная съемка","б/н",MID(B346,SEARCH("№",B346,1),SEARCH(" ",B346,SEARCH("№",B346,1))-SEARCH("№",B346,1)))</f>
        <v>#VALUE!</v>
      </c>
      <c r="D346" s="731"/>
      <c r="E346" s="731"/>
      <c r="F346" s="731"/>
      <c r="G346" s="731"/>
      <c r="H346" s="731"/>
      <c r="I346" s="731"/>
      <c r="J346" s="731"/>
      <c r="K346" s="731"/>
      <c r="L346" s="731"/>
      <c r="M346" s="731"/>
      <c r="N346" s="731"/>
      <c r="O346" s="731"/>
      <c r="P346" s="731"/>
      <c r="Q346" s="731"/>
      <c r="R346" s="731"/>
      <c r="S346" s="731"/>
      <c r="T346" s="731"/>
      <c r="U346" s="731"/>
      <c r="V346" s="731"/>
      <c r="W346" s="731"/>
      <c r="X346" s="731"/>
      <c r="Y346" s="732"/>
      <c r="Z346" s="727">
        <f ca="1">IFERROR(IF(OR(IFERROR(B346,0)=0,B346=""),0,1),0)</f>
        <v>0</v>
      </c>
      <c r="AA346" s="727"/>
      <c r="AB346" s="727"/>
      <c r="AC346" s="727"/>
      <c r="AD346" s="727"/>
      <c r="AE346" s="727"/>
      <c r="AF346" s="727"/>
      <c r="AG346" s="727"/>
      <c r="AH346" s="727"/>
      <c r="AI346" s="727"/>
      <c r="AJ346" s="727"/>
      <c r="AK346" s="727"/>
      <c r="AL346" s="727"/>
      <c r="AM346" s="727"/>
      <c r="AN346" s="727"/>
      <c r="AO346" s="727"/>
      <c r="AP346" s="727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729"/>
      <c r="BL346" s="729"/>
      <c r="BM346" s="729"/>
      <c r="BN346" s="729"/>
      <c r="BO346" s="729"/>
      <c r="BP346" s="729"/>
      <c r="BQ346" s="19">
        <f t="shared" ca="1" si="12"/>
        <v>0</v>
      </c>
    </row>
    <row r="347" spans="1:74" hidden="1">
      <c r="A347" s="542">
        <f ca="1">SUBTOTAL(9,$BQ$9:BQ347)</f>
        <v>146</v>
      </c>
      <c r="B347" s="543" t="str">
        <f ca="1">IF(IFERROR(SEARCH(";",VLOOKUP(BS344,'АКТЫ скрытых работ'!A:O,11,FALSE),SUM(LEN(B345),LEN(B346))+4),0)&lt;&gt;0,MID(VLOOKUP(BS344,'АКТЫ скрытых работ'!A:O,11,FALSE),SUM(LEN(B345),LEN(B346))+5,SEARCH(";",VLOOKUP(BS344,'АКТЫ скрытых работ'!A:O,11,FALSE),SUM(LEN(B345),LEN(B346))+4)-SUM(LEN(B345),LEN(B346))-5),MID(VLOOKUP(BS344,'АКТЫ скрытых работ'!A:O,11,FALSE),SUM(LEN(B345),LEN(B346))+5,LEN(VLOOKUP(BS344,'АКТЫ скрытых работ'!A:O,11,FALSE))))</f>
        <v/>
      </c>
      <c r="C347" s="730" t="e">
        <f ca="1">IF(B347="Контрольно-исполнительная съемка","б/н",MID(B347,SEARCH("№",B347,1),SEARCH(" ",B347,SEARCH("№",B347,1))-SEARCH("№",B347,1)))</f>
        <v>#VALUE!</v>
      </c>
      <c r="D347" s="731"/>
      <c r="E347" s="731"/>
      <c r="F347" s="731"/>
      <c r="G347" s="731"/>
      <c r="H347" s="731"/>
      <c r="I347" s="731"/>
      <c r="J347" s="731"/>
      <c r="K347" s="731"/>
      <c r="L347" s="731"/>
      <c r="M347" s="731"/>
      <c r="N347" s="731"/>
      <c r="O347" s="731"/>
      <c r="P347" s="731"/>
      <c r="Q347" s="731"/>
      <c r="R347" s="731"/>
      <c r="S347" s="731"/>
      <c r="T347" s="731"/>
      <c r="U347" s="731"/>
      <c r="V347" s="731"/>
      <c r="W347" s="731"/>
      <c r="X347" s="731"/>
      <c r="Y347" s="732"/>
      <c r="Z347" s="727">
        <f ca="1">IFERROR(IF(OR(IFERROR(B347,0)=0,B347=""),0,1),0)</f>
        <v>0</v>
      </c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729"/>
      <c r="BL347" s="729"/>
      <c r="BM347" s="729"/>
      <c r="BN347" s="729"/>
      <c r="BO347" s="729"/>
      <c r="BP347" s="729"/>
      <c r="BQ347" s="19">
        <f t="shared" ca="1" si="12"/>
        <v>0</v>
      </c>
      <c r="BV347" s="19" t="str">
        <f>MID(BV331,1,LEN(BV331))</f>
        <v/>
      </c>
    </row>
    <row r="348" spans="1:74" hidden="1">
      <c r="A348" s="542">
        <f ca="1">SUBTOTAL(9,$BQ$9:BQ348)</f>
        <v>146</v>
      </c>
      <c r="B348" s="543" t="str">
        <f ca="1">IF(IFERROR(SEARCH(";",VLOOKUP(BS344,'АКТЫ скрытых работ'!A:O,11,FALSE),SUM(LEN(B345),LEN(B346),LEN(B347))+8),0)&lt;&gt;0,MID(VLOOKUP(BS344,'АКТЫ скрытых работ'!A:O,11,FALSE),SUM(LEN(B345),LEN(B346),LEN(B347))+4,SEARCH(";",VLOOKUP(BS344,'АКТЫ скрытых работ'!A:O,11,FALSE),SUM(LEN(B345),LEN(B346),LEN(B347))+4)-SUM(LEN(B345),LEN(B346),LEN(B347))-6),MID(VLOOKUP(BS344,'АКТЫ скрытых работ'!A:O,11,FALSE),SUM(LEN(B345),LEN(B346),LEN(B347))+7,LEN(VLOOKUP(BS344,'АКТЫ скрытых работ'!A:O,11,FALSE))))</f>
        <v/>
      </c>
      <c r="C348" s="730" t="e">
        <f ca="1">IF(B348="Контрольно-исполнительная съемка","б/н",MID(B348,SEARCH("№",B348,1),SEARCH(" ",B348,SEARCH("№",B348,1))-SEARCH("№",B348,1)))</f>
        <v>#VALUE!</v>
      </c>
      <c r="D348" s="731"/>
      <c r="E348" s="731"/>
      <c r="F348" s="731"/>
      <c r="G348" s="731"/>
      <c r="H348" s="731"/>
      <c r="I348" s="731"/>
      <c r="J348" s="731"/>
      <c r="K348" s="731"/>
      <c r="L348" s="731"/>
      <c r="M348" s="731"/>
      <c r="N348" s="731"/>
      <c r="O348" s="731"/>
      <c r="P348" s="731"/>
      <c r="Q348" s="731"/>
      <c r="R348" s="731"/>
      <c r="S348" s="731"/>
      <c r="T348" s="731"/>
      <c r="U348" s="731"/>
      <c r="V348" s="731"/>
      <c r="W348" s="731"/>
      <c r="X348" s="731"/>
      <c r="Y348" s="732"/>
      <c r="Z348" s="727">
        <f ca="1">IFERROR(IF(OR(IFERROR(B348,0)=0,B348=""),0,1),0)</f>
        <v>0</v>
      </c>
      <c r="AA348" s="727"/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/>
      <c r="AN348" s="727"/>
      <c r="AO348" s="727"/>
      <c r="AP348" s="727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9"/>
      <c r="BL348" s="729"/>
      <c r="BM348" s="729"/>
      <c r="BN348" s="729"/>
      <c r="BO348" s="729"/>
      <c r="BP348" s="729"/>
      <c r="BQ348" s="19">
        <f t="shared" ca="1" si="12"/>
        <v>0</v>
      </c>
    </row>
    <row r="349" spans="1:74" ht="39">
      <c r="A349" s="542">
        <f ca="1">SUBTOTAL(9,$BQ$9:BQ349)</f>
        <v>147</v>
      </c>
      <c r="B349" s="543" t="str">
        <f ca="1">VLOOKUP(BS344,'АКТЫ скрытых работ'!A:O,14,FALSE)</f>
        <v>Информационное письмо №1157 от 26.10.2016 "Центр Декларирования Сертификации" (ООО "ЦДС)"</v>
      </c>
      <c r="C349" s="727" t="str">
        <f ca="1">IF(B349&lt;&gt;"-","б/н","")</f>
        <v>б/н</v>
      </c>
      <c r="D349" s="727"/>
      <c r="E349" s="727"/>
      <c r="F349" s="727"/>
      <c r="G349" s="727"/>
      <c r="H349" s="727"/>
      <c r="I349" s="727"/>
      <c r="J349" s="727"/>
      <c r="K349" s="727"/>
      <c r="L349" s="727"/>
      <c r="M349" s="727"/>
      <c r="N349" s="727"/>
      <c r="O349" s="727"/>
      <c r="P349" s="727"/>
      <c r="Q349" s="727"/>
      <c r="R349" s="727"/>
      <c r="S349" s="727"/>
      <c r="T349" s="727"/>
      <c r="U349" s="727"/>
      <c r="V349" s="727"/>
      <c r="W349" s="727"/>
      <c r="X349" s="727"/>
      <c r="Y349" s="727"/>
      <c r="Z349" s="727" t="str">
        <f ca="1">IFERROR(IF(OR(IFERROR(B349,0)=0,B349="-"),0,"1 компл"),0)</f>
        <v>1 компл</v>
      </c>
      <c r="AA349" s="727"/>
      <c r="AB349" s="727"/>
      <c r="AC349" s="727"/>
      <c r="AD349" s="727"/>
      <c r="AE349" s="727"/>
      <c r="AF349" s="727"/>
      <c r="AG349" s="727"/>
      <c r="AH349" s="727"/>
      <c r="AI349" s="727"/>
      <c r="AJ349" s="727"/>
      <c r="AK349" s="727"/>
      <c r="AL349" s="727"/>
      <c r="AM349" s="727"/>
      <c r="AN349" s="727"/>
      <c r="AO349" s="727"/>
      <c r="AP349" s="727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729"/>
      <c r="BL349" s="729"/>
      <c r="BM349" s="729"/>
      <c r="BN349" s="729"/>
      <c r="BO349" s="729"/>
      <c r="BP349" s="729"/>
      <c r="BQ349" s="19">
        <f t="shared" ca="1" si="12"/>
        <v>1</v>
      </c>
    </row>
    <row r="350" spans="1:74" ht="26">
      <c r="A350" s="542">
        <f ca="1">SUBTOTAL(9,$BQ$9:BQ350)</f>
        <v>148</v>
      </c>
      <c r="B350" s="543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'Монтаж горизонтального заземлителя'</v>
      </c>
      <c r="C350" s="727" t="str">
        <f ca="1">CONCATENATE("№",VLOOKUP(BS350,'АКТЫ скрытых работ'!A:O,2,FALSE))</f>
        <v>№3-КЗ_КК_8</v>
      </c>
      <c r="D350" s="727"/>
      <c r="E350" s="727"/>
      <c r="F350" s="727"/>
      <c r="G350" s="727"/>
      <c r="H350" s="727"/>
      <c r="I350" s="727"/>
      <c r="J350" s="727"/>
      <c r="K350" s="727"/>
      <c r="L350" s="727"/>
      <c r="M350" s="727"/>
      <c r="N350" s="727"/>
      <c r="O350" s="727"/>
      <c r="P350" s="727"/>
      <c r="Q350" s="727"/>
      <c r="R350" s="727"/>
      <c r="S350" s="727"/>
      <c r="T350" s="727"/>
      <c r="U350" s="727"/>
      <c r="V350" s="727"/>
      <c r="W350" s="727"/>
      <c r="X350" s="727"/>
      <c r="Y350" s="727"/>
      <c r="Z350" s="727">
        <f ca="1">IF(BS350="АООК_",0,1)</f>
        <v>1</v>
      </c>
      <c r="AA350" s="727"/>
      <c r="AB350" s="727"/>
      <c r="AC350" s="727"/>
      <c r="AD350" s="727"/>
      <c r="AE350" s="727"/>
      <c r="AF350" s="727"/>
      <c r="AG350" s="727"/>
      <c r="AH350" s="727"/>
      <c r="AI350" s="727"/>
      <c r="AJ350" s="727"/>
      <c r="AK350" s="727"/>
      <c r="AL350" s="727"/>
      <c r="AM350" s="727"/>
      <c r="AN350" s="727"/>
      <c r="AO350" s="727"/>
      <c r="AP350" s="727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729"/>
      <c r="BL350" s="729"/>
      <c r="BM350" s="729"/>
      <c r="BN350" s="729"/>
      <c r="BO350" s="729"/>
      <c r="BP350" s="729"/>
      <c r="BQ350" s="19">
        <f t="shared" ca="1" si="12"/>
        <v>1</v>
      </c>
      <c r="BS350" s="569" t="str">
        <f ca="1">IF(INDIRECT("'АКТЫ скрытых работ'!R"&amp;BU350&amp;"C1",0)=CONCATENATE("АОСР_",BT350),CONCATENATE("АОСР_",BT350),CONCATENATE("АООК_",BT350))</f>
        <v>АОСР_46</v>
      </c>
      <c r="BT350" s="569">
        <v>46</v>
      </c>
      <c r="BU350" s="570">
        <f>BT350+1</f>
        <v>47</v>
      </c>
    </row>
    <row r="351" spans="1:74" ht="26">
      <c r="A351" s="542">
        <f ca="1">SUBTOTAL(9,$BQ$9:BQ351)</f>
        <v>149</v>
      </c>
      <c r="B351" s="545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№1 Монтаж контура заземления КК-0,4кВ</v>
      </c>
      <c r="C351" s="730" t="str">
        <f ca="1">IF(B351="Контрольно-исполнительная съемка","б/н",MID(B351,SEARCH("№",B351,1),SEARCH(" ",B351,SEARCH("№",B351,1))-SEARCH("№",B351,1)))</f>
        <v>№1</v>
      </c>
      <c r="D351" s="731"/>
      <c r="E351" s="731"/>
      <c r="F351" s="731"/>
      <c r="G351" s="731"/>
      <c r="H351" s="731"/>
      <c r="I351" s="731"/>
      <c r="J351" s="731"/>
      <c r="K351" s="731"/>
      <c r="L351" s="731"/>
      <c r="M351" s="731"/>
      <c r="N351" s="731"/>
      <c r="O351" s="731"/>
      <c r="P351" s="731"/>
      <c r="Q351" s="731"/>
      <c r="R351" s="731"/>
      <c r="S351" s="731"/>
      <c r="T351" s="731"/>
      <c r="U351" s="731"/>
      <c r="V351" s="731"/>
      <c r="W351" s="731"/>
      <c r="X351" s="731"/>
      <c r="Y351" s="732"/>
      <c r="Z351" s="727">
        <f ca="1">IFERROR(IF(OR(IFERROR(B351,0)=0,B351="-"),0,1),0)</f>
        <v>1</v>
      </c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729"/>
      <c r="BL351" s="729"/>
      <c r="BM351" s="729"/>
      <c r="BN351" s="729"/>
      <c r="BO351" s="729"/>
      <c r="BP351" s="729"/>
      <c r="BQ351" s="19">
        <f t="shared" ca="1" si="12"/>
        <v>1</v>
      </c>
    </row>
    <row r="352" spans="1:74" hidden="1">
      <c r="A352" s="542">
        <f ca="1">SUBTOTAL(9,$BQ$9:BQ352)</f>
        <v>149</v>
      </c>
      <c r="B352" s="543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/>
      </c>
      <c r="C352" s="730" t="e">
        <f ca="1">IF(B352="Контрольно-исполнительная съемка","б/н",MID(B352,SEARCH("№",B352,1),SEARCH(" ",B352,SEARCH("№",B352,1))-SEARCH("№",B352,1)))</f>
        <v>#VALUE!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31"/>
      <c r="V352" s="731"/>
      <c r="W352" s="731"/>
      <c r="X352" s="731"/>
      <c r="Y352" s="732"/>
      <c r="Z352" s="727">
        <f ca="1">IFERROR(IF(OR(IFERROR(B352,0)=0,B352=""),0,1),0)</f>
        <v>0</v>
      </c>
      <c r="AA352" s="727"/>
      <c r="AB352" s="727"/>
      <c r="AC352" s="727"/>
      <c r="AD352" s="727"/>
      <c r="AE352" s="727"/>
      <c r="AF352" s="727"/>
      <c r="AG352" s="727"/>
      <c r="AH352" s="727"/>
      <c r="AI352" s="727"/>
      <c r="AJ352" s="727"/>
      <c r="AK352" s="727"/>
      <c r="AL352" s="727"/>
      <c r="AM352" s="727"/>
      <c r="AN352" s="727"/>
      <c r="AO352" s="727"/>
      <c r="AP352" s="727"/>
      <c r="AQ352" s="729"/>
      <c r="AR352" s="729"/>
      <c r="AS352" s="729"/>
      <c r="AT352" s="729"/>
      <c r="AU352" s="729"/>
      <c r="AV352" s="729"/>
      <c r="AW352" s="729"/>
      <c r="AX352" s="729"/>
      <c r="AY352" s="729"/>
      <c r="AZ352" s="729"/>
      <c r="BA352" s="729"/>
      <c r="BB352" s="729"/>
      <c r="BC352" s="729"/>
      <c r="BD352" s="729"/>
      <c r="BE352" s="729"/>
      <c r="BF352" s="729"/>
      <c r="BG352" s="729"/>
      <c r="BH352" s="729"/>
      <c r="BI352" s="729"/>
      <c r="BJ352" s="729"/>
      <c r="BK352" s="729"/>
      <c r="BL352" s="729"/>
      <c r="BM352" s="729"/>
      <c r="BN352" s="729"/>
      <c r="BO352" s="729"/>
      <c r="BP352" s="729"/>
      <c r="BQ352" s="19">
        <f t="shared" ca="1" si="12"/>
        <v>0</v>
      </c>
    </row>
    <row r="353" spans="1:74" hidden="1">
      <c r="A353" s="542">
        <f ca="1">SUBTOTAL(9,$BQ$9:BQ353)</f>
        <v>149</v>
      </c>
      <c r="B353" s="543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730" t="e">
        <f ca="1">IF(B353="Контрольно-исполнительная съемка","б/н",MID(B353,SEARCH("№",B353,1),SEARCH(" ",B353,SEARCH("№",B353,1))-SEARCH("№",B353,1)))</f>
        <v>#VALUE!</v>
      </c>
      <c r="D353" s="731"/>
      <c r="E353" s="731"/>
      <c r="F353" s="731"/>
      <c r="G353" s="731"/>
      <c r="H353" s="731"/>
      <c r="I353" s="731"/>
      <c r="J353" s="731"/>
      <c r="K353" s="731"/>
      <c r="L353" s="731"/>
      <c r="M353" s="731"/>
      <c r="N353" s="731"/>
      <c r="O353" s="731"/>
      <c r="P353" s="731"/>
      <c r="Q353" s="731"/>
      <c r="R353" s="731"/>
      <c r="S353" s="731"/>
      <c r="T353" s="731"/>
      <c r="U353" s="731"/>
      <c r="V353" s="731"/>
      <c r="W353" s="731"/>
      <c r="X353" s="731"/>
      <c r="Y353" s="732"/>
      <c r="Z353" s="727">
        <f ca="1">IFERROR(IF(OR(IFERROR(B353,0)=0,B353=""),0,1),0)</f>
        <v>0</v>
      </c>
      <c r="AA353" s="727"/>
      <c r="AB353" s="727"/>
      <c r="AC353" s="727"/>
      <c r="AD353" s="727"/>
      <c r="AE353" s="727"/>
      <c r="AF353" s="727"/>
      <c r="AG353" s="727"/>
      <c r="AH353" s="727"/>
      <c r="AI353" s="727"/>
      <c r="AJ353" s="727"/>
      <c r="AK353" s="727"/>
      <c r="AL353" s="727"/>
      <c r="AM353" s="727"/>
      <c r="AN353" s="727"/>
      <c r="AO353" s="727"/>
      <c r="AP353" s="727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9"/>
      <c r="BL353" s="729"/>
      <c r="BM353" s="729"/>
      <c r="BN353" s="729"/>
      <c r="BO353" s="729"/>
      <c r="BP353" s="729"/>
      <c r="BQ353" s="19">
        <f t="shared" ca="1" si="12"/>
        <v>0</v>
      </c>
      <c r="BV353" s="19" t="str">
        <f>MID(BV337,1,LEN(BV337))</f>
        <v/>
      </c>
    </row>
    <row r="354" spans="1:74" hidden="1">
      <c r="A354" s="542">
        <f ca="1">SUBTOTAL(9,$BQ$9:BQ354)</f>
        <v>149</v>
      </c>
      <c r="B354" s="543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730" t="e">
        <f ca="1">IF(B354="Контрольно-исполнительная съемка","б/н",MID(B354,SEARCH("№",B354,1),SEARCH(" ",B354,SEARCH("№",B354,1))-SEARCH("№",B354,1)))</f>
        <v>#VALUE!</v>
      </c>
      <c r="D354" s="731"/>
      <c r="E354" s="731"/>
      <c r="F354" s="731"/>
      <c r="G354" s="731"/>
      <c r="H354" s="731"/>
      <c r="I354" s="731"/>
      <c r="J354" s="731"/>
      <c r="K354" s="731"/>
      <c r="L354" s="731"/>
      <c r="M354" s="731"/>
      <c r="N354" s="731"/>
      <c r="O354" s="731"/>
      <c r="P354" s="731"/>
      <c r="Q354" s="731"/>
      <c r="R354" s="731"/>
      <c r="S354" s="731"/>
      <c r="T354" s="731"/>
      <c r="U354" s="731"/>
      <c r="V354" s="731"/>
      <c r="W354" s="731"/>
      <c r="X354" s="731"/>
      <c r="Y354" s="732"/>
      <c r="Z354" s="727">
        <f ca="1">IFERROR(IF(OR(IFERROR(B354,0)=0,B354=""),0,1),0)</f>
        <v>0</v>
      </c>
      <c r="AA354" s="727"/>
      <c r="AB354" s="727"/>
      <c r="AC354" s="727"/>
      <c r="AD354" s="727"/>
      <c r="AE354" s="727"/>
      <c r="AF354" s="727"/>
      <c r="AG354" s="727"/>
      <c r="AH354" s="727"/>
      <c r="AI354" s="727"/>
      <c r="AJ354" s="727"/>
      <c r="AK354" s="727"/>
      <c r="AL354" s="727"/>
      <c r="AM354" s="727"/>
      <c r="AN354" s="727"/>
      <c r="AO354" s="727"/>
      <c r="AP354" s="727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729"/>
      <c r="BL354" s="729"/>
      <c r="BM354" s="729"/>
      <c r="BN354" s="729"/>
      <c r="BO354" s="729"/>
      <c r="BP354" s="729"/>
      <c r="BQ354" s="19">
        <f t="shared" ca="1" si="12"/>
        <v>0</v>
      </c>
    </row>
    <row r="355" spans="1:74" ht="52">
      <c r="A355" s="542">
        <f ca="1">SUBTOTAL(9,$BQ$9:BQ355)</f>
        <v>150</v>
      </c>
      <c r="B355" s="543" t="str">
        <f ca="1">VLOOKUP(BS350,'АКТЫ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355" s="727" t="str">
        <f ca="1">IF(B355&lt;&gt;"-","б/н","")</f>
        <v>б/н</v>
      </c>
      <c r="D355" s="727"/>
      <c r="E355" s="727"/>
      <c r="F355" s="727"/>
      <c r="G355" s="727"/>
      <c r="H355" s="727"/>
      <c r="I355" s="727"/>
      <c r="J355" s="727"/>
      <c r="K355" s="727"/>
      <c r="L355" s="727"/>
      <c r="M355" s="727"/>
      <c r="N355" s="727"/>
      <c r="O355" s="727"/>
      <c r="P355" s="727"/>
      <c r="Q355" s="727"/>
      <c r="R355" s="727"/>
      <c r="S355" s="727"/>
      <c r="T355" s="727"/>
      <c r="U355" s="727"/>
      <c r="V355" s="727"/>
      <c r="W355" s="727"/>
      <c r="X355" s="727"/>
      <c r="Y355" s="727"/>
      <c r="Z355" s="727" t="str">
        <f ca="1">IFERROR(IF(OR(IFERROR(B355,0)=0,B355="-"),0,"1 компл"),0)</f>
        <v>1 компл</v>
      </c>
      <c r="AA355" s="727"/>
      <c r="AB355" s="727"/>
      <c r="AC355" s="727"/>
      <c r="AD355" s="727"/>
      <c r="AE355" s="727"/>
      <c r="AF355" s="727"/>
      <c r="AG355" s="727"/>
      <c r="AH355" s="727"/>
      <c r="AI355" s="727"/>
      <c r="AJ355" s="727"/>
      <c r="AK355" s="727"/>
      <c r="AL355" s="727"/>
      <c r="AM355" s="727"/>
      <c r="AN355" s="727"/>
      <c r="AO355" s="727"/>
      <c r="AP355" s="727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729"/>
      <c r="BL355" s="729"/>
      <c r="BM355" s="729"/>
      <c r="BN355" s="729"/>
      <c r="BO355" s="729"/>
      <c r="BP355" s="729"/>
      <c r="BQ355" s="19">
        <f t="shared" ca="1" si="12"/>
        <v>1</v>
      </c>
    </row>
    <row r="356" spans="1:74" ht="26">
      <c r="A356" s="542">
        <f ca="1">SUBTOTAL(9,$BQ$9:BQ356)</f>
        <v>151</v>
      </c>
      <c r="B356" s="543" t="str">
        <f ca="1">IF(BS356&lt;&gt;"",IF(MID(BS356,1,4)="АОСР",CONCATENATE("Акт освидетельствования скрытых работ '",VLOOKUP(BS356,'АКТЫ скрытых работ'!A:O,3,FALSE),"'"),CONCATENATE("Акт освидетельствования ответственных конструкций '",VLOOKUP(BS356,'АКТЫ скрытых работ'!A:O,3,FALSE),"'")),0)</f>
        <v>Акт освидетельствования скрытых работ 'Огрунтовка и окраска сварных соединений'</v>
      </c>
      <c r="C356" s="727" t="str">
        <f ca="1">CONCATENATE("№",VLOOKUP(BS356,'АКТЫ скрытых работ'!A:O,2,FALSE))</f>
        <v>№4-КЗ_КК_8</v>
      </c>
      <c r="D356" s="727"/>
      <c r="E356" s="727"/>
      <c r="F356" s="727"/>
      <c r="G356" s="727"/>
      <c r="H356" s="727"/>
      <c r="I356" s="727"/>
      <c r="J356" s="727"/>
      <c r="K356" s="727"/>
      <c r="L356" s="727"/>
      <c r="M356" s="727"/>
      <c r="N356" s="727"/>
      <c r="O356" s="727"/>
      <c r="P356" s="727"/>
      <c r="Q356" s="727"/>
      <c r="R356" s="727"/>
      <c r="S356" s="727"/>
      <c r="T356" s="727"/>
      <c r="U356" s="727"/>
      <c r="V356" s="727"/>
      <c r="W356" s="727"/>
      <c r="X356" s="727"/>
      <c r="Y356" s="727"/>
      <c r="Z356" s="727">
        <f ca="1">IF(BS356="АООК_",0,1)</f>
        <v>1</v>
      </c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729"/>
      <c r="BL356" s="729"/>
      <c r="BM356" s="729"/>
      <c r="BN356" s="729"/>
      <c r="BO356" s="729"/>
      <c r="BP356" s="729"/>
      <c r="BQ356" s="19">
        <f t="shared" ca="1" si="12"/>
        <v>1</v>
      </c>
      <c r="BS356" s="569" t="str">
        <f ca="1">IF(INDIRECT("'АКТЫ скрытых работ'!R"&amp;BU356&amp;"C1",0)=CONCATENATE("АОСР_",BT356),CONCATENATE("АОСР_",BT356),CONCATENATE("АООК_",BT356))</f>
        <v>АОСР_47</v>
      </c>
      <c r="BT356" s="569">
        <v>47</v>
      </c>
      <c r="BU356" s="570">
        <f>BT356+1</f>
        <v>48</v>
      </c>
    </row>
    <row r="357" spans="1:74" ht="26">
      <c r="A357" s="542">
        <f ca="1">SUBTOTAL(9,$BQ$9:BQ357)</f>
        <v>152</v>
      </c>
      <c r="B357" s="545" t="str">
        <f ca="1">IF(IFERROR(SEARCH("; ",VLOOKUP(BS356,'АКТЫ скрытых работ'!A:O,11,FALSE),1),0)=0,VLOOKUP(BS356,'АКТЫ скрытых работ'!A:O,11,FALSE),LEFT(VLOOKUP(BS356,'АКТЫ скрытых работ'!A:O,11,FALSE),SEARCH(";",VLOOKUP(BS356,'АКТЫ скрытых работ'!A:O,11,FALSE))-1))</f>
        <v>Исполнительная схема №1 Монтаж контура заземления КК-0,4кВ</v>
      </c>
      <c r="C357" s="730" t="str">
        <f ca="1">IF(B357="Контрольно-исполнительная съемка","б/н",MID(B357,SEARCH("№",B357,1),SEARCH(" ",B357,SEARCH("№",B357,1))-SEARCH("№",B357,1)))</f>
        <v>№1</v>
      </c>
      <c r="D357" s="731"/>
      <c r="E357" s="731"/>
      <c r="F357" s="731"/>
      <c r="G357" s="731"/>
      <c r="H357" s="731"/>
      <c r="I357" s="731"/>
      <c r="J357" s="731"/>
      <c r="K357" s="731"/>
      <c r="L357" s="731"/>
      <c r="M357" s="731"/>
      <c r="N357" s="731"/>
      <c r="O357" s="731"/>
      <c r="P357" s="731"/>
      <c r="Q357" s="731"/>
      <c r="R357" s="731"/>
      <c r="S357" s="731"/>
      <c r="T357" s="731"/>
      <c r="U357" s="731"/>
      <c r="V357" s="731"/>
      <c r="W357" s="731"/>
      <c r="X357" s="731"/>
      <c r="Y357" s="732"/>
      <c r="Z357" s="727">
        <f ca="1">IFERROR(IF(OR(IFERROR(B357,0)=0,B357="-"),0,1),0)</f>
        <v>1</v>
      </c>
      <c r="AA357" s="727"/>
      <c r="AB357" s="727"/>
      <c r="AC357" s="727"/>
      <c r="AD357" s="727"/>
      <c r="AE357" s="727"/>
      <c r="AF357" s="727"/>
      <c r="AG357" s="727"/>
      <c r="AH357" s="727"/>
      <c r="AI357" s="727"/>
      <c r="AJ357" s="727"/>
      <c r="AK357" s="727"/>
      <c r="AL357" s="727"/>
      <c r="AM357" s="727"/>
      <c r="AN357" s="727"/>
      <c r="AO357" s="727"/>
      <c r="AP357" s="727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9"/>
      <c r="BL357" s="729"/>
      <c r="BM357" s="729"/>
      <c r="BN357" s="729"/>
      <c r="BO357" s="729"/>
      <c r="BP357" s="729"/>
      <c r="BQ357" s="19">
        <f t="shared" ca="1" si="12"/>
        <v>1</v>
      </c>
    </row>
    <row r="358" spans="1:74" hidden="1">
      <c r="A358" s="542">
        <f ca="1">SUBTOTAL(9,$BQ$9:BQ358)</f>
        <v>152</v>
      </c>
      <c r="B358" s="543" t="str">
        <f ca="1">IF(IFERROR(SEARCH(";",VLOOKUP(BS356,'АКТЫ скрытых работ'!A:O,11,FALSE),LEN(B357)+2),0)&lt;&gt;0,MID(VLOOKUP(BS356,'АКТЫ скрытых работ'!A:O,11,FALSE),LEN(B357)+3,SEARCH(";",VLOOKUP(BS356,'АКТЫ скрытых работ'!A:O,11,FALSE),LEN(B357)+3)-LEN(B357)-3),MID(VLOOKUP(BS356,'АКТЫ скрытых работ'!A:O,11,FALSE),LEN(B357)+3,LEN(VLOOKUP(BS356,'АКТЫ скрытых работ'!A:O,11,FALSE))))</f>
        <v/>
      </c>
      <c r="C358" s="730" t="e">
        <f ca="1">IF(B358="Контрольно-исполнительная съемка","б/н",MID(B358,SEARCH("№",B358,1),SEARCH(" ",B358,SEARCH("№",B358,1))-SEARCH("№",B358,1)))</f>
        <v>#VALUE!</v>
      </c>
      <c r="D358" s="731"/>
      <c r="E358" s="731"/>
      <c r="F358" s="731"/>
      <c r="G358" s="731"/>
      <c r="H358" s="731"/>
      <c r="I358" s="731"/>
      <c r="J358" s="731"/>
      <c r="K358" s="731"/>
      <c r="L358" s="731"/>
      <c r="M358" s="731"/>
      <c r="N358" s="731"/>
      <c r="O358" s="731"/>
      <c r="P358" s="731"/>
      <c r="Q358" s="731"/>
      <c r="R358" s="731"/>
      <c r="S358" s="731"/>
      <c r="T358" s="731"/>
      <c r="U358" s="731"/>
      <c r="V358" s="731"/>
      <c r="W358" s="731"/>
      <c r="X358" s="731"/>
      <c r="Y358" s="732"/>
      <c r="Z358" s="727">
        <f ca="1">IFERROR(IF(OR(IFERROR(B358,0)=0,B358=""),0,1),0)</f>
        <v>0</v>
      </c>
      <c r="AA358" s="727"/>
      <c r="AB358" s="727"/>
      <c r="AC358" s="727"/>
      <c r="AD358" s="727"/>
      <c r="AE358" s="727"/>
      <c r="AF358" s="727"/>
      <c r="AG358" s="727"/>
      <c r="AH358" s="727"/>
      <c r="AI358" s="727"/>
      <c r="AJ358" s="727"/>
      <c r="AK358" s="727"/>
      <c r="AL358" s="727"/>
      <c r="AM358" s="727"/>
      <c r="AN358" s="727"/>
      <c r="AO358" s="727"/>
      <c r="AP358" s="727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729"/>
      <c r="BJ358" s="729"/>
      <c r="BK358" s="729"/>
      <c r="BL358" s="729"/>
      <c r="BM358" s="729"/>
      <c r="BN358" s="729"/>
      <c r="BO358" s="729"/>
      <c r="BP358" s="729"/>
      <c r="BQ358" s="19">
        <f t="shared" ca="1" si="12"/>
        <v>0</v>
      </c>
    </row>
    <row r="359" spans="1:74" hidden="1">
      <c r="A359" s="542">
        <f ca="1">SUBTOTAL(9,$BQ$9:BQ359)</f>
        <v>152</v>
      </c>
      <c r="B359" s="543" t="str">
        <f ca="1">IF(IFERROR(SEARCH(";",VLOOKUP(BS356,'АКТЫ скрытых работ'!A:O,11,FALSE),SUM(LEN(B357),LEN(B358))+4),0)&lt;&gt;0,MID(VLOOKUP(BS356,'АКТЫ скрытых работ'!A:O,11,FALSE),SUM(LEN(B357),LEN(B358))+5,SEARCH(";",VLOOKUP(BS356,'АКТЫ скрытых работ'!A:O,11,FALSE),SUM(LEN(B357),LEN(B358))+4)-SUM(LEN(B357),LEN(B358))-5),MID(VLOOKUP(BS356,'АКТЫ скрытых работ'!A:O,11,FALSE),SUM(LEN(B357),LEN(B358))+5,LEN(VLOOKUP(BS356,'АКТЫ скрытых работ'!A:O,11,FALSE))))</f>
        <v/>
      </c>
      <c r="C359" s="730" t="e">
        <f ca="1">IF(B359="Контрольно-исполнительная съемка","б/н",MID(B359,SEARCH("№",B359,1),SEARCH(" ",B359,SEARCH("№",B359,1))-SEARCH("№",B359,1)))</f>
        <v>#VALUE!</v>
      </c>
      <c r="D359" s="731"/>
      <c r="E359" s="731"/>
      <c r="F359" s="731"/>
      <c r="G359" s="731"/>
      <c r="H359" s="731"/>
      <c r="I359" s="731"/>
      <c r="J359" s="731"/>
      <c r="K359" s="731"/>
      <c r="L359" s="731"/>
      <c r="M359" s="731"/>
      <c r="N359" s="731"/>
      <c r="O359" s="731"/>
      <c r="P359" s="731"/>
      <c r="Q359" s="731"/>
      <c r="R359" s="731"/>
      <c r="S359" s="731"/>
      <c r="T359" s="731"/>
      <c r="U359" s="731"/>
      <c r="V359" s="731"/>
      <c r="W359" s="731"/>
      <c r="X359" s="731"/>
      <c r="Y359" s="732"/>
      <c r="Z359" s="727">
        <f ca="1">IFERROR(IF(OR(IFERROR(B359,0)=0,B359=""),0,1),0)</f>
        <v>0</v>
      </c>
      <c r="AA359" s="727"/>
      <c r="AB359" s="727"/>
      <c r="AC359" s="727"/>
      <c r="AD359" s="727"/>
      <c r="AE359" s="727"/>
      <c r="AF359" s="727"/>
      <c r="AG359" s="727"/>
      <c r="AH359" s="727"/>
      <c r="AI359" s="727"/>
      <c r="AJ359" s="727"/>
      <c r="AK359" s="727"/>
      <c r="AL359" s="727"/>
      <c r="AM359" s="727"/>
      <c r="AN359" s="727"/>
      <c r="AO359" s="727"/>
      <c r="AP359" s="727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19">
        <f t="shared" ca="1" si="12"/>
        <v>0</v>
      </c>
      <c r="BV359" s="19" t="str">
        <f>MID(BV343,1,LEN(BV343))</f>
        <v/>
      </c>
    </row>
    <row r="360" spans="1:74" hidden="1">
      <c r="A360" s="542">
        <f ca="1">SUBTOTAL(9,$BQ$9:BQ360)</f>
        <v>152</v>
      </c>
      <c r="B360" s="543" t="str">
        <f ca="1">IF(IFERROR(SEARCH(";",VLOOKUP(BS356,'АКТЫ скрытых работ'!A:O,11,FALSE),SUM(LEN(B357),LEN(B358),LEN(B359))+8),0)&lt;&gt;0,MID(VLOOKUP(BS356,'АКТЫ скрытых работ'!A:O,11,FALSE),SUM(LEN(B357),LEN(B358),LEN(B359))+4,SEARCH(";",VLOOKUP(BS356,'АКТЫ скрытых работ'!A:O,11,FALSE),SUM(LEN(B357),LEN(B358),LEN(B359))+4)-SUM(LEN(B357),LEN(B358),LEN(B359))-6),MID(VLOOKUP(BS356,'АКТЫ скрытых работ'!A:O,11,FALSE),SUM(LEN(B357),LEN(B358),LEN(B359))+7,LEN(VLOOKUP(BS356,'АКТЫ скрытых работ'!A:O,11,FALSE))))</f>
        <v/>
      </c>
      <c r="C360" s="730" t="e">
        <f ca="1">IF(B360="Контрольно-исполнительная съемка","б/н",MID(B360,SEARCH("№",B360,1),SEARCH(" ",B360,SEARCH("№",B360,1))-SEARCH("№",B360,1)))</f>
        <v>#VALUE!</v>
      </c>
      <c r="D360" s="731"/>
      <c r="E360" s="731"/>
      <c r="F360" s="731"/>
      <c r="G360" s="731"/>
      <c r="H360" s="731"/>
      <c r="I360" s="731"/>
      <c r="J360" s="731"/>
      <c r="K360" s="731"/>
      <c r="L360" s="731"/>
      <c r="M360" s="731"/>
      <c r="N360" s="731"/>
      <c r="O360" s="731"/>
      <c r="P360" s="731"/>
      <c r="Q360" s="731"/>
      <c r="R360" s="731"/>
      <c r="S360" s="731"/>
      <c r="T360" s="731"/>
      <c r="U360" s="731"/>
      <c r="V360" s="731"/>
      <c r="W360" s="731"/>
      <c r="X360" s="731"/>
      <c r="Y360" s="732"/>
      <c r="Z360" s="727">
        <f ca="1">IFERROR(IF(OR(IFERROR(B360,0)=0,B360=""),0,1),0)</f>
        <v>0</v>
      </c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729"/>
      <c r="BJ360" s="729"/>
      <c r="BK360" s="729"/>
      <c r="BL360" s="729"/>
      <c r="BM360" s="729"/>
      <c r="BN360" s="729"/>
      <c r="BO360" s="729"/>
      <c r="BP360" s="729"/>
      <c r="BQ360" s="19">
        <f t="shared" ca="1" si="12"/>
        <v>0</v>
      </c>
    </row>
    <row r="361" spans="1:74" ht="26">
      <c r="A361" s="542">
        <f ca="1">SUBTOTAL(9,$BQ$9:BQ361)</f>
        <v>153</v>
      </c>
      <c r="B361" s="543" t="str">
        <f ca="1">VLOOKUP(BS356,'АКТЫ скрытых работ'!A:O,14,FALSE)</f>
        <v>Отказное письмо исх. №60-12/2020 от 12.05.2020 ООО "Биквест-Центр"</v>
      </c>
      <c r="C361" s="727" t="str">
        <f ca="1">IF(B361&lt;&gt;"-","б/н","")</f>
        <v>б/н</v>
      </c>
      <c r="D361" s="727"/>
      <c r="E361" s="727"/>
      <c r="F361" s="727"/>
      <c r="G361" s="727"/>
      <c r="H361" s="727"/>
      <c r="I361" s="727"/>
      <c r="J361" s="727"/>
      <c r="K361" s="727"/>
      <c r="L361" s="727"/>
      <c r="M361" s="727"/>
      <c r="N361" s="727"/>
      <c r="O361" s="727"/>
      <c r="P361" s="727"/>
      <c r="Q361" s="727"/>
      <c r="R361" s="727"/>
      <c r="S361" s="727"/>
      <c r="T361" s="727"/>
      <c r="U361" s="727"/>
      <c r="V361" s="727"/>
      <c r="W361" s="727"/>
      <c r="X361" s="727"/>
      <c r="Y361" s="727"/>
      <c r="Z361" s="727" t="str">
        <f ca="1">IFERROR(IF(OR(IFERROR(B361,0)=0,B361="-"),0,"1 компл"),0)</f>
        <v>1 компл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9"/>
      <c r="BL361" s="729"/>
      <c r="BM361" s="729"/>
      <c r="BN361" s="729"/>
      <c r="BO361" s="729"/>
      <c r="BP361" s="729"/>
      <c r="BQ361" s="19">
        <f t="shared" ca="1" si="12"/>
        <v>1</v>
      </c>
    </row>
    <row r="362" spans="1:74" ht="26">
      <c r="A362" s="542">
        <f ca="1">SUBTOTAL(9,$BQ$9:BQ362)</f>
        <v>154</v>
      </c>
      <c r="B362" s="543" t="str">
        <f ca="1">IF(BS362&lt;&gt;"",IF(MID(BS362,1,4)="АОСР",CONCATENATE("Акт освидетельствования скрытых работ '",VLOOKUP(BS362,'АКТЫ скрытых работ'!A:O,3,FALSE),"'"),CONCATENATE("Акт освидетельствования ответственных конструкций '",VLOOKUP(BS362,'АКТЫ скрытых работ'!A:O,3,FALSE),"'")),0)</f>
        <v>Акт освидетельствования скрытых работ 'Обратная засыпка траншеи'</v>
      </c>
      <c r="C362" s="727" t="str">
        <f ca="1">CONCATENATE("№",VLOOKUP(BS362,'АКТЫ скрытых работ'!A:O,2,FALSE))</f>
        <v>№5-КЗ_КК_8</v>
      </c>
      <c r="D362" s="727"/>
      <c r="E362" s="727"/>
      <c r="F362" s="727"/>
      <c r="G362" s="727"/>
      <c r="H362" s="727"/>
      <c r="I362" s="727"/>
      <c r="J362" s="727"/>
      <c r="K362" s="727"/>
      <c r="L362" s="727"/>
      <c r="M362" s="727"/>
      <c r="N362" s="727"/>
      <c r="O362" s="727"/>
      <c r="P362" s="727"/>
      <c r="Q362" s="727"/>
      <c r="R362" s="727"/>
      <c r="S362" s="727"/>
      <c r="T362" s="727"/>
      <c r="U362" s="727"/>
      <c r="V362" s="727"/>
      <c r="W362" s="727"/>
      <c r="X362" s="727"/>
      <c r="Y362" s="727"/>
      <c r="Z362" s="727">
        <f ca="1">IF(BS362="АООК_",0,1)</f>
        <v>1</v>
      </c>
      <c r="AA362" s="727"/>
      <c r="AB362" s="727"/>
      <c r="AC362" s="727"/>
      <c r="AD362" s="727"/>
      <c r="AE362" s="727"/>
      <c r="AF362" s="727"/>
      <c r="AG362" s="727"/>
      <c r="AH362" s="727"/>
      <c r="AI362" s="727"/>
      <c r="AJ362" s="727"/>
      <c r="AK362" s="727"/>
      <c r="AL362" s="727"/>
      <c r="AM362" s="727"/>
      <c r="AN362" s="727"/>
      <c r="AO362" s="727"/>
      <c r="AP362" s="727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729"/>
      <c r="BL362" s="729"/>
      <c r="BM362" s="729"/>
      <c r="BN362" s="729"/>
      <c r="BO362" s="729"/>
      <c r="BP362" s="729"/>
      <c r="BQ362" s="19">
        <f t="shared" ca="1" si="12"/>
        <v>1</v>
      </c>
      <c r="BS362" s="569" t="str">
        <f ca="1">IF(INDIRECT("'АКТЫ скрытых работ'!R"&amp;BU362&amp;"C1",0)=CONCATENATE("АОСР_",BT362),CONCATENATE("АОСР_",BT362),CONCATENATE("АООК_",BT362))</f>
        <v>АОСР_48</v>
      </c>
      <c r="BT362" s="569">
        <v>48</v>
      </c>
      <c r="BU362" s="570">
        <f>BT362+1</f>
        <v>49</v>
      </c>
    </row>
    <row r="363" spans="1:74" ht="26">
      <c r="A363" s="542">
        <f ca="1">SUBTOTAL(9,$BQ$9:BQ363)</f>
        <v>155</v>
      </c>
      <c r="B363" s="545" t="str">
        <f ca="1">IF(IFERROR(SEARCH("; ",VLOOKUP(BS362,'АКТЫ скрытых работ'!A:O,11,FALSE),1),0)=0,VLOOKUP(BS362,'АКТЫ скрытых работ'!A:O,11,FALSE),LEFT(VLOOKUP(BS362,'АКТЫ скрытых работ'!A:O,11,FALSE),SEARCH(";",VLOOKUP(BS362,'АКТЫ скрытых работ'!A:O,11,FALSE))-1))</f>
        <v>Исполнительная схема №1 Монтаж контура заземления КК-0,4кВ</v>
      </c>
      <c r="C363" s="730" t="str">
        <f ca="1">IF(B363="Контрольно-исполнительная съемка","б/н",MID(B363,SEARCH("№",B363,1),SEARCH(" ",B363,SEARCH("№",B363,1))-SEARCH("№",B363,1)))</f>
        <v>№1</v>
      </c>
      <c r="D363" s="731"/>
      <c r="E363" s="731"/>
      <c r="F363" s="731"/>
      <c r="G363" s="731"/>
      <c r="H363" s="731"/>
      <c r="I363" s="731"/>
      <c r="J363" s="731"/>
      <c r="K363" s="731"/>
      <c r="L363" s="731"/>
      <c r="M363" s="731"/>
      <c r="N363" s="731"/>
      <c r="O363" s="731"/>
      <c r="P363" s="731"/>
      <c r="Q363" s="731"/>
      <c r="R363" s="731"/>
      <c r="S363" s="731"/>
      <c r="T363" s="731"/>
      <c r="U363" s="731"/>
      <c r="V363" s="731"/>
      <c r="W363" s="731"/>
      <c r="X363" s="731"/>
      <c r="Y363" s="732"/>
      <c r="Z363" s="727">
        <f ca="1">IFERROR(IF(OR(IFERROR(B363,0)=0,B363="-"),0,1),0)</f>
        <v>1</v>
      </c>
      <c r="AA363" s="727"/>
      <c r="AB363" s="727"/>
      <c r="AC363" s="727"/>
      <c r="AD363" s="727"/>
      <c r="AE363" s="727"/>
      <c r="AF363" s="727"/>
      <c r="AG363" s="727"/>
      <c r="AH363" s="727"/>
      <c r="AI363" s="727"/>
      <c r="AJ363" s="727"/>
      <c r="AK363" s="727"/>
      <c r="AL363" s="727"/>
      <c r="AM363" s="727"/>
      <c r="AN363" s="727"/>
      <c r="AO363" s="727"/>
      <c r="AP363" s="727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729"/>
      <c r="BL363" s="729"/>
      <c r="BM363" s="729"/>
      <c r="BN363" s="729"/>
      <c r="BO363" s="729"/>
      <c r="BP363" s="729"/>
      <c r="BQ363" s="19">
        <f t="shared" ca="1" si="12"/>
        <v>1</v>
      </c>
    </row>
    <row r="364" spans="1:74" hidden="1">
      <c r="A364" s="542">
        <f ca="1">SUBTOTAL(9,$BQ$9:BQ364)</f>
        <v>155</v>
      </c>
      <c r="B364" s="543" t="str">
        <f ca="1">IF(IFERROR(SEARCH(";",VLOOKUP(BS362,'АКТЫ скрытых работ'!A:O,11,FALSE),LEN(B363)+2),0)&lt;&gt;0,MID(VLOOKUP(BS362,'АКТЫ скрытых работ'!A:O,11,FALSE),LEN(B363)+3,SEARCH(";",VLOOKUP(BS362,'АКТЫ скрытых работ'!A:O,11,FALSE),LEN(B363)+3)-LEN(B363)-3),MID(VLOOKUP(BS362,'АКТЫ скрытых работ'!A:O,11,FALSE),LEN(B363)+3,LEN(VLOOKUP(BS362,'АКТЫ скрытых работ'!A:O,11,FALSE))))</f>
        <v/>
      </c>
      <c r="C364" s="730" t="e">
        <f ca="1">IF(B364="Контрольно-исполнительная съемка","б/н",MID(B364,SEARCH("№",B364,1),SEARCH(" ",B364,SEARCH("№",B364,1))-SEARCH("№",B364,1)))</f>
        <v>#VALUE!</v>
      </c>
      <c r="D364" s="731"/>
      <c r="E364" s="731"/>
      <c r="F364" s="731"/>
      <c r="G364" s="731"/>
      <c r="H364" s="731"/>
      <c r="I364" s="731"/>
      <c r="J364" s="731"/>
      <c r="K364" s="731"/>
      <c r="L364" s="731"/>
      <c r="M364" s="731"/>
      <c r="N364" s="731"/>
      <c r="O364" s="731"/>
      <c r="P364" s="731"/>
      <c r="Q364" s="731"/>
      <c r="R364" s="731"/>
      <c r="S364" s="731"/>
      <c r="T364" s="731"/>
      <c r="U364" s="731"/>
      <c r="V364" s="731"/>
      <c r="W364" s="731"/>
      <c r="X364" s="731"/>
      <c r="Y364" s="732"/>
      <c r="Z364" s="727">
        <f ca="1">IFERROR(IF(OR(IFERROR(B364,0)=0,B364=""),0,1),0)</f>
        <v>0</v>
      </c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727"/>
      <c r="AK364" s="727"/>
      <c r="AL364" s="727"/>
      <c r="AM364" s="727"/>
      <c r="AN364" s="727"/>
      <c r="AO364" s="727"/>
      <c r="AP364" s="727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729"/>
      <c r="BL364" s="729"/>
      <c r="BM364" s="729"/>
      <c r="BN364" s="729"/>
      <c r="BO364" s="729"/>
      <c r="BP364" s="729"/>
      <c r="BQ364" s="19">
        <f t="shared" ca="1" si="12"/>
        <v>0</v>
      </c>
    </row>
    <row r="365" spans="1:74" hidden="1">
      <c r="A365" s="542">
        <f ca="1">SUBTOTAL(9,$BQ$9:BQ365)</f>
        <v>155</v>
      </c>
      <c r="B365" s="543" t="str">
        <f ca="1">IF(IFERROR(SEARCH(";",VLOOKUP(BS362,'АКТЫ скрытых работ'!A:O,11,FALSE),SUM(LEN(B363),LEN(B364))+4),0)&lt;&gt;0,MID(VLOOKUP(BS362,'АКТЫ скрытых работ'!A:O,11,FALSE),SUM(LEN(B363),LEN(B364))+5,SEARCH(";",VLOOKUP(BS362,'АКТЫ скрытых работ'!A:O,11,FALSE),SUM(LEN(B363),LEN(B364))+4)-SUM(LEN(B363),LEN(B364))-5),MID(VLOOKUP(BS362,'АКТЫ скрытых работ'!A:O,11,FALSE),SUM(LEN(B363),LEN(B364))+5,LEN(VLOOKUP(BS362,'АКТЫ скрытых работ'!A:O,11,FALSE))))</f>
        <v/>
      </c>
      <c r="C365" s="730" t="e">
        <f ca="1">IF(B365="Контрольно-исполнительная съемка","б/н",MID(B365,SEARCH("№",B365,1),SEARCH(" ",B365,SEARCH("№",B365,1))-SEARCH("№",B365,1)))</f>
        <v>#VALUE!</v>
      </c>
      <c r="D365" s="731"/>
      <c r="E365" s="731"/>
      <c r="F365" s="731"/>
      <c r="G365" s="731"/>
      <c r="H365" s="731"/>
      <c r="I365" s="731"/>
      <c r="J365" s="731"/>
      <c r="K365" s="731"/>
      <c r="L365" s="731"/>
      <c r="M365" s="731"/>
      <c r="N365" s="731"/>
      <c r="O365" s="731"/>
      <c r="P365" s="731"/>
      <c r="Q365" s="731"/>
      <c r="R365" s="731"/>
      <c r="S365" s="731"/>
      <c r="T365" s="731"/>
      <c r="U365" s="731"/>
      <c r="V365" s="731"/>
      <c r="W365" s="731"/>
      <c r="X365" s="731"/>
      <c r="Y365" s="732"/>
      <c r="Z365" s="727">
        <f ca="1">IFERROR(IF(OR(IFERROR(B365,0)=0,B365=""),0,1),0)</f>
        <v>0</v>
      </c>
      <c r="AA365" s="727"/>
      <c r="AB365" s="727"/>
      <c r="AC365" s="727"/>
      <c r="AD365" s="727"/>
      <c r="AE365" s="727"/>
      <c r="AF365" s="727"/>
      <c r="AG365" s="727"/>
      <c r="AH365" s="727"/>
      <c r="AI365" s="727"/>
      <c r="AJ365" s="727"/>
      <c r="AK365" s="727"/>
      <c r="AL365" s="727"/>
      <c r="AM365" s="727"/>
      <c r="AN365" s="727"/>
      <c r="AO365" s="727"/>
      <c r="AP365" s="727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9"/>
      <c r="BL365" s="729"/>
      <c r="BM365" s="729"/>
      <c r="BN365" s="729"/>
      <c r="BO365" s="729"/>
      <c r="BP365" s="729"/>
      <c r="BQ365" s="19">
        <f t="shared" ca="1" si="12"/>
        <v>0</v>
      </c>
      <c r="BV365" s="19" t="str">
        <f>MID(BV349,1,LEN(BV349))</f>
        <v/>
      </c>
    </row>
    <row r="366" spans="1:74" hidden="1">
      <c r="A366" s="542">
        <f ca="1">SUBTOTAL(9,$BQ$9:BQ366)</f>
        <v>155</v>
      </c>
      <c r="B366" s="543" t="str">
        <f ca="1">IF(IFERROR(SEARCH(";",VLOOKUP(BS362,'АКТЫ скрытых работ'!A:O,11,FALSE),SUM(LEN(B363),LEN(B364),LEN(B365))+8),0)&lt;&gt;0,MID(VLOOKUP(BS362,'АКТЫ скрытых работ'!A:O,11,FALSE),SUM(LEN(B363),LEN(B364),LEN(B365))+4,SEARCH(";",VLOOKUP(BS362,'АКТЫ скрытых работ'!A:O,11,FALSE),SUM(LEN(B363),LEN(B364),LEN(B365))+4)-SUM(LEN(B363),LEN(B364),LEN(B365))-6),MID(VLOOKUP(BS362,'АКТЫ скрытых работ'!A:O,11,FALSE),SUM(LEN(B363),LEN(B364),LEN(B365))+7,LEN(VLOOKUP(BS362,'АКТЫ скрытых работ'!A:O,11,FALSE))))</f>
        <v/>
      </c>
      <c r="C366" s="730" t="e">
        <f ca="1">IF(B366="Контрольно-исполнительная съемка","б/н",MID(B366,SEARCH("№",B366,1),SEARCH(" ",B366,SEARCH("№",B366,1))-SEARCH("№",B366,1)))</f>
        <v>#VALUE!</v>
      </c>
      <c r="D366" s="731"/>
      <c r="E366" s="731"/>
      <c r="F366" s="731"/>
      <c r="G366" s="731"/>
      <c r="H366" s="731"/>
      <c r="I366" s="731"/>
      <c r="J366" s="731"/>
      <c r="K366" s="731"/>
      <c r="L366" s="731"/>
      <c r="M366" s="731"/>
      <c r="N366" s="731"/>
      <c r="O366" s="731"/>
      <c r="P366" s="731"/>
      <c r="Q366" s="731"/>
      <c r="R366" s="731"/>
      <c r="S366" s="731"/>
      <c r="T366" s="731"/>
      <c r="U366" s="731"/>
      <c r="V366" s="731"/>
      <c r="W366" s="731"/>
      <c r="X366" s="731"/>
      <c r="Y366" s="732"/>
      <c r="Z366" s="727">
        <f ca="1">IFERROR(IF(OR(IFERROR(B366,0)=0,B366=""),0,1),0)</f>
        <v>0</v>
      </c>
      <c r="AA366" s="727"/>
      <c r="AB366" s="727"/>
      <c r="AC366" s="727"/>
      <c r="AD366" s="727"/>
      <c r="AE366" s="727"/>
      <c r="AF366" s="727"/>
      <c r="AG366" s="727"/>
      <c r="AH366" s="727"/>
      <c r="AI366" s="727"/>
      <c r="AJ366" s="727"/>
      <c r="AK366" s="727"/>
      <c r="AL366" s="727"/>
      <c r="AM366" s="727"/>
      <c r="AN366" s="727"/>
      <c r="AO366" s="727"/>
      <c r="AP366" s="727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729"/>
      <c r="BB366" s="729"/>
      <c r="BC366" s="729"/>
      <c r="BD366" s="729"/>
      <c r="BE366" s="729"/>
      <c r="BF366" s="729"/>
      <c r="BG366" s="729"/>
      <c r="BH366" s="729"/>
      <c r="BI366" s="729"/>
      <c r="BJ366" s="729"/>
      <c r="BK366" s="729"/>
      <c r="BL366" s="729"/>
      <c r="BM366" s="729"/>
      <c r="BN366" s="729"/>
      <c r="BO366" s="729"/>
      <c r="BP366" s="729"/>
      <c r="BQ366" s="19">
        <f t="shared" ca="1" si="12"/>
        <v>0</v>
      </c>
    </row>
    <row r="367" spans="1:74" hidden="1">
      <c r="A367" s="542">
        <f ca="1">SUBTOTAL(9,$BQ$9:BQ367)</f>
        <v>155</v>
      </c>
      <c r="B367" s="543" t="str">
        <f ca="1">VLOOKUP(BS362,'АКТЫ скрытых работ'!A:O,14,FALSE)</f>
        <v>-</v>
      </c>
      <c r="C367" s="727" t="str">
        <f ca="1">IF(B367&lt;&gt;"-","б/н","")</f>
        <v/>
      </c>
      <c r="D367" s="727"/>
      <c r="E367" s="727"/>
      <c r="F367" s="727"/>
      <c r="G367" s="727"/>
      <c r="H367" s="727"/>
      <c r="I367" s="727"/>
      <c r="J367" s="727"/>
      <c r="K367" s="727"/>
      <c r="L367" s="727"/>
      <c r="M367" s="727"/>
      <c r="N367" s="727"/>
      <c r="O367" s="727"/>
      <c r="P367" s="727"/>
      <c r="Q367" s="727"/>
      <c r="R367" s="727"/>
      <c r="S367" s="727"/>
      <c r="T367" s="727"/>
      <c r="U367" s="727"/>
      <c r="V367" s="727"/>
      <c r="W367" s="727"/>
      <c r="X367" s="727"/>
      <c r="Y367" s="727"/>
      <c r="Z367" s="727">
        <f ca="1">IFERROR(IF(OR(IFERROR(B367,0)=0,B367="-"),0,"1 компл"),0)</f>
        <v>0</v>
      </c>
      <c r="AA367" s="727"/>
      <c r="AB367" s="727"/>
      <c r="AC367" s="727"/>
      <c r="AD367" s="727"/>
      <c r="AE367" s="727"/>
      <c r="AF367" s="727"/>
      <c r="AG367" s="727"/>
      <c r="AH367" s="727"/>
      <c r="AI367" s="727"/>
      <c r="AJ367" s="727"/>
      <c r="AK367" s="727"/>
      <c r="AL367" s="727"/>
      <c r="AM367" s="727"/>
      <c r="AN367" s="727"/>
      <c r="AO367" s="727"/>
      <c r="AP367" s="727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729"/>
      <c r="BB367" s="729"/>
      <c r="BC367" s="729"/>
      <c r="BD367" s="729"/>
      <c r="BE367" s="729"/>
      <c r="BF367" s="729"/>
      <c r="BG367" s="729"/>
      <c r="BH367" s="729"/>
      <c r="BI367" s="729"/>
      <c r="BJ367" s="729"/>
      <c r="BK367" s="729"/>
      <c r="BL367" s="729"/>
      <c r="BM367" s="729"/>
      <c r="BN367" s="729"/>
      <c r="BO367" s="729"/>
      <c r="BP367" s="729"/>
      <c r="BQ367" s="19">
        <f t="shared" ca="1" si="12"/>
        <v>0</v>
      </c>
    </row>
    <row r="368" spans="1:74" ht="39">
      <c r="A368" s="542">
        <f ca="1">SUBTOTAL(9,$BQ$9:BQ368)</f>
        <v>156</v>
      </c>
      <c r="B368" s="543" t="str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Акт освидетельствования скрытых работ 'Разработка грунта приемных и стартовых котлованов'</v>
      </c>
      <c r="C368" s="727" t="str">
        <f ca="1">CONCATENATE("№",VLOOKUP(BS368,'АКТЫ скрытых работ'!A:O,2,FALSE))</f>
        <v>№1-КЛ0,4</v>
      </c>
      <c r="D368" s="727"/>
      <c r="E368" s="727"/>
      <c r="F368" s="727"/>
      <c r="G368" s="727"/>
      <c r="H368" s="727"/>
      <c r="I368" s="727"/>
      <c r="J368" s="727"/>
      <c r="K368" s="727"/>
      <c r="L368" s="727"/>
      <c r="M368" s="727"/>
      <c r="N368" s="727"/>
      <c r="O368" s="727"/>
      <c r="P368" s="727"/>
      <c r="Q368" s="727"/>
      <c r="R368" s="727"/>
      <c r="S368" s="727"/>
      <c r="T368" s="727"/>
      <c r="U368" s="727"/>
      <c r="V368" s="727"/>
      <c r="W368" s="727"/>
      <c r="X368" s="727"/>
      <c r="Y368" s="727"/>
      <c r="Z368" s="727">
        <f ca="1">IF(BS368="АООК_",0,1)</f>
        <v>1</v>
      </c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727"/>
      <c r="AK368" s="727"/>
      <c r="AL368" s="727"/>
      <c r="AM368" s="727"/>
      <c r="AN368" s="727"/>
      <c r="AO368" s="727"/>
      <c r="AP368" s="727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729"/>
      <c r="BB368" s="729"/>
      <c r="BC368" s="729"/>
      <c r="BD368" s="729"/>
      <c r="BE368" s="729"/>
      <c r="BF368" s="729"/>
      <c r="BG368" s="729"/>
      <c r="BH368" s="729"/>
      <c r="BI368" s="729"/>
      <c r="BJ368" s="729"/>
      <c r="BK368" s="729"/>
      <c r="BL368" s="729"/>
      <c r="BM368" s="729"/>
      <c r="BN368" s="729"/>
      <c r="BO368" s="729"/>
      <c r="BP368" s="729"/>
      <c r="BQ368" s="19">
        <f t="shared" ca="1" si="12"/>
        <v>1</v>
      </c>
      <c r="BS368" s="569" t="str">
        <f ca="1">IF(INDIRECT("'АКТЫ скрытых работ'!R"&amp;BU368&amp;"C1",0)=CONCATENATE("АОСР_",BT368),CONCATENATE("АОСР_",BT368),CONCATENATE("АООК_",BT368))</f>
        <v>АОСР_49</v>
      </c>
      <c r="BT368" s="569">
        <v>49</v>
      </c>
      <c r="BU368" s="570">
        <f>BT368+1</f>
        <v>50</v>
      </c>
    </row>
    <row r="369" spans="1:74" ht="26">
      <c r="A369" s="542">
        <f ca="1">SUBTOTAL(9,$BQ$9:BQ369)</f>
        <v>157</v>
      </c>
      <c r="B369" s="545" t="str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Исполнительная схема №1.1 Разработка грунта котлованов под монтаж КЛ-0,4кВ</v>
      </c>
      <c r="C369" s="730" t="str">
        <f ca="1">IF(B369="Контрольно-исполнительная съемка","б/н",MID(B369,SEARCH("№",B369,1),SEARCH(" ",B369,SEARCH("№",B369,1))-SEARCH("№",B369,1)))</f>
        <v>№1.1</v>
      </c>
      <c r="D369" s="731"/>
      <c r="E369" s="731"/>
      <c r="F369" s="731"/>
      <c r="G369" s="731"/>
      <c r="H369" s="731"/>
      <c r="I369" s="731"/>
      <c r="J369" s="731"/>
      <c r="K369" s="731"/>
      <c r="L369" s="731"/>
      <c r="M369" s="731"/>
      <c r="N369" s="731"/>
      <c r="O369" s="731"/>
      <c r="P369" s="731"/>
      <c r="Q369" s="731"/>
      <c r="R369" s="731"/>
      <c r="S369" s="731"/>
      <c r="T369" s="731"/>
      <c r="U369" s="731"/>
      <c r="V369" s="731"/>
      <c r="W369" s="731"/>
      <c r="X369" s="731"/>
      <c r="Y369" s="732"/>
      <c r="Z369" s="727">
        <f ca="1">IFERROR(IF(OR(IFERROR(B369,0)=0,B369="-"),0,1),0)</f>
        <v>1</v>
      </c>
      <c r="AA369" s="727"/>
      <c r="AB369" s="727"/>
      <c r="AC369" s="727"/>
      <c r="AD369" s="727"/>
      <c r="AE369" s="727"/>
      <c r="AF369" s="727"/>
      <c r="AG369" s="727"/>
      <c r="AH369" s="727"/>
      <c r="AI369" s="727"/>
      <c r="AJ369" s="727"/>
      <c r="AK369" s="727"/>
      <c r="AL369" s="727"/>
      <c r="AM369" s="727"/>
      <c r="AN369" s="727"/>
      <c r="AO369" s="727"/>
      <c r="AP369" s="727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9"/>
      <c r="BL369" s="729"/>
      <c r="BM369" s="729"/>
      <c r="BN369" s="729"/>
      <c r="BO369" s="729"/>
      <c r="BP369" s="729"/>
      <c r="BQ369" s="19">
        <f t="shared" ca="1" si="12"/>
        <v>1</v>
      </c>
    </row>
    <row r="370" spans="1:74" ht="26">
      <c r="A370" s="542">
        <f ca="1">SUBTOTAL(9,$BQ$9:BQ370)</f>
        <v>158</v>
      </c>
      <c r="B370" s="543" t="str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Исполнительная схема №1.2 Разработка грунта котлованов под монтаж КЛ-0,4кВ</v>
      </c>
      <c r="C370" s="730" t="str">
        <f ca="1">IF(B370="Контрольно-исполнительная съемка","б/н",MID(B370,SEARCH("№",B370,1),SEARCH(" ",B370,SEARCH("№",B370,1))-SEARCH("№",B370,1)))</f>
        <v>№1.2</v>
      </c>
      <c r="D370" s="731"/>
      <c r="E370" s="731"/>
      <c r="F370" s="731"/>
      <c r="G370" s="731"/>
      <c r="H370" s="731"/>
      <c r="I370" s="731"/>
      <c r="J370" s="731"/>
      <c r="K370" s="731"/>
      <c r="L370" s="731"/>
      <c r="M370" s="731"/>
      <c r="N370" s="731"/>
      <c r="O370" s="731"/>
      <c r="P370" s="731"/>
      <c r="Q370" s="731"/>
      <c r="R370" s="731"/>
      <c r="S370" s="731"/>
      <c r="T370" s="731"/>
      <c r="U370" s="731"/>
      <c r="V370" s="731"/>
      <c r="W370" s="731"/>
      <c r="X370" s="731"/>
      <c r="Y370" s="732"/>
      <c r="Z370" s="727">
        <f ca="1">IFERROR(IF(OR(IFERROR(B370,0)=0,B370=""),0,1),0)</f>
        <v>1</v>
      </c>
      <c r="AA370" s="727"/>
      <c r="AB370" s="727"/>
      <c r="AC370" s="727"/>
      <c r="AD370" s="727"/>
      <c r="AE370" s="727"/>
      <c r="AF370" s="727"/>
      <c r="AG370" s="727"/>
      <c r="AH370" s="727"/>
      <c r="AI370" s="727"/>
      <c r="AJ370" s="727"/>
      <c r="AK370" s="727"/>
      <c r="AL370" s="727"/>
      <c r="AM370" s="727"/>
      <c r="AN370" s="727"/>
      <c r="AO370" s="727"/>
      <c r="AP370" s="727"/>
      <c r="AQ370" s="729"/>
      <c r="AR370" s="729"/>
      <c r="AS370" s="729"/>
      <c r="AT370" s="729"/>
      <c r="AU370" s="729"/>
      <c r="AV370" s="729"/>
      <c r="AW370" s="729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729"/>
      <c r="BK370" s="729"/>
      <c r="BL370" s="729"/>
      <c r="BM370" s="729"/>
      <c r="BN370" s="729"/>
      <c r="BO370" s="729"/>
      <c r="BP370" s="729"/>
      <c r="BQ370" s="19">
        <f t="shared" ca="1" si="12"/>
        <v>1</v>
      </c>
    </row>
    <row r="371" spans="1:74" hidden="1">
      <c r="A371" s="542">
        <f ca="1">SUBTOTAL(9,$BQ$9:BQ371)</f>
        <v>158</v>
      </c>
      <c r="B371" s="543" t="str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/>
      </c>
      <c r="C371" s="730" t="e">
        <f ca="1">IF(B371="Контрольно-исполнительная съемка","б/н",MID(B371,SEARCH("№",B371,1),SEARCH(" ",B371,SEARCH("№",B371,1))-SEARCH("№",B371,1)))</f>
        <v>#VALUE!</v>
      </c>
      <c r="D371" s="731"/>
      <c r="E371" s="731"/>
      <c r="F371" s="731"/>
      <c r="G371" s="731"/>
      <c r="H371" s="731"/>
      <c r="I371" s="731"/>
      <c r="J371" s="731"/>
      <c r="K371" s="731"/>
      <c r="L371" s="731"/>
      <c r="M371" s="731"/>
      <c r="N371" s="731"/>
      <c r="O371" s="731"/>
      <c r="P371" s="731"/>
      <c r="Q371" s="731"/>
      <c r="R371" s="731"/>
      <c r="S371" s="731"/>
      <c r="T371" s="731"/>
      <c r="U371" s="731"/>
      <c r="V371" s="731"/>
      <c r="W371" s="731"/>
      <c r="X371" s="731"/>
      <c r="Y371" s="732"/>
      <c r="Z371" s="727">
        <f ca="1">IFERROR(IF(OR(IFERROR(B371,0)=0,B371=""),0,1),0)</f>
        <v>0</v>
      </c>
      <c r="AA371" s="727"/>
      <c r="AB371" s="727"/>
      <c r="AC371" s="727"/>
      <c r="AD371" s="727"/>
      <c r="AE371" s="727"/>
      <c r="AF371" s="727"/>
      <c r="AG371" s="727"/>
      <c r="AH371" s="727"/>
      <c r="AI371" s="727"/>
      <c r="AJ371" s="727"/>
      <c r="AK371" s="727"/>
      <c r="AL371" s="727"/>
      <c r="AM371" s="727"/>
      <c r="AN371" s="727"/>
      <c r="AO371" s="727"/>
      <c r="AP371" s="727"/>
      <c r="AQ371" s="729"/>
      <c r="AR371" s="729"/>
      <c r="AS371" s="729"/>
      <c r="AT371" s="729"/>
      <c r="AU371" s="729"/>
      <c r="AV371" s="729"/>
      <c r="AW371" s="729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729"/>
      <c r="BK371" s="729"/>
      <c r="BL371" s="729"/>
      <c r="BM371" s="729"/>
      <c r="BN371" s="729"/>
      <c r="BO371" s="729"/>
      <c r="BP371" s="729"/>
      <c r="BQ371" s="19">
        <f t="shared" ca="1" si="12"/>
        <v>0</v>
      </c>
      <c r="BV371" s="19" t="str">
        <f>MID(BV355,1,LEN(BV355))</f>
        <v/>
      </c>
    </row>
    <row r="372" spans="1:74" hidden="1">
      <c r="A372" s="542">
        <f ca="1">SUBTOTAL(9,$BQ$9:BQ372)</f>
        <v>158</v>
      </c>
      <c r="B372" s="543" t="str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/>
      </c>
      <c r="C372" s="730" t="e">
        <f ca="1">IF(B372="Контрольно-исполнительная съемка","б/н",MID(B372,SEARCH("№",B372,1),SEARCH(" ",B372,SEARCH("№",B372,1))-SEARCH("№",B372,1)))</f>
        <v>#VALUE!</v>
      </c>
      <c r="D372" s="731"/>
      <c r="E372" s="731"/>
      <c r="F372" s="731"/>
      <c r="G372" s="731"/>
      <c r="H372" s="731"/>
      <c r="I372" s="731"/>
      <c r="J372" s="731"/>
      <c r="K372" s="731"/>
      <c r="L372" s="731"/>
      <c r="M372" s="731"/>
      <c r="N372" s="731"/>
      <c r="O372" s="731"/>
      <c r="P372" s="731"/>
      <c r="Q372" s="731"/>
      <c r="R372" s="731"/>
      <c r="S372" s="731"/>
      <c r="T372" s="731"/>
      <c r="U372" s="731"/>
      <c r="V372" s="731"/>
      <c r="W372" s="731"/>
      <c r="X372" s="731"/>
      <c r="Y372" s="732"/>
      <c r="Z372" s="727">
        <f ca="1">IFERROR(IF(OR(IFERROR(B372,0)=0,B372=""),0,1),0)</f>
        <v>0</v>
      </c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727"/>
      <c r="AK372" s="727"/>
      <c r="AL372" s="727"/>
      <c r="AM372" s="727"/>
      <c r="AN372" s="727"/>
      <c r="AO372" s="727"/>
      <c r="AP372" s="727"/>
      <c r="AQ372" s="729"/>
      <c r="AR372" s="729"/>
      <c r="AS372" s="729"/>
      <c r="AT372" s="729"/>
      <c r="AU372" s="729"/>
      <c r="AV372" s="729"/>
      <c r="AW372" s="729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729"/>
      <c r="BK372" s="729"/>
      <c r="BL372" s="729"/>
      <c r="BM372" s="729"/>
      <c r="BN372" s="729"/>
      <c r="BO372" s="729"/>
      <c r="BP372" s="729"/>
      <c r="BQ372" s="19">
        <f t="shared" ca="1" si="12"/>
        <v>0</v>
      </c>
    </row>
    <row r="373" spans="1:74" hidden="1">
      <c r="A373" s="542">
        <f ca="1">SUBTOTAL(9,$BQ$9:BQ373)</f>
        <v>158</v>
      </c>
      <c r="B373" s="543" t="str">
        <f ca="1">VLOOKUP(BS368,'АКТЫ скрытых работ'!A:O,14,FALSE)</f>
        <v>-</v>
      </c>
      <c r="C373" s="727" t="str">
        <f ca="1">IF(B373&lt;&gt;"-","б/н","")</f>
        <v/>
      </c>
      <c r="D373" s="727"/>
      <c r="E373" s="727"/>
      <c r="F373" s="727"/>
      <c r="G373" s="727"/>
      <c r="H373" s="727"/>
      <c r="I373" s="727"/>
      <c r="J373" s="727"/>
      <c r="K373" s="727"/>
      <c r="L373" s="727"/>
      <c r="M373" s="727"/>
      <c r="N373" s="727"/>
      <c r="O373" s="727"/>
      <c r="P373" s="727"/>
      <c r="Q373" s="727"/>
      <c r="R373" s="727"/>
      <c r="S373" s="727"/>
      <c r="T373" s="727"/>
      <c r="U373" s="727"/>
      <c r="V373" s="727"/>
      <c r="W373" s="727"/>
      <c r="X373" s="727"/>
      <c r="Y373" s="727"/>
      <c r="Z373" s="727">
        <f ca="1">IFERROR(IF(OR(IFERROR(B373,0)=0,B373="-"),0,"1 компл"),0)</f>
        <v>0</v>
      </c>
      <c r="AA373" s="727"/>
      <c r="AB373" s="727"/>
      <c r="AC373" s="727"/>
      <c r="AD373" s="727"/>
      <c r="AE373" s="727"/>
      <c r="AF373" s="727"/>
      <c r="AG373" s="727"/>
      <c r="AH373" s="727"/>
      <c r="AI373" s="727"/>
      <c r="AJ373" s="727"/>
      <c r="AK373" s="727"/>
      <c r="AL373" s="727"/>
      <c r="AM373" s="727"/>
      <c r="AN373" s="727"/>
      <c r="AO373" s="727"/>
      <c r="AP373" s="727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9"/>
      <c r="BL373" s="729"/>
      <c r="BM373" s="729"/>
      <c r="BN373" s="729"/>
      <c r="BO373" s="729"/>
      <c r="BP373" s="729"/>
      <c r="BQ373" s="19">
        <f t="shared" ca="1" si="12"/>
        <v>0</v>
      </c>
    </row>
    <row r="374" spans="1:74" ht="26">
      <c r="A374" s="542">
        <f ca="1">SUBTOTAL(9,$BQ$9:BQ374)</f>
        <v>159</v>
      </c>
      <c r="B374" s="543" t="str">
        <f ca="1">IF(BS374&lt;&gt;"",IF(MID(BS374,1,4)="АОСР",CONCATENATE("Акт освидетельствования скрытых работ '",VLOOKUP(BS374,'АКТЫ скрытых работ'!A:O,3,FALSE),"'"),CONCATENATE("Акт освидетельствования ответственных конструкций '",VLOOKUP(BS374,'АКТЫ скрытых работ'!A:O,3,FALSE),"'")),0)</f>
        <v>Акт освидетельствования скрытых работ 'Устройство ГНБ №2 перехода'</v>
      </c>
      <c r="C374" s="727" t="str">
        <f ca="1">CONCATENATE("№",VLOOKUP(BS374,'АКТЫ скрытых работ'!A:O,2,FALSE))</f>
        <v>№2-КЛ0,4</v>
      </c>
      <c r="D374" s="727"/>
      <c r="E374" s="727"/>
      <c r="F374" s="727"/>
      <c r="G374" s="727"/>
      <c r="H374" s="727"/>
      <c r="I374" s="727"/>
      <c r="J374" s="727"/>
      <c r="K374" s="727"/>
      <c r="L374" s="727"/>
      <c r="M374" s="727"/>
      <c r="N374" s="727"/>
      <c r="O374" s="727"/>
      <c r="P374" s="727"/>
      <c r="Q374" s="727"/>
      <c r="R374" s="727"/>
      <c r="S374" s="727"/>
      <c r="T374" s="727"/>
      <c r="U374" s="727"/>
      <c r="V374" s="727"/>
      <c r="W374" s="727"/>
      <c r="X374" s="727"/>
      <c r="Y374" s="727"/>
      <c r="Z374" s="727">
        <f ca="1">IF(BS374="АООК_",0,1)</f>
        <v>1</v>
      </c>
      <c r="AA374" s="727"/>
      <c r="AB374" s="727"/>
      <c r="AC374" s="727"/>
      <c r="AD374" s="727"/>
      <c r="AE374" s="727"/>
      <c r="AF374" s="727"/>
      <c r="AG374" s="727"/>
      <c r="AH374" s="727"/>
      <c r="AI374" s="727"/>
      <c r="AJ374" s="727"/>
      <c r="AK374" s="727"/>
      <c r="AL374" s="727"/>
      <c r="AM374" s="727"/>
      <c r="AN374" s="727"/>
      <c r="AO374" s="727"/>
      <c r="AP374" s="727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729"/>
      <c r="BL374" s="729"/>
      <c r="BM374" s="729"/>
      <c r="BN374" s="729"/>
      <c r="BO374" s="729"/>
      <c r="BP374" s="729"/>
      <c r="BQ374" s="19">
        <f t="shared" ca="1" si="12"/>
        <v>1</v>
      </c>
      <c r="BS374" s="569" t="str">
        <f ca="1">IF(INDIRECT("'АКТЫ скрытых работ'!R"&amp;BU374&amp;"C1",0)=CONCATENATE("АОСР_",BT374),CONCATENATE("АОСР_",BT374),CONCATENATE("АООК_",BT374))</f>
        <v>АОСР_50</v>
      </c>
      <c r="BT374" s="569">
        <v>50</v>
      </c>
      <c r="BU374" s="570">
        <f>BT374+1</f>
        <v>51</v>
      </c>
    </row>
    <row r="375" spans="1:74" ht="26">
      <c r="A375" s="542">
        <f ca="1">SUBTOTAL(9,$BQ$9:BQ375)</f>
        <v>160</v>
      </c>
      <c r="B375" s="545" t="str">
        <f ca="1">IF(IFERROR(SEARCH("; ",VLOOKUP(BS374,'АКТЫ скрытых работ'!A:O,11,FALSE),1),0)=0,VLOOKUP(BS374,'АКТЫ скрытых работ'!A:O,11,FALSE),LEFT(VLOOKUP(BS374,'АКТЫ скрытых работ'!A:O,11,FALSE),SEARCH(";",VLOOKUP(BS374,'АКТЫ скрытых работ'!A:O,11,FALSE))-1))</f>
        <v xml:space="preserve">Исполнительная схема закрытого перехода методом ГНБ №1 </v>
      </c>
      <c r="C375" s="730" t="str">
        <f ca="1">IF(B375="Контрольно-исполнительная съемка","б/н",MID(B375,SEARCH("№",B375,1),SEARCH(" ",B375,SEARCH("№",B375,1))-SEARCH("№",B375,1)))</f>
        <v>№1</v>
      </c>
      <c r="D375" s="731"/>
      <c r="E375" s="731"/>
      <c r="F375" s="731"/>
      <c r="G375" s="731"/>
      <c r="H375" s="731"/>
      <c r="I375" s="731"/>
      <c r="J375" s="731"/>
      <c r="K375" s="731"/>
      <c r="L375" s="731"/>
      <c r="M375" s="731"/>
      <c r="N375" s="731"/>
      <c r="O375" s="731"/>
      <c r="P375" s="731"/>
      <c r="Q375" s="731"/>
      <c r="R375" s="731"/>
      <c r="S375" s="731"/>
      <c r="T375" s="731"/>
      <c r="U375" s="731"/>
      <c r="V375" s="731"/>
      <c r="W375" s="731"/>
      <c r="X375" s="731"/>
      <c r="Y375" s="732"/>
      <c r="Z375" s="727">
        <f ca="1">IFERROR(IF(OR(IFERROR(B375,0)=0,B375="-"),0,1),0)</f>
        <v>1</v>
      </c>
      <c r="AA375" s="727"/>
      <c r="AB375" s="727"/>
      <c r="AC375" s="727"/>
      <c r="AD375" s="727"/>
      <c r="AE375" s="727"/>
      <c r="AF375" s="727"/>
      <c r="AG375" s="727"/>
      <c r="AH375" s="727"/>
      <c r="AI375" s="727"/>
      <c r="AJ375" s="727"/>
      <c r="AK375" s="727"/>
      <c r="AL375" s="727"/>
      <c r="AM375" s="727"/>
      <c r="AN375" s="727"/>
      <c r="AO375" s="727"/>
      <c r="AP375" s="727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729"/>
      <c r="BL375" s="729"/>
      <c r="BM375" s="729"/>
      <c r="BN375" s="729"/>
      <c r="BO375" s="729"/>
      <c r="BP375" s="729"/>
      <c r="BQ375" s="19">
        <f t="shared" ca="1" si="12"/>
        <v>1</v>
      </c>
    </row>
    <row r="376" spans="1:74" hidden="1">
      <c r="A376" s="542">
        <f ca="1">SUBTOTAL(9,$BQ$9:BQ376)</f>
        <v>160</v>
      </c>
      <c r="B376" s="543" t="str">
        <f ca="1">IF(IFERROR(SEARCH(";",VLOOKUP(BS374,'АКТЫ скрытых работ'!A:O,11,FALSE),LEN(B375)+2),0)&lt;&gt;0,MID(VLOOKUP(BS374,'АКТЫ скрытых работ'!A:O,11,FALSE),LEN(B375)+3,SEARCH(";",VLOOKUP(BS374,'АКТЫ скрытых работ'!A:O,11,FALSE),LEN(B375)+3)-LEN(B375)-3),MID(VLOOKUP(BS374,'АКТЫ скрытых работ'!A:O,11,FALSE),LEN(B375)+3,LEN(VLOOKUP(BS374,'АКТЫ скрытых работ'!A:O,11,FALSE))))</f>
        <v/>
      </c>
      <c r="C376" s="730" t="e">
        <f ca="1">IF(B376="Контрольно-исполнительная съемка","б/н",MID(B376,SEARCH("№",B376,1),SEARCH(" ",B376,SEARCH("№",B376,1))-SEARCH("№",B376,1)))</f>
        <v>#VALUE!</v>
      </c>
      <c r="D376" s="731"/>
      <c r="E376" s="731"/>
      <c r="F376" s="731"/>
      <c r="G376" s="731"/>
      <c r="H376" s="731"/>
      <c r="I376" s="731"/>
      <c r="J376" s="731"/>
      <c r="K376" s="731"/>
      <c r="L376" s="731"/>
      <c r="M376" s="731"/>
      <c r="N376" s="731"/>
      <c r="O376" s="731"/>
      <c r="P376" s="731"/>
      <c r="Q376" s="731"/>
      <c r="R376" s="731"/>
      <c r="S376" s="731"/>
      <c r="T376" s="731"/>
      <c r="U376" s="731"/>
      <c r="V376" s="731"/>
      <c r="W376" s="731"/>
      <c r="X376" s="731"/>
      <c r="Y376" s="732"/>
      <c r="Z376" s="727">
        <f ca="1">IFERROR(IF(OR(IFERROR(B376,0)=0,B376=""),0,1),0)</f>
        <v>0</v>
      </c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729"/>
      <c r="BL376" s="729"/>
      <c r="BM376" s="729"/>
      <c r="BN376" s="729"/>
      <c r="BO376" s="729"/>
      <c r="BP376" s="729"/>
      <c r="BQ376" s="19">
        <f t="shared" ca="1" si="12"/>
        <v>0</v>
      </c>
    </row>
    <row r="377" spans="1:74" hidden="1">
      <c r="A377" s="542">
        <f ca="1">SUBTOTAL(9,$BQ$9:BQ377)</f>
        <v>160</v>
      </c>
      <c r="B377" s="543" t="str">
        <f ca="1">IF(IFERROR(SEARCH(";",VLOOKUP(BS374,'АКТЫ скрытых работ'!A:O,11,FALSE),SUM(LEN(B375),LEN(B376))+4),0)&lt;&gt;0,MID(VLOOKUP(BS374,'АКТЫ скрытых работ'!A:O,11,FALSE),SUM(LEN(B375),LEN(B376))+5,SEARCH(";",VLOOKUP(BS374,'АКТЫ скрытых работ'!A:O,11,FALSE),SUM(LEN(B375),LEN(B376))+4)-SUM(LEN(B375),LEN(B376))-5),MID(VLOOKUP(BS374,'АКТЫ скрытых работ'!A:O,11,FALSE),SUM(LEN(B375),LEN(B376))+5,LEN(VLOOKUP(BS374,'АКТЫ скрытых работ'!A:O,11,FALSE))))</f>
        <v/>
      </c>
      <c r="C377" s="730" t="e">
        <f ca="1">IF(B377="Контрольно-исполнительная съемка","б/н",MID(B377,SEARCH("№",B377,1),SEARCH(" ",B377,SEARCH("№",B377,1))-SEARCH("№",B377,1)))</f>
        <v>#VALUE!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31"/>
      <c r="V377" s="731"/>
      <c r="W377" s="731"/>
      <c r="X377" s="731"/>
      <c r="Y377" s="732"/>
      <c r="Z377" s="727">
        <f ca="1">IFERROR(IF(OR(IFERROR(B377,0)=0,B377=""),0,1),0)</f>
        <v>0</v>
      </c>
      <c r="AA377" s="727"/>
      <c r="AB377" s="727"/>
      <c r="AC377" s="727"/>
      <c r="AD377" s="727"/>
      <c r="AE377" s="727"/>
      <c r="AF377" s="727"/>
      <c r="AG377" s="727"/>
      <c r="AH377" s="727"/>
      <c r="AI377" s="727"/>
      <c r="AJ377" s="727"/>
      <c r="AK377" s="727"/>
      <c r="AL377" s="727"/>
      <c r="AM377" s="727"/>
      <c r="AN377" s="727"/>
      <c r="AO377" s="727"/>
      <c r="AP377" s="727"/>
      <c r="AQ377" s="729"/>
      <c r="AR377" s="729"/>
      <c r="AS377" s="729"/>
      <c r="AT377" s="729"/>
      <c r="AU377" s="729"/>
      <c r="AV377" s="729"/>
      <c r="AW377" s="729"/>
      <c r="AX377" s="729"/>
      <c r="AY377" s="729"/>
      <c r="AZ377" s="729"/>
      <c r="BA377" s="729"/>
      <c r="BB377" s="729"/>
      <c r="BC377" s="729"/>
      <c r="BD377" s="729"/>
      <c r="BE377" s="729"/>
      <c r="BF377" s="729"/>
      <c r="BG377" s="729"/>
      <c r="BH377" s="729"/>
      <c r="BI377" s="729"/>
      <c r="BJ377" s="729"/>
      <c r="BK377" s="729"/>
      <c r="BL377" s="729"/>
      <c r="BM377" s="729"/>
      <c r="BN377" s="729"/>
      <c r="BO377" s="729"/>
      <c r="BP377" s="729"/>
      <c r="BQ377" s="19">
        <f t="shared" ca="1" si="12"/>
        <v>0</v>
      </c>
      <c r="BV377" s="19" t="str">
        <f>MID(BV361,1,LEN(BV361))</f>
        <v/>
      </c>
    </row>
    <row r="378" spans="1:74" hidden="1">
      <c r="A378" s="542">
        <f ca="1">SUBTOTAL(9,$BQ$9:BQ378)</f>
        <v>160</v>
      </c>
      <c r="B378" s="543" t="str">
        <f ca="1">IF(IFERROR(SEARCH(";",VLOOKUP(BS374,'АКТЫ скрытых работ'!A:O,11,FALSE),SUM(LEN(B375),LEN(B376),LEN(B377))+8),0)&lt;&gt;0,MID(VLOOKUP(BS374,'АКТЫ скрытых работ'!A:O,11,FALSE),SUM(LEN(B375),LEN(B376),LEN(B377))+4,SEARCH(";",VLOOKUP(BS374,'АКТЫ скрытых работ'!A:O,11,FALSE),SUM(LEN(B375),LEN(B376),LEN(B377))+4)-SUM(LEN(B375),LEN(B376),LEN(B377))-6),MID(VLOOKUP(BS374,'АКТЫ скрытых работ'!A:O,11,FALSE),SUM(LEN(B375),LEN(B376),LEN(B377))+7,LEN(VLOOKUP(BS374,'АКТЫ скрытых работ'!A:O,11,FALSE))))</f>
        <v/>
      </c>
      <c r="C378" s="730" t="e">
        <f ca="1">IF(B378="Контрольно-исполнительная съемка","б/н",MID(B378,SEARCH("№",B378,1),SEARCH(" ",B378,SEARCH("№",B378,1))-SEARCH("№",B378,1)))</f>
        <v>#VALUE!</v>
      </c>
      <c r="D378" s="731"/>
      <c r="E378" s="731"/>
      <c r="F378" s="731"/>
      <c r="G378" s="731"/>
      <c r="H378" s="731"/>
      <c r="I378" s="731"/>
      <c r="J378" s="731"/>
      <c r="K378" s="731"/>
      <c r="L378" s="731"/>
      <c r="M378" s="731"/>
      <c r="N378" s="731"/>
      <c r="O378" s="731"/>
      <c r="P378" s="731"/>
      <c r="Q378" s="731"/>
      <c r="R378" s="731"/>
      <c r="S378" s="731"/>
      <c r="T378" s="731"/>
      <c r="U378" s="731"/>
      <c r="V378" s="731"/>
      <c r="W378" s="731"/>
      <c r="X378" s="731"/>
      <c r="Y378" s="732"/>
      <c r="Z378" s="727">
        <f ca="1">IFERROR(IF(OR(IFERROR(B378,0)=0,B378=""),0,1),0)</f>
        <v>0</v>
      </c>
      <c r="AA378" s="727"/>
      <c r="AB378" s="727"/>
      <c r="AC378" s="727"/>
      <c r="AD378" s="727"/>
      <c r="AE378" s="727"/>
      <c r="AF378" s="727"/>
      <c r="AG378" s="727"/>
      <c r="AH378" s="727"/>
      <c r="AI378" s="727"/>
      <c r="AJ378" s="727"/>
      <c r="AK378" s="727"/>
      <c r="AL378" s="727"/>
      <c r="AM378" s="727"/>
      <c r="AN378" s="727"/>
      <c r="AO378" s="727"/>
      <c r="AP378" s="727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9"/>
      <c r="BL378" s="729"/>
      <c r="BM378" s="729"/>
      <c r="BN378" s="729"/>
      <c r="BO378" s="729"/>
      <c r="BP378" s="729"/>
      <c r="BQ378" s="19">
        <f t="shared" ca="1" si="12"/>
        <v>0</v>
      </c>
    </row>
    <row r="379" spans="1:74" ht="156">
      <c r="A379" s="542">
        <f ca="1">SUBTOTAL(9,$BQ$9:BQ379)</f>
        <v>161</v>
      </c>
      <c r="B379" s="543" t="str">
        <f ca="1">VLOOKUP(BS374,'АКТЫ скрытых работ'!A:O,14,FALSE)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79" s="727" t="str">
        <f ca="1">IF(B379&lt;&gt;"-","б/н","")</f>
        <v>б/н</v>
      </c>
      <c r="D379" s="727"/>
      <c r="E379" s="727"/>
      <c r="F379" s="727"/>
      <c r="G379" s="727"/>
      <c r="H379" s="727"/>
      <c r="I379" s="727"/>
      <c r="J379" s="727"/>
      <c r="K379" s="727"/>
      <c r="L379" s="727"/>
      <c r="M379" s="727"/>
      <c r="N379" s="727"/>
      <c r="O379" s="727"/>
      <c r="P379" s="727"/>
      <c r="Q379" s="727"/>
      <c r="R379" s="727"/>
      <c r="S379" s="727"/>
      <c r="T379" s="727"/>
      <c r="U379" s="727"/>
      <c r="V379" s="727"/>
      <c r="W379" s="727"/>
      <c r="X379" s="727"/>
      <c r="Y379" s="727"/>
      <c r="Z379" s="727" t="str">
        <f ca="1">IFERROR(IF(OR(IFERROR(B379,0)=0,B379="-"),0,"1 компл"),0)</f>
        <v>1 компл</v>
      </c>
      <c r="AA379" s="727"/>
      <c r="AB379" s="727"/>
      <c r="AC379" s="727"/>
      <c r="AD379" s="727"/>
      <c r="AE379" s="727"/>
      <c r="AF379" s="727"/>
      <c r="AG379" s="727"/>
      <c r="AH379" s="727"/>
      <c r="AI379" s="727"/>
      <c r="AJ379" s="727"/>
      <c r="AK379" s="727"/>
      <c r="AL379" s="727"/>
      <c r="AM379" s="727"/>
      <c r="AN379" s="727"/>
      <c r="AO379" s="727"/>
      <c r="AP379" s="727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729"/>
      <c r="BL379" s="729"/>
      <c r="BM379" s="729"/>
      <c r="BN379" s="729"/>
      <c r="BO379" s="729"/>
      <c r="BP379" s="729"/>
      <c r="BQ379" s="19">
        <f t="shared" ca="1" si="12"/>
        <v>1</v>
      </c>
    </row>
    <row r="380" spans="1:74" ht="26">
      <c r="A380" s="542">
        <f ca="1">SUBTOTAL(9,$BQ$9:BQ380)</f>
        <v>162</v>
      </c>
      <c r="B380" s="543" t="str">
        <f ca="1">IF(BS380&lt;&gt;"",IF(MID(BS380,1,4)="АОСР",CONCATENATE("Акт освидетельствования скрытых работ '",VLOOKUP(BS380,'АКТЫ скрытых работ'!A:O,3,FALSE),"'"),CONCATENATE("Акт освидетельствования ответственных конструкций '",VLOOKUP(BS380,'АКТЫ скрытых работ'!A:O,3,FALSE),"'")),0)</f>
        <v>Акт освидетельствования скрытых работ 'Устройство ГНБ №3 перехода'</v>
      </c>
      <c r="C380" s="727" t="str">
        <f ca="1">CONCATENATE("№",VLOOKUP(BS380,'АКТЫ скрытых работ'!A:O,2,FALSE))</f>
        <v>№3-КЛ0,4</v>
      </c>
      <c r="D380" s="727"/>
      <c r="E380" s="727"/>
      <c r="F380" s="727"/>
      <c r="G380" s="727"/>
      <c r="H380" s="727"/>
      <c r="I380" s="727"/>
      <c r="J380" s="727"/>
      <c r="K380" s="727"/>
      <c r="L380" s="727"/>
      <c r="M380" s="727"/>
      <c r="N380" s="727"/>
      <c r="O380" s="727"/>
      <c r="P380" s="727"/>
      <c r="Q380" s="727"/>
      <c r="R380" s="727"/>
      <c r="S380" s="727"/>
      <c r="T380" s="727"/>
      <c r="U380" s="727"/>
      <c r="V380" s="727"/>
      <c r="W380" s="727"/>
      <c r="X380" s="727"/>
      <c r="Y380" s="727"/>
      <c r="Z380" s="727">
        <f ca="1">IF(BS380="АООК_",0,1)</f>
        <v>1</v>
      </c>
      <c r="AA380" s="727"/>
      <c r="AB380" s="727"/>
      <c r="AC380" s="727"/>
      <c r="AD380" s="727"/>
      <c r="AE380" s="727"/>
      <c r="AF380" s="727"/>
      <c r="AG380" s="727"/>
      <c r="AH380" s="727"/>
      <c r="AI380" s="727"/>
      <c r="AJ380" s="727"/>
      <c r="AK380" s="727"/>
      <c r="AL380" s="727"/>
      <c r="AM380" s="727"/>
      <c r="AN380" s="727"/>
      <c r="AO380" s="727"/>
      <c r="AP380" s="727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729"/>
      <c r="BL380" s="729"/>
      <c r="BM380" s="729"/>
      <c r="BN380" s="729"/>
      <c r="BO380" s="729"/>
      <c r="BP380" s="729"/>
      <c r="BQ380" s="19">
        <f t="shared" ca="1" si="12"/>
        <v>1</v>
      </c>
      <c r="BS380" s="569" t="str">
        <f ca="1">IF(INDIRECT("'АКТЫ скрытых работ'!R"&amp;BU380&amp;"C1",0)=CONCATENATE("АОСР_",BT380),CONCATENATE("АОСР_",BT380),CONCATENATE("АООК_",BT380))</f>
        <v>АОСР_51</v>
      </c>
      <c r="BT380" s="569">
        <v>51</v>
      </c>
      <c r="BU380" s="570">
        <f>BT380+1</f>
        <v>52</v>
      </c>
    </row>
    <row r="381" spans="1:74" ht="26">
      <c r="A381" s="542">
        <f ca="1">SUBTOTAL(9,$BQ$9:BQ381)</f>
        <v>163</v>
      </c>
      <c r="B381" s="545" t="str">
        <f ca="1">IF(IFERROR(SEARCH("; ",VLOOKUP(BS380,'АКТЫ скрытых работ'!A:O,11,FALSE),1),0)=0,VLOOKUP(BS380,'АКТЫ скрытых работ'!A:O,11,FALSE),LEFT(VLOOKUP(BS380,'АКТЫ скрытых работ'!A:O,11,FALSE),SEARCH(";",VLOOKUP(BS380,'АКТЫ скрытых работ'!A:O,11,FALSE))-1))</f>
        <v xml:space="preserve">Исполнительная схема закрытого перехода методом ГНБ №1 </v>
      </c>
      <c r="C381" s="730" t="str">
        <f ca="1">IF(B381="Контрольно-исполнительная съемка","б/н",MID(B381,SEARCH("№",B381,1),SEARCH(" ",B381,SEARCH("№",B381,1))-SEARCH("№",B381,1)))</f>
        <v>№1</v>
      </c>
      <c r="D381" s="731"/>
      <c r="E381" s="731"/>
      <c r="F381" s="731"/>
      <c r="G381" s="731"/>
      <c r="H381" s="731"/>
      <c r="I381" s="731"/>
      <c r="J381" s="731"/>
      <c r="K381" s="731"/>
      <c r="L381" s="731"/>
      <c r="M381" s="731"/>
      <c r="N381" s="731"/>
      <c r="O381" s="731"/>
      <c r="P381" s="731"/>
      <c r="Q381" s="731"/>
      <c r="R381" s="731"/>
      <c r="S381" s="731"/>
      <c r="T381" s="731"/>
      <c r="U381" s="731"/>
      <c r="V381" s="731"/>
      <c r="W381" s="731"/>
      <c r="X381" s="731"/>
      <c r="Y381" s="732"/>
      <c r="Z381" s="727">
        <f ca="1">IFERROR(IF(OR(IFERROR(B381,0)=0,B381="-"),0,1),0)</f>
        <v>1</v>
      </c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19">
        <f t="shared" ca="1" si="12"/>
        <v>1</v>
      </c>
    </row>
    <row r="382" spans="1:74" hidden="1">
      <c r="A382" s="542">
        <f ca="1">SUBTOTAL(9,$BQ$9:BQ382)</f>
        <v>163</v>
      </c>
      <c r="B382" s="543" t="str">
        <f ca="1">IF(IFERROR(SEARCH(";",VLOOKUP(BS380,'АКТЫ скрытых работ'!A:O,11,FALSE),LEN(B381)+2),0)&lt;&gt;0,MID(VLOOKUP(BS380,'АКТЫ скрытых работ'!A:O,11,FALSE),LEN(B381)+3,SEARCH(";",VLOOKUP(BS380,'АКТЫ скрытых работ'!A:O,11,FALSE),LEN(B381)+3)-LEN(B381)-3),MID(VLOOKUP(BS380,'АКТЫ скрытых работ'!A:O,11,FALSE),LEN(B381)+3,LEN(VLOOKUP(BS380,'АКТЫ скрытых работ'!A:O,11,FALSE))))</f>
        <v/>
      </c>
      <c r="C382" s="730" t="e">
        <f ca="1">IF(B382="Контрольно-исполнительная съемка","б/н",MID(B382,SEARCH("№",B382,1),SEARCH(" ",B382,SEARCH("№",B382,1))-SEARCH("№",B382,1)))</f>
        <v>#VALUE!</v>
      </c>
      <c r="D382" s="731"/>
      <c r="E382" s="731"/>
      <c r="F382" s="731"/>
      <c r="G382" s="731"/>
      <c r="H382" s="731"/>
      <c r="I382" s="731"/>
      <c r="J382" s="731"/>
      <c r="K382" s="731"/>
      <c r="L382" s="731"/>
      <c r="M382" s="731"/>
      <c r="N382" s="731"/>
      <c r="O382" s="731"/>
      <c r="P382" s="731"/>
      <c r="Q382" s="731"/>
      <c r="R382" s="731"/>
      <c r="S382" s="731"/>
      <c r="T382" s="731"/>
      <c r="U382" s="731"/>
      <c r="V382" s="731"/>
      <c r="W382" s="731"/>
      <c r="X382" s="731"/>
      <c r="Y382" s="732"/>
      <c r="Z382" s="727">
        <f ca="1">IFERROR(IF(OR(IFERROR(B382,0)=0,B382=""),0,1),0)</f>
        <v>0</v>
      </c>
      <c r="AA382" s="727"/>
      <c r="AB382" s="727"/>
      <c r="AC382" s="727"/>
      <c r="AD382" s="727"/>
      <c r="AE382" s="727"/>
      <c r="AF382" s="727"/>
      <c r="AG382" s="727"/>
      <c r="AH382" s="727"/>
      <c r="AI382" s="727"/>
      <c r="AJ382" s="727"/>
      <c r="AK382" s="727"/>
      <c r="AL382" s="727"/>
      <c r="AM382" s="727"/>
      <c r="AN382" s="727"/>
      <c r="AO382" s="727"/>
      <c r="AP382" s="727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9"/>
      <c r="BL382" s="729"/>
      <c r="BM382" s="729"/>
      <c r="BN382" s="729"/>
      <c r="BO382" s="729"/>
      <c r="BP382" s="729"/>
      <c r="BQ382" s="19">
        <f t="shared" ca="1" si="12"/>
        <v>0</v>
      </c>
    </row>
    <row r="383" spans="1:74" hidden="1">
      <c r="A383" s="542">
        <f ca="1">SUBTOTAL(9,$BQ$9:BQ383)</f>
        <v>163</v>
      </c>
      <c r="B383" s="543" t="str">
        <f ca="1">IF(IFERROR(SEARCH(";",VLOOKUP(BS380,'АКТЫ скрытых работ'!A:O,11,FALSE),SUM(LEN(B381),LEN(B382))+4),0)&lt;&gt;0,MID(VLOOKUP(BS380,'АКТЫ скрытых работ'!A:O,11,FALSE),SUM(LEN(B381),LEN(B382))+5,SEARCH(";",VLOOKUP(BS380,'АКТЫ скрытых работ'!A:O,11,FALSE),SUM(LEN(B381),LEN(B382))+4)-SUM(LEN(B381),LEN(B382))-5),MID(VLOOKUP(BS380,'АКТЫ скрытых работ'!A:O,11,FALSE),SUM(LEN(B381),LEN(B382))+5,LEN(VLOOKUP(BS380,'АКТЫ скрытых работ'!A:O,11,FALSE))))</f>
        <v/>
      </c>
      <c r="C383" s="730" t="e">
        <f ca="1">IF(B383="Контрольно-исполнительная съемка","б/н",MID(B383,SEARCH("№",B383,1),SEARCH(" ",B383,SEARCH("№",B383,1))-SEARCH("№",B383,1)))</f>
        <v>#VALUE!</v>
      </c>
      <c r="D383" s="731"/>
      <c r="E383" s="731"/>
      <c r="F383" s="731"/>
      <c r="G383" s="731"/>
      <c r="H383" s="731"/>
      <c r="I383" s="731"/>
      <c r="J383" s="731"/>
      <c r="K383" s="731"/>
      <c r="L383" s="731"/>
      <c r="M383" s="731"/>
      <c r="N383" s="731"/>
      <c r="O383" s="731"/>
      <c r="P383" s="731"/>
      <c r="Q383" s="731"/>
      <c r="R383" s="731"/>
      <c r="S383" s="731"/>
      <c r="T383" s="731"/>
      <c r="U383" s="731"/>
      <c r="V383" s="731"/>
      <c r="W383" s="731"/>
      <c r="X383" s="731"/>
      <c r="Y383" s="732"/>
      <c r="Z383" s="727">
        <f ca="1">IFERROR(IF(OR(IFERROR(B383,0)=0,B383=""),0,1),0)</f>
        <v>0</v>
      </c>
      <c r="AA383" s="727"/>
      <c r="AB383" s="727"/>
      <c r="AC383" s="727"/>
      <c r="AD383" s="727"/>
      <c r="AE383" s="727"/>
      <c r="AF383" s="727"/>
      <c r="AG383" s="727"/>
      <c r="AH383" s="727"/>
      <c r="AI383" s="727"/>
      <c r="AJ383" s="727"/>
      <c r="AK383" s="727"/>
      <c r="AL383" s="727"/>
      <c r="AM383" s="727"/>
      <c r="AN383" s="727"/>
      <c r="AO383" s="727"/>
      <c r="AP383" s="727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729"/>
      <c r="BL383" s="729"/>
      <c r="BM383" s="729"/>
      <c r="BN383" s="729"/>
      <c r="BO383" s="729"/>
      <c r="BP383" s="729"/>
      <c r="BQ383" s="19">
        <f t="shared" ref="BQ383:BQ418" ca="1" si="13">IF(Z383&gt;0,1,0)</f>
        <v>0</v>
      </c>
      <c r="BV383" s="19" t="str">
        <f>MID(BV367,1,LEN(BV367))</f>
        <v/>
      </c>
    </row>
    <row r="384" spans="1:74" hidden="1">
      <c r="A384" s="542">
        <f ca="1">SUBTOTAL(9,$BQ$9:BQ384)</f>
        <v>163</v>
      </c>
      <c r="B384" s="543" t="str">
        <f ca="1">IF(IFERROR(SEARCH(";",VLOOKUP(BS380,'АКТЫ скрытых работ'!A:O,11,FALSE),SUM(LEN(B381),LEN(B382),LEN(B383))+8),0)&lt;&gt;0,MID(VLOOKUP(BS380,'АКТЫ скрытых работ'!A:O,11,FALSE),SUM(LEN(B381),LEN(B382),LEN(B383))+4,SEARCH(";",VLOOKUP(BS380,'АКТЫ скрытых работ'!A:O,11,FALSE),SUM(LEN(B381),LEN(B382),LEN(B383))+4)-SUM(LEN(B381),LEN(B382),LEN(B383))-6),MID(VLOOKUP(BS380,'АКТЫ скрытых работ'!A:O,11,FALSE),SUM(LEN(B381),LEN(B382),LEN(B383))+7,LEN(VLOOKUP(BS380,'АКТЫ скрытых работ'!A:O,11,FALSE))))</f>
        <v/>
      </c>
      <c r="C384" s="730" t="e">
        <f ca="1">IF(B384="Контрольно-исполнительная съемка","б/н",MID(B384,SEARCH("№",B384,1),SEARCH(" ",B384,SEARCH("№",B384,1))-SEARCH("№",B384,1)))</f>
        <v>#VALUE!</v>
      </c>
      <c r="D384" s="731"/>
      <c r="E384" s="731"/>
      <c r="F384" s="731"/>
      <c r="G384" s="731"/>
      <c r="H384" s="731"/>
      <c r="I384" s="731"/>
      <c r="J384" s="731"/>
      <c r="K384" s="731"/>
      <c r="L384" s="731"/>
      <c r="M384" s="731"/>
      <c r="N384" s="731"/>
      <c r="O384" s="731"/>
      <c r="P384" s="731"/>
      <c r="Q384" s="731"/>
      <c r="R384" s="731"/>
      <c r="S384" s="731"/>
      <c r="T384" s="731"/>
      <c r="U384" s="731"/>
      <c r="V384" s="731"/>
      <c r="W384" s="731"/>
      <c r="X384" s="731"/>
      <c r="Y384" s="732"/>
      <c r="Z384" s="727">
        <f ca="1">IFERROR(IF(OR(IFERROR(B384,0)=0,B384=""),0,1),0)</f>
        <v>0</v>
      </c>
      <c r="AA384" s="727"/>
      <c r="AB384" s="727"/>
      <c r="AC384" s="727"/>
      <c r="AD384" s="727"/>
      <c r="AE384" s="727"/>
      <c r="AF384" s="727"/>
      <c r="AG384" s="727"/>
      <c r="AH384" s="727"/>
      <c r="AI384" s="727"/>
      <c r="AJ384" s="727"/>
      <c r="AK384" s="727"/>
      <c r="AL384" s="727"/>
      <c r="AM384" s="727"/>
      <c r="AN384" s="727"/>
      <c r="AO384" s="727"/>
      <c r="AP384" s="727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729"/>
      <c r="BL384" s="729"/>
      <c r="BM384" s="729"/>
      <c r="BN384" s="729"/>
      <c r="BO384" s="729"/>
      <c r="BP384" s="729"/>
      <c r="BQ384" s="19">
        <f t="shared" ca="1" si="13"/>
        <v>0</v>
      </c>
    </row>
    <row r="385" spans="1:74" ht="156">
      <c r="A385" s="542">
        <f ca="1">SUBTOTAL(9,$BQ$9:BQ385)</f>
        <v>164</v>
      </c>
      <c r="B385" s="543" t="str">
        <f ca="1">VLOOKUP(BS380,'АКТЫ скрытых работ'!A:O,14,FALSE)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85" s="727" t="str">
        <f ca="1">IF(B385&lt;&gt;"-","б/н","")</f>
        <v>б/н</v>
      </c>
      <c r="D385" s="727"/>
      <c r="E385" s="727"/>
      <c r="F385" s="727"/>
      <c r="G385" s="727"/>
      <c r="H385" s="727"/>
      <c r="I385" s="727"/>
      <c r="J385" s="727"/>
      <c r="K385" s="727"/>
      <c r="L385" s="727"/>
      <c r="M385" s="727"/>
      <c r="N385" s="727"/>
      <c r="O385" s="727"/>
      <c r="P385" s="727"/>
      <c r="Q385" s="727"/>
      <c r="R385" s="727"/>
      <c r="S385" s="727"/>
      <c r="T385" s="727"/>
      <c r="U385" s="727"/>
      <c r="V385" s="727"/>
      <c r="W385" s="727"/>
      <c r="X385" s="727"/>
      <c r="Y385" s="727"/>
      <c r="Z385" s="727" t="str">
        <f ca="1">IFERROR(IF(OR(IFERROR(B385,0)=0,B385="-"),0,"1 компл"),0)</f>
        <v>1 компл</v>
      </c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729"/>
      <c r="BL385" s="729"/>
      <c r="BM385" s="729"/>
      <c r="BN385" s="729"/>
      <c r="BO385" s="729"/>
      <c r="BP385" s="729"/>
      <c r="BQ385" s="19">
        <f t="shared" ca="1" si="13"/>
        <v>1</v>
      </c>
    </row>
    <row r="386" spans="1:74" ht="26">
      <c r="A386" s="542">
        <f ca="1">SUBTOTAL(9,$BQ$9:BQ386)</f>
        <v>165</v>
      </c>
      <c r="B386" s="543" t="str">
        <f ca="1">IF(BS386&lt;&gt;"",IF(MID(BS386,1,4)="АОСР",CONCATENATE("Акт освидетельствования скрытых работ '",VLOOKUP(BS386,'АКТЫ скрытых работ'!A:O,3,FALSE),"'"),CONCATENATE("Акт освидетельствования ответственных конструкций '",VLOOKUP(BS386,'АКТЫ скрытых работ'!A:O,3,FALSE),"'")),0)</f>
        <v>Акт освидетельствования скрытых работ 'Разработка грунта траншеи'</v>
      </c>
      <c r="C386" s="727" t="str">
        <f ca="1">CONCATENATE("№",VLOOKUP(BS386,'АКТЫ скрытых работ'!A:O,2,FALSE))</f>
        <v>№4-КЛ0,4</v>
      </c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7"/>
      <c r="P386" s="727"/>
      <c r="Q386" s="727"/>
      <c r="R386" s="727"/>
      <c r="S386" s="727"/>
      <c r="T386" s="727"/>
      <c r="U386" s="727"/>
      <c r="V386" s="727"/>
      <c r="W386" s="727"/>
      <c r="X386" s="727"/>
      <c r="Y386" s="727"/>
      <c r="Z386" s="727">
        <f ca="1">IF(BS386="АООК_",0,1)</f>
        <v>1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9"/>
      <c r="BL386" s="729"/>
      <c r="BM386" s="729"/>
      <c r="BN386" s="729"/>
      <c r="BO386" s="729"/>
      <c r="BP386" s="729"/>
      <c r="BQ386" s="19">
        <f t="shared" ca="1" si="13"/>
        <v>1</v>
      </c>
      <c r="BS386" s="569" t="str">
        <f ca="1">IF(INDIRECT("'АКТЫ скрытых работ'!R"&amp;BU386&amp;"C1",0)=CONCATENATE("АОСР_",BT386),CONCATENATE("АОСР_",BT386),CONCATENATE("АООК_",BT386))</f>
        <v>АОСР_52</v>
      </c>
      <c r="BT386" s="569">
        <v>52</v>
      </c>
      <c r="BU386" s="570">
        <f>BT386+1</f>
        <v>53</v>
      </c>
    </row>
    <row r="387" spans="1:74" ht="26">
      <c r="A387" s="542">
        <f ca="1">SUBTOTAL(9,$BQ$9:BQ387)</f>
        <v>166</v>
      </c>
      <c r="B387" s="545" t="str">
        <f ca="1">IF(IFERROR(SEARCH("; ",VLOOKUP(BS386,'АКТЫ скрытых работ'!A:O,11,FALSE),1),0)=0,VLOOKUP(BS386,'АКТЫ скрытых работ'!A:O,11,FALSE),LEFT(VLOOKUP(BS386,'АКТЫ скрытых работ'!A:O,11,FALSE),SEARCH(";",VLOOKUP(BS386,'АКТЫ скрытых работ'!A:O,11,FALSE))-1))</f>
        <v>Исполнительная схема №1.3 Разработка грунта траншеи под монтаж КЛ-0,4кВ</v>
      </c>
      <c r="C387" s="730" t="str">
        <f ca="1">IF(B387="Контрольно-исполнительная съемка","б/н",MID(B387,SEARCH("№",B387,1),SEARCH(" ",B387,SEARCH("№",B387,1))-SEARCH("№",B387,1)))</f>
        <v>№1.3</v>
      </c>
      <c r="D387" s="731"/>
      <c r="E387" s="731"/>
      <c r="F387" s="731"/>
      <c r="G387" s="731"/>
      <c r="H387" s="731"/>
      <c r="I387" s="731"/>
      <c r="J387" s="731"/>
      <c r="K387" s="731"/>
      <c r="L387" s="731"/>
      <c r="M387" s="731"/>
      <c r="N387" s="731"/>
      <c r="O387" s="731"/>
      <c r="P387" s="731"/>
      <c r="Q387" s="731"/>
      <c r="R387" s="731"/>
      <c r="S387" s="731"/>
      <c r="T387" s="731"/>
      <c r="U387" s="731"/>
      <c r="V387" s="731"/>
      <c r="W387" s="731"/>
      <c r="X387" s="731"/>
      <c r="Y387" s="732"/>
      <c r="Z387" s="727">
        <f ca="1">IFERROR(IF(OR(IFERROR(B387,0)=0,B387="-"),0,1),0)</f>
        <v>1</v>
      </c>
      <c r="AA387" s="727"/>
      <c r="AB387" s="727"/>
      <c r="AC387" s="727"/>
      <c r="AD387" s="727"/>
      <c r="AE387" s="727"/>
      <c r="AF387" s="727"/>
      <c r="AG387" s="727"/>
      <c r="AH387" s="727"/>
      <c r="AI387" s="727"/>
      <c r="AJ387" s="727"/>
      <c r="AK387" s="727"/>
      <c r="AL387" s="727"/>
      <c r="AM387" s="727"/>
      <c r="AN387" s="727"/>
      <c r="AO387" s="727"/>
      <c r="AP387" s="727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729"/>
      <c r="BL387" s="729"/>
      <c r="BM387" s="729"/>
      <c r="BN387" s="729"/>
      <c r="BO387" s="729"/>
      <c r="BP387" s="729"/>
      <c r="BQ387" s="19">
        <f t="shared" ca="1" si="13"/>
        <v>1</v>
      </c>
    </row>
    <row r="388" spans="1:74" hidden="1">
      <c r="A388" s="542">
        <f ca="1">SUBTOTAL(9,$BQ$9:BQ388)</f>
        <v>166</v>
      </c>
      <c r="B388" s="543" t="str">
        <f ca="1">IF(IFERROR(SEARCH(";",VLOOKUP(BS386,'АКТЫ скрытых работ'!A:O,11,FALSE),LEN(B387)+2),0)&lt;&gt;0,MID(VLOOKUP(BS386,'АКТЫ скрытых работ'!A:O,11,FALSE),LEN(B387)+3,SEARCH(";",VLOOKUP(BS386,'АКТЫ скрытых работ'!A:O,11,FALSE),LEN(B387)+3)-LEN(B387)-3),MID(VLOOKUP(BS386,'АКТЫ скрытых работ'!A:O,11,FALSE),LEN(B387)+3,LEN(VLOOKUP(BS386,'АКТЫ скрытых работ'!A:O,11,FALSE))))</f>
        <v/>
      </c>
      <c r="C388" s="730" t="e">
        <f ca="1">IF(B388="Контрольно-исполнительная съемка","б/н",MID(B388,SEARCH("№",B388,1),SEARCH(" ",B388,SEARCH("№",B388,1))-SEARCH("№",B388,1)))</f>
        <v>#VALUE!</v>
      </c>
      <c r="D388" s="731"/>
      <c r="E388" s="731"/>
      <c r="F388" s="731"/>
      <c r="G388" s="731"/>
      <c r="H388" s="731"/>
      <c r="I388" s="731"/>
      <c r="J388" s="731"/>
      <c r="K388" s="731"/>
      <c r="L388" s="731"/>
      <c r="M388" s="731"/>
      <c r="N388" s="731"/>
      <c r="O388" s="731"/>
      <c r="P388" s="731"/>
      <c r="Q388" s="731"/>
      <c r="R388" s="731"/>
      <c r="S388" s="731"/>
      <c r="T388" s="731"/>
      <c r="U388" s="731"/>
      <c r="V388" s="731"/>
      <c r="W388" s="731"/>
      <c r="X388" s="731"/>
      <c r="Y388" s="732"/>
      <c r="Z388" s="727">
        <f ca="1">IFERROR(IF(OR(IFERROR(B388,0)=0,B388=""),0,1),0)</f>
        <v>0</v>
      </c>
      <c r="AA388" s="727"/>
      <c r="AB388" s="727"/>
      <c r="AC388" s="727"/>
      <c r="AD388" s="727"/>
      <c r="AE388" s="727"/>
      <c r="AF388" s="727"/>
      <c r="AG388" s="727"/>
      <c r="AH388" s="727"/>
      <c r="AI388" s="727"/>
      <c r="AJ388" s="727"/>
      <c r="AK388" s="727"/>
      <c r="AL388" s="727"/>
      <c r="AM388" s="727"/>
      <c r="AN388" s="727"/>
      <c r="AO388" s="727"/>
      <c r="AP388" s="727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729"/>
      <c r="BL388" s="729"/>
      <c r="BM388" s="729"/>
      <c r="BN388" s="729"/>
      <c r="BO388" s="729"/>
      <c r="BP388" s="729"/>
      <c r="BQ388" s="19">
        <f t="shared" ca="1" si="13"/>
        <v>0</v>
      </c>
    </row>
    <row r="389" spans="1:74" hidden="1">
      <c r="A389" s="542">
        <f ca="1">SUBTOTAL(9,$BQ$9:BQ389)</f>
        <v>166</v>
      </c>
      <c r="B389" s="543" t="str">
        <f ca="1">IF(IFERROR(SEARCH(";",VLOOKUP(BS386,'АКТЫ скрытых работ'!A:O,11,FALSE),SUM(LEN(B387),LEN(B388))+4),0)&lt;&gt;0,MID(VLOOKUP(BS386,'АКТЫ скрытых работ'!A:O,11,FALSE),SUM(LEN(B387),LEN(B388))+5,SEARCH(";",VLOOKUP(BS386,'АКТЫ скрытых работ'!A:O,11,FALSE),SUM(LEN(B387),LEN(B388))+4)-SUM(LEN(B387),LEN(B388))-5),MID(VLOOKUP(BS386,'АКТЫ скрытых работ'!A:O,11,FALSE),SUM(LEN(B387),LEN(B388))+5,LEN(VLOOKUP(BS386,'АКТЫ скрытых работ'!A:O,11,FALSE))))</f>
        <v/>
      </c>
      <c r="C389" s="730" t="e">
        <f ca="1">IF(B389="Контрольно-исполнительная съемка","б/н",MID(B389,SEARCH("№",B389,1),SEARCH(" ",B389,SEARCH("№",B389,1))-SEARCH("№",B389,1)))</f>
        <v>#VALUE!</v>
      </c>
      <c r="D389" s="731"/>
      <c r="E389" s="731"/>
      <c r="F389" s="731"/>
      <c r="G389" s="731"/>
      <c r="H389" s="731"/>
      <c r="I389" s="731"/>
      <c r="J389" s="731"/>
      <c r="K389" s="731"/>
      <c r="L389" s="731"/>
      <c r="M389" s="731"/>
      <c r="N389" s="731"/>
      <c r="O389" s="731"/>
      <c r="P389" s="731"/>
      <c r="Q389" s="731"/>
      <c r="R389" s="731"/>
      <c r="S389" s="731"/>
      <c r="T389" s="731"/>
      <c r="U389" s="731"/>
      <c r="V389" s="731"/>
      <c r="W389" s="731"/>
      <c r="X389" s="731"/>
      <c r="Y389" s="732"/>
      <c r="Z389" s="727">
        <f ca="1">IFERROR(IF(OR(IFERROR(B389,0)=0,B389=""),0,1),0)</f>
        <v>0</v>
      </c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729"/>
      <c r="BL389" s="729"/>
      <c r="BM389" s="729"/>
      <c r="BN389" s="729"/>
      <c r="BO389" s="729"/>
      <c r="BP389" s="729"/>
      <c r="BQ389" s="19">
        <f t="shared" ca="1" si="13"/>
        <v>0</v>
      </c>
      <c r="BV389" s="19" t="str">
        <f>MID(BV373,1,LEN(BV373))</f>
        <v/>
      </c>
    </row>
    <row r="390" spans="1:74" hidden="1">
      <c r="A390" s="542">
        <f ca="1">SUBTOTAL(9,$BQ$9:BQ390)</f>
        <v>166</v>
      </c>
      <c r="B390" s="543" t="str">
        <f ca="1">IF(IFERROR(SEARCH(";",VLOOKUP(BS386,'АКТЫ скрытых работ'!A:O,11,FALSE),SUM(LEN(B387),LEN(B388),LEN(B389))+8),0)&lt;&gt;0,MID(VLOOKUP(BS386,'АКТЫ скрытых работ'!A:O,11,FALSE),SUM(LEN(B387),LEN(B388),LEN(B389))+4,SEARCH(";",VLOOKUP(BS386,'АКТЫ скрытых работ'!A:O,11,FALSE),SUM(LEN(B387),LEN(B388),LEN(B389))+4)-SUM(LEN(B387),LEN(B388),LEN(B389))-6),MID(VLOOKUP(BS386,'АКТЫ скрытых работ'!A:O,11,FALSE),SUM(LEN(B387),LEN(B388),LEN(B389))+7,LEN(VLOOKUP(BS386,'АКТЫ скрытых работ'!A:O,11,FALSE))))</f>
        <v/>
      </c>
      <c r="C390" s="730" t="e">
        <f ca="1">IF(B390="Контрольно-исполнительная съемка","б/н",MID(B390,SEARCH("№",B390,1),SEARCH(" ",B390,SEARCH("№",B390,1))-SEARCH("№",B390,1)))</f>
        <v>#VALUE!</v>
      </c>
      <c r="D390" s="731"/>
      <c r="E390" s="731"/>
      <c r="F390" s="731"/>
      <c r="G390" s="731"/>
      <c r="H390" s="731"/>
      <c r="I390" s="731"/>
      <c r="J390" s="731"/>
      <c r="K390" s="731"/>
      <c r="L390" s="731"/>
      <c r="M390" s="731"/>
      <c r="N390" s="731"/>
      <c r="O390" s="731"/>
      <c r="P390" s="731"/>
      <c r="Q390" s="731"/>
      <c r="R390" s="731"/>
      <c r="S390" s="731"/>
      <c r="T390" s="731"/>
      <c r="U390" s="731"/>
      <c r="V390" s="731"/>
      <c r="W390" s="731"/>
      <c r="X390" s="731"/>
      <c r="Y390" s="732"/>
      <c r="Z390" s="727">
        <f ca="1">IFERROR(IF(OR(IFERROR(B390,0)=0,B390=""),0,1),0)</f>
        <v>0</v>
      </c>
      <c r="AA390" s="727"/>
      <c r="AB390" s="727"/>
      <c r="AC390" s="727"/>
      <c r="AD390" s="727"/>
      <c r="AE390" s="727"/>
      <c r="AF390" s="727"/>
      <c r="AG390" s="727"/>
      <c r="AH390" s="727"/>
      <c r="AI390" s="727"/>
      <c r="AJ390" s="727"/>
      <c r="AK390" s="727"/>
      <c r="AL390" s="727"/>
      <c r="AM390" s="727"/>
      <c r="AN390" s="727"/>
      <c r="AO390" s="727"/>
      <c r="AP390" s="727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/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9"/>
      <c r="BL390" s="729"/>
      <c r="BM390" s="729"/>
      <c r="BN390" s="729"/>
      <c r="BO390" s="729"/>
      <c r="BP390" s="729"/>
      <c r="BQ390" s="19">
        <f t="shared" ca="1" si="13"/>
        <v>0</v>
      </c>
    </row>
    <row r="391" spans="1:74" hidden="1">
      <c r="A391" s="542">
        <f ca="1">SUBTOTAL(9,$BQ$9:BQ391)</f>
        <v>166</v>
      </c>
      <c r="B391" s="543" t="str">
        <f ca="1">VLOOKUP(BS386,'АКТЫ скрытых работ'!A:O,14,FALSE)</f>
        <v>-</v>
      </c>
      <c r="C391" s="727" t="str">
        <f ca="1">IF(B391&lt;&gt;"-","б/н","")</f>
        <v/>
      </c>
      <c r="D391" s="727"/>
      <c r="E391" s="727"/>
      <c r="F391" s="727"/>
      <c r="G391" s="727"/>
      <c r="H391" s="727"/>
      <c r="I391" s="727"/>
      <c r="J391" s="727"/>
      <c r="K391" s="727"/>
      <c r="L391" s="727"/>
      <c r="M391" s="727"/>
      <c r="N391" s="727"/>
      <c r="O391" s="727"/>
      <c r="P391" s="727"/>
      <c r="Q391" s="727"/>
      <c r="R391" s="727"/>
      <c r="S391" s="727"/>
      <c r="T391" s="727"/>
      <c r="U391" s="727"/>
      <c r="V391" s="727"/>
      <c r="W391" s="727"/>
      <c r="X391" s="727"/>
      <c r="Y391" s="727"/>
      <c r="Z391" s="727">
        <f ca="1">IFERROR(IF(OR(IFERROR(B391,0)=0,B391="-"),0,"1 компл"),0)</f>
        <v>0</v>
      </c>
      <c r="AA391" s="727"/>
      <c r="AB391" s="727"/>
      <c r="AC391" s="727"/>
      <c r="AD391" s="727"/>
      <c r="AE391" s="727"/>
      <c r="AF391" s="727"/>
      <c r="AG391" s="727"/>
      <c r="AH391" s="727"/>
      <c r="AI391" s="727"/>
      <c r="AJ391" s="727"/>
      <c r="AK391" s="727"/>
      <c r="AL391" s="727"/>
      <c r="AM391" s="727"/>
      <c r="AN391" s="727"/>
      <c r="AO391" s="727"/>
      <c r="AP391" s="727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729"/>
      <c r="BL391" s="729"/>
      <c r="BM391" s="729"/>
      <c r="BN391" s="729"/>
      <c r="BO391" s="729"/>
      <c r="BP391" s="729"/>
      <c r="BQ391" s="19">
        <f t="shared" ca="1" si="13"/>
        <v>0</v>
      </c>
    </row>
    <row r="392" spans="1:74" ht="26">
      <c r="A392" s="542">
        <f ca="1">SUBTOTAL(9,$BQ$9:BQ392)</f>
        <v>167</v>
      </c>
      <c r="B392" s="543" t="str">
        <f ca="1">IF(BS392&lt;&gt;"",IF(MID(BS392,1,4)="АОСР",CONCATENATE("Акт освидетельствования скрытых работ '",VLOOKUP(BS392,'АКТЫ скрытых работ'!A:O,3,FALSE),"'"),CONCATENATE("Акт освидетельствования ответственных конструкций '",VLOOKUP(BS392,'АКТЫ скрытых работ'!A:O,3,FALSE),"'")),0)</f>
        <v>Акт освидетельствования скрытых работ 'Устройство песчанного основания'</v>
      </c>
      <c r="C392" s="727" t="str">
        <f ca="1">CONCATENATE("№",VLOOKUP(BS392,'АКТЫ скрытых работ'!A:O,2,FALSE))</f>
        <v>№5-КЛ0,4</v>
      </c>
      <c r="D392" s="727"/>
      <c r="E392" s="727"/>
      <c r="F392" s="727"/>
      <c r="G392" s="727"/>
      <c r="H392" s="727"/>
      <c r="I392" s="727"/>
      <c r="J392" s="727"/>
      <c r="K392" s="727"/>
      <c r="L392" s="727"/>
      <c r="M392" s="727"/>
      <c r="N392" s="727"/>
      <c r="O392" s="727"/>
      <c r="P392" s="727"/>
      <c r="Q392" s="727"/>
      <c r="R392" s="727"/>
      <c r="S392" s="727"/>
      <c r="T392" s="727"/>
      <c r="U392" s="727"/>
      <c r="V392" s="727"/>
      <c r="W392" s="727"/>
      <c r="X392" s="727"/>
      <c r="Y392" s="727"/>
      <c r="Z392" s="727">
        <f ca="1">IF(BS392="АООК_",0,1)</f>
        <v>1</v>
      </c>
      <c r="AA392" s="727"/>
      <c r="AB392" s="727"/>
      <c r="AC392" s="727"/>
      <c r="AD392" s="727"/>
      <c r="AE392" s="727"/>
      <c r="AF392" s="727"/>
      <c r="AG392" s="727"/>
      <c r="AH392" s="727"/>
      <c r="AI392" s="727"/>
      <c r="AJ392" s="727"/>
      <c r="AK392" s="727"/>
      <c r="AL392" s="727"/>
      <c r="AM392" s="727"/>
      <c r="AN392" s="727"/>
      <c r="AO392" s="727"/>
      <c r="AP392" s="727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729"/>
      <c r="BL392" s="729"/>
      <c r="BM392" s="729"/>
      <c r="BN392" s="729"/>
      <c r="BO392" s="729"/>
      <c r="BP392" s="729"/>
      <c r="BQ392" s="19">
        <f t="shared" ca="1" si="13"/>
        <v>1</v>
      </c>
      <c r="BS392" s="569" t="str">
        <f ca="1">IF(INDIRECT("'АКТЫ скрытых работ'!R"&amp;BU392&amp;"C1",0)=CONCATENATE("АОСР_",BT392),CONCATENATE("АОСР_",BT392),CONCATENATE("АООК_",BT392))</f>
        <v>АОСР_53</v>
      </c>
      <c r="BT392" s="569">
        <v>53</v>
      </c>
      <c r="BU392" s="570">
        <f>BT392+1</f>
        <v>54</v>
      </c>
    </row>
    <row r="393" spans="1:74" ht="26">
      <c r="A393" s="542">
        <f ca="1">SUBTOTAL(9,$BQ$9:BQ393)</f>
        <v>168</v>
      </c>
      <c r="B393" s="545" t="str">
        <f ca="1">IF(IFERROR(SEARCH("; ",VLOOKUP(BS392,'АКТЫ скрытых работ'!A:O,11,FALSE),1),0)=0,VLOOKUP(BS392,'АКТЫ скрытых работ'!A:O,11,FALSE),LEFT(VLOOKUP(BS392,'АКТЫ скрытых работ'!A:O,11,FALSE),SEARCH(";",VLOOKUP(BS392,'АКТЫ скрытых работ'!A:O,11,FALSE))-1))</f>
        <v>Исполнительная схема №1.4 Устройство песчаного основания траншеи</v>
      </c>
      <c r="C393" s="730" t="str">
        <f ca="1">IF(B393="Контрольно-исполнительная съемка","б/н",MID(B393,SEARCH("№",B393,1),SEARCH(" ",B393,SEARCH("№",B393,1))-SEARCH("№",B393,1)))</f>
        <v>№1.4</v>
      </c>
      <c r="D393" s="731"/>
      <c r="E393" s="731"/>
      <c r="F393" s="731"/>
      <c r="G393" s="731"/>
      <c r="H393" s="731"/>
      <c r="I393" s="731"/>
      <c r="J393" s="731"/>
      <c r="K393" s="731"/>
      <c r="L393" s="731"/>
      <c r="M393" s="731"/>
      <c r="N393" s="731"/>
      <c r="O393" s="731"/>
      <c r="P393" s="731"/>
      <c r="Q393" s="731"/>
      <c r="R393" s="731"/>
      <c r="S393" s="731"/>
      <c r="T393" s="731"/>
      <c r="U393" s="731"/>
      <c r="V393" s="731"/>
      <c r="W393" s="731"/>
      <c r="X393" s="731"/>
      <c r="Y393" s="732"/>
      <c r="Z393" s="727">
        <f ca="1">IFERROR(IF(OR(IFERROR(B393,0)=0,B393="-"),0,1),0)</f>
        <v>1</v>
      </c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729"/>
      <c r="BL393" s="729"/>
      <c r="BM393" s="729"/>
      <c r="BN393" s="729"/>
      <c r="BO393" s="729"/>
      <c r="BP393" s="729"/>
      <c r="BQ393" s="19">
        <f t="shared" ca="1" si="13"/>
        <v>1</v>
      </c>
    </row>
    <row r="394" spans="1:74" hidden="1">
      <c r="A394" s="542">
        <f ca="1">SUBTOTAL(9,$BQ$9:BQ394)</f>
        <v>168</v>
      </c>
      <c r="B394" s="543" t="str">
        <f ca="1">IF(IFERROR(SEARCH(";",VLOOKUP(BS392,'АКТЫ скрытых работ'!A:O,11,FALSE),LEN(B393)+2),0)&lt;&gt;0,MID(VLOOKUP(BS392,'АКТЫ скрытых работ'!A:O,11,FALSE),LEN(B393)+3,SEARCH(";",VLOOKUP(BS392,'АКТЫ скрытых работ'!A:O,11,FALSE),LEN(B393)+3)-LEN(B393)-3),MID(VLOOKUP(BS392,'АКТЫ скрытых работ'!A:O,11,FALSE),LEN(B393)+3,LEN(VLOOKUP(BS392,'АКТЫ скрытых работ'!A:O,11,FALSE))))</f>
        <v/>
      </c>
      <c r="C394" s="730" t="e">
        <f ca="1">IF(B394="Контрольно-исполнительная съемка","б/н",MID(B394,SEARCH("№",B394,1),SEARCH(" ",B394,SEARCH("№",B394,1))-SEARCH("№",B394,1)))</f>
        <v>#VALUE!</v>
      </c>
      <c r="D394" s="731"/>
      <c r="E394" s="731"/>
      <c r="F394" s="731"/>
      <c r="G394" s="731"/>
      <c r="H394" s="731"/>
      <c r="I394" s="731"/>
      <c r="J394" s="731"/>
      <c r="K394" s="731"/>
      <c r="L394" s="731"/>
      <c r="M394" s="731"/>
      <c r="N394" s="731"/>
      <c r="O394" s="731"/>
      <c r="P394" s="731"/>
      <c r="Q394" s="731"/>
      <c r="R394" s="731"/>
      <c r="S394" s="731"/>
      <c r="T394" s="731"/>
      <c r="U394" s="731"/>
      <c r="V394" s="731"/>
      <c r="W394" s="731"/>
      <c r="X394" s="731"/>
      <c r="Y394" s="732"/>
      <c r="Z394" s="727">
        <f ca="1">IFERROR(IF(OR(IFERROR(B394,0)=0,B394=""),0,1),0)</f>
        <v>0</v>
      </c>
      <c r="AA394" s="727"/>
      <c r="AB394" s="727"/>
      <c r="AC394" s="727"/>
      <c r="AD394" s="727"/>
      <c r="AE394" s="727"/>
      <c r="AF394" s="727"/>
      <c r="AG394" s="727"/>
      <c r="AH394" s="727"/>
      <c r="AI394" s="727"/>
      <c r="AJ394" s="727"/>
      <c r="AK394" s="727"/>
      <c r="AL394" s="727"/>
      <c r="AM394" s="727"/>
      <c r="AN394" s="727"/>
      <c r="AO394" s="727"/>
      <c r="AP394" s="727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9"/>
      <c r="BL394" s="729"/>
      <c r="BM394" s="729"/>
      <c r="BN394" s="729"/>
      <c r="BO394" s="729"/>
      <c r="BP394" s="729"/>
      <c r="BQ394" s="19">
        <f t="shared" ca="1" si="13"/>
        <v>0</v>
      </c>
    </row>
    <row r="395" spans="1:74" hidden="1">
      <c r="A395" s="542">
        <f ca="1">SUBTOTAL(9,$BQ$9:BQ395)</f>
        <v>168</v>
      </c>
      <c r="B395" s="543" t="str">
        <f ca="1">IF(IFERROR(SEARCH(";",VLOOKUP(BS392,'АКТЫ скрытых работ'!A:O,11,FALSE),SUM(LEN(B393),LEN(B394))+4),0)&lt;&gt;0,MID(VLOOKUP(BS392,'АКТЫ скрытых работ'!A:O,11,FALSE),SUM(LEN(B393),LEN(B394))+5,SEARCH(";",VLOOKUP(BS392,'АКТЫ скрытых работ'!A:O,11,FALSE),SUM(LEN(B393),LEN(B394))+4)-SUM(LEN(B393),LEN(B394))-5),MID(VLOOKUP(BS392,'АКТЫ скрытых работ'!A:O,11,FALSE),SUM(LEN(B393),LEN(B394))+5,LEN(VLOOKUP(BS392,'АКТЫ скрытых работ'!A:O,11,FALSE))))</f>
        <v/>
      </c>
      <c r="C395" s="730" t="e">
        <f ca="1">IF(B395="Контрольно-исполнительная съемка","б/н",MID(B395,SEARCH("№",B395,1),SEARCH(" ",B395,SEARCH("№",B395,1))-SEARCH("№",B395,1)))</f>
        <v>#VALUE!</v>
      </c>
      <c r="D395" s="731"/>
      <c r="E395" s="731"/>
      <c r="F395" s="731"/>
      <c r="G395" s="731"/>
      <c r="H395" s="731"/>
      <c r="I395" s="731"/>
      <c r="J395" s="731"/>
      <c r="K395" s="731"/>
      <c r="L395" s="731"/>
      <c r="M395" s="731"/>
      <c r="N395" s="731"/>
      <c r="O395" s="731"/>
      <c r="P395" s="731"/>
      <c r="Q395" s="731"/>
      <c r="R395" s="731"/>
      <c r="S395" s="731"/>
      <c r="T395" s="731"/>
      <c r="U395" s="731"/>
      <c r="V395" s="731"/>
      <c r="W395" s="731"/>
      <c r="X395" s="731"/>
      <c r="Y395" s="732"/>
      <c r="Z395" s="727">
        <f ca="1">IFERROR(IF(OR(IFERROR(B395,0)=0,B395=""),0,1),0)</f>
        <v>0</v>
      </c>
      <c r="AA395" s="727"/>
      <c r="AB395" s="727"/>
      <c r="AC395" s="727"/>
      <c r="AD395" s="727"/>
      <c r="AE395" s="727"/>
      <c r="AF395" s="727"/>
      <c r="AG395" s="727"/>
      <c r="AH395" s="727"/>
      <c r="AI395" s="727"/>
      <c r="AJ395" s="727"/>
      <c r="AK395" s="727"/>
      <c r="AL395" s="727"/>
      <c r="AM395" s="727"/>
      <c r="AN395" s="727"/>
      <c r="AO395" s="727"/>
      <c r="AP395" s="727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729"/>
      <c r="BL395" s="729"/>
      <c r="BM395" s="729"/>
      <c r="BN395" s="729"/>
      <c r="BO395" s="729"/>
      <c r="BP395" s="729"/>
      <c r="BQ395" s="19">
        <f t="shared" ca="1" si="13"/>
        <v>0</v>
      </c>
      <c r="BV395" s="19" t="str">
        <f>MID(BV379,1,LEN(BV379))</f>
        <v/>
      </c>
    </row>
    <row r="396" spans="1:74" hidden="1">
      <c r="A396" s="542">
        <f ca="1">SUBTOTAL(9,$BQ$9:BQ396)</f>
        <v>168</v>
      </c>
      <c r="B396" s="543" t="str">
        <f ca="1">IF(IFERROR(SEARCH(";",VLOOKUP(BS392,'АКТЫ скрытых работ'!A:O,11,FALSE),SUM(LEN(B393),LEN(B394),LEN(B395))+8),0)&lt;&gt;0,MID(VLOOKUP(BS392,'АКТЫ скрытых работ'!A:O,11,FALSE),SUM(LEN(B393),LEN(B394),LEN(B395))+4,SEARCH(";",VLOOKUP(BS392,'АКТЫ скрытых работ'!A:O,11,FALSE),SUM(LEN(B393),LEN(B394),LEN(B395))+4)-SUM(LEN(B393),LEN(B394),LEN(B395))-6),MID(VLOOKUP(BS392,'АКТЫ скрытых работ'!A:O,11,FALSE),SUM(LEN(B393),LEN(B394),LEN(B395))+7,LEN(VLOOKUP(BS392,'АКТЫ скрытых работ'!A:O,11,FALSE))))</f>
        <v/>
      </c>
      <c r="C396" s="730" t="e">
        <f ca="1">IF(B396="Контрольно-исполнительная съемка","б/н",MID(B396,SEARCH("№",B396,1),SEARCH(" ",B396,SEARCH("№",B396,1))-SEARCH("№",B396,1)))</f>
        <v>#VALUE!</v>
      </c>
      <c r="D396" s="731"/>
      <c r="E396" s="731"/>
      <c r="F396" s="731"/>
      <c r="G396" s="731"/>
      <c r="H396" s="731"/>
      <c r="I396" s="731"/>
      <c r="J396" s="731"/>
      <c r="K396" s="731"/>
      <c r="L396" s="731"/>
      <c r="M396" s="731"/>
      <c r="N396" s="731"/>
      <c r="O396" s="731"/>
      <c r="P396" s="731"/>
      <c r="Q396" s="731"/>
      <c r="R396" s="731"/>
      <c r="S396" s="731"/>
      <c r="T396" s="731"/>
      <c r="U396" s="731"/>
      <c r="V396" s="731"/>
      <c r="W396" s="731"/>
      <c r="X396" s="731"/>
      <c r="Y396" s="732"/>
      <c r="Z396" s="727">
        <f ca="1">IFERROR(IF(OR(IFERROR(B396,0)=0,B396=""),0,1),0)</f>
        <v>0</v>
      </c>
      <c r="AA396" s="727"/>
      <c r="AB396" s="727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729"/>
      <c r="BL396" s="729"/>
      <c r="BM396" s="729"/>
      <c r="BN396" s="729"/>
      <c r="BO396" s="729"/>
      <c r="BP396" s="729"/>
      <c r="BQ396" s="19">
        <f t="shared" ca="1" si="13"/>
        <v>0</v>
      </c>
    </row>
    <row r="397" spans="1:74" ht="26">
      <c r="A397" s="542">
        <f ca="1">SUBTOTAL(9,$BQ$9:BQ397)</f>
        <v>169</v>
      </c>
      <c r="B397" s="543" t="str">
        <f ca="1">VLOOKUP(BS392,'АКТЫ скрытых работ'!A:O,14,FALSE)</f>
        <v>Паспорт №31/08/22 от 31.08.2022 ООО "ДК "Горизонт"</v>
      </c>
      <c r="C397" s="727" t="str">
        <f ca="1">IF(B397&lt;&gt;"-","б/н","")</f>
        <v>б/н</v>
      </c>
      <c r="D397" s="727"/>
      <c r="E397" s="727"/>
      <c r="F397" s="727"/>
      <c r="G397" s="727"/>
      <c r="H397" s="727"/>
      <c r="I397" s="727"/>
      <c r="J397" s="727"/>
      <c r="K397" s="727"/>
      <c r="L397" s="727"/>
      <c r="M397" s="727"/>
      <c r="N397" s="727"/>
      <c r="O397" s="727"/>
      <c r="P397" s="727"/>
      <c r="Q397" s="727"/>
      <c r="R397" s="727"/>
      <c r="S397" s="727"/>
      <c r="T397" s="727"/>
      <c r="U397" s="727"/>
      <c r="V397" s="727"/>
      <c r="W397" s="727"/>
      <c r="X397" s="727"/>
      <c r="Y397" s="727"/>
      <c r="Z397" s="727" t="str">
        <f ca="1">IFERROR(IF(OR(IFERROR(B397,0)=0,B397="-"),0,"1 компл"),0)</f>
        <v>1 компл</v>
      </c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729"/>
      <c r="BL397" s="729"/>
      <c r="BM397" s="729"/>
      <c r="BN397" s="729"/>
      <c r="BO397" s="729"/>
      <c r="BP397" s="729"/>
      <c r="BQ397" s="19">
        <f t="shared" ca="1" si="13"/>
        <v>1</v>
      </c>
    </row>
    <row r="398" spans="1:74" ht="26">
      <c r="A398" s="542">
        <f ca="1">SUBTOTAL(9,$BQ$9:BQ398)</f>
        <v>170</v>
      </c>
      <c r="B398" s="543" t="str">
        <f ca="1">IF(BS398&lt;&gt;"",IF(MID(BS398,1,4)="АОСР",CONCATENATE("Акт освидетельствования скрытых работ '",VLOOKUP(BS398,'АКТЫ скрытых работ'!A:O,3,FALSE),"'"),CONCATENATE("Акт освидетельствования ответственных конструкций '",VLOOKUP(BS398,'АКТЫ скрытых работ'!A:O,3,FALSE),"'")),0)</f>
        <v>Акт освидетельствования скрытых работ 'Прокладка труб в траншее'</v>
      </c>
      <c r="C398" s="727" t="str">
        <f ca="1">CONCATENATE("№",VLOOKUP(BS398,'АКТЫ скрытых работ'!A:O,2,FALSE))</f>
        <v>№6-КЛ0,4</v>
      </c>
      <c r="D398" s="727"/>
      <c r="E398" s="727"/>
      <c r="F398" s="727"/>
      <c r="G398" s="727"/>
      <c r="H398" s="727"/>
      <c r="I398" s="727"/>
      <c r="J398" s="727"/>
      <c r="K398" s="727"/>
      <c r="L398" s="727"/>
      <c r="M398" s="727"/>
      <c r="N398" s="727"/>
      <c r="O398" s="727"/>
      <c r="P398" s="727"/>
      <c r="Q398" s="727"/>
      <c r="R398" s="727"/>
      <c r="S398" s="727"/>
      <c r="T398" s="727"/>
      <c r="U398" s="727"/>
      <c r="V398" s="727"/>
      <c r="W398" s="727"/>
      <c r="X398" s="727"/>
      <c r="Y398" s="727"/>
      <c r="Z398" s="727">
        <f ca="1">IF(BS398="АООК_",0,1)</f>
        <v>1</v>
      </c>
      <c r="AA398" s="727"/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/>
      <c r="AN398" s="727"/>
      <c r="AO398" s="727"/>
      <c r="AP398" s="727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9"/>
      <c r="BL398" s="729"/>
      <c r="BM398" s="729"/>
      <c r="BN398" s="729"/>
      <c r="BO398" s="729"/>
      <c r="BP398" s="729"/>
      <c r="BQ398" s="19">
        <f t="shared" ca="1" si="13"/>
        <v>1</v>
      </c>
      <c r="BS398" s="569" t="str">
        <f ca="1">IF(INDIRECT("'АКТЫ скрытых работ'!R"&amp;BU398&amp;"C1",0)=CONCATENATE("АОСР_",BT398),CONCATENATE("АОСР_",BT398),CONCATENATE("АООК_",BT398))</f>
        <v>АОСР_54</v>
      </c>
      <c r="BT398" s="569">
        <v>54</v>
      </c>
      <c r="BU398" s="570">
        <f>BT398+1</f>
        <v>55</v>
      </c>
    </row>
    <row r="399" spans="1:74" ht="26">
      <c r="A399" s="542">
        <f ca="1">SUBTOTAL(9,$BQ$9:BQ399)</f>
        <v>171</v>
      </c>
      <c r="B399" s="545" t="str">
        <f ca="1">IF(IFERROR(SEARCH("; ",VLOOKUP(BS398,'АКТЫ скрытых работ'!A:O,11,FALSE),1),0)=0,VLOOKUP(BS398,'АКТЫ скрытых работ'!A:O,11,FALSE),LEFT(VLOOKUP(BS398,'АКТЫ скрытых работ'!A:O,11,FALSE),SEARCH(";",VLOOKUP(BS398,'АКТЫ скрытых работ'!A:O,11,FALSE))-1))</f>
        <v>Исполнительная схема №1.5 Прокладка труб в траншее</v>
      </c>
      <c r="C399" s="730" t="str">
        <f ca="1">IF(B399="Контрольно-исполнительная съемка","б/н",MID(B399,SEARCH("№",B399,1),SEARCH(" ",B399,SEARCH("№",B399,1))-SEARCH("№",B399,1)))</f>
        <v>№1.5</v>
      </c>
      <c r="D399" s="731"/>
      <c r="E399" s="731"/>
      <c r="F399" s="731"/>
      <c r="G399" s="731"/>
      <c r="H399" s="731"/>
      <c r="I399" s="731"/>
      <c r="J399" s="731"/>
      <c r="K399" s="731"/>
      <c r="L399" s="731"/>
      <c r="M399" s="731"/>
      <c r="N399" s="731"/>
      <c r="O399" s="731"/>
      <c r="P399" s="731"/>
      <c r="Q399" s="731"/>
      <c r="R399" s="731"/>
      <c r="S399" s="731"/>
      <c r="T399" s="731"/>
      <c r="U399" s="731"/>
      <c r="V399" s="731"/>
      <c r="W399" s="731"/>
      <c r="X399" s="731"/>
      <c r="Y399" s="732"/>
      <c r="Z399" s="727">
        <f ca="1">IFERROR(IF(OR(IFERROR(B399,0)=0,B399="-"),0,1),0)</f>
        <v>1</v>
      </c>
      <c r="AA399" s="727"/>
      <c r="AB399" s="727"/>
      <c r="AC399" s="727"/>
      <c r="AD399" s="727"/>
      <c r="AE399" s="727"/>
      <c r="AF399" s="727"/>
      <c r="AG399" s="727"/>
      <c r="AH399" s="727"/>
      <c r="AI399" s="727"/>
      <c r="AJ399" s="727"/>
      <c r="AK399" s="727"/>
      <c r="AL399" s="727"/>
      <c r="AM399" s="727"/>
      <c r="AN399" s="727"/>
      <c r="AO399" s="727"/>
      <c r="AP399" s="727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729"/>
      <c r="BL399" s="729"/>
      <c r="BM399" s="729"/>
      <c r="BN399" s="729"/>
      <c r="BO399" s="729"/>
      <c r="BP399" s="729"/>
      <c r="BQ399" s="19">
        <f t="shared" ca="1" si="13"/>
        <v>1</v>
      </c>
    </row>
    <row r="400" spans="1:74" hidden="1">
      <c r="A400" s="542">
        <f ca="1">SUBTOTAL(9,$BQ$9:BQ400)</f>
        <v>171</v>
      </c>
      <c r="B400" s="543" t="str">
        <f ca="1">IF(IFERROR(SEARCH(";",VLOOKUP(BS398,'АКТЫ скрытых работ'!A:O,11,FALSE),LEN(B399)+2),0)&lt;&gt;0,MID(VLOOKUP(BS398,'АКТЫ скрытых работ'!A:O,11,FALSE),LEN(B399)+3,SEARCH(";",VLOOKUP(BS398,'АКТЫ скрытых работ'!A:O,11,FALSE),LEN(B399)+3)-LEN(B399)-3),MID(VLOOKUP(BS398,'АКТЫ скрытых работ'!A:O,11,FALSE),LEN(B399)+3,LEN(VLOOKUP(BS398,'АКТЫ скрытых работ'!A:O,11,FALSE))))</f>
        <v/>
      </c>
      <c r="C400" s="730" t="e">
        <f ca="1">IF(B400="Контрольно-исполнительная съемка","б/н",MID(B400,SEARCH("№",B400,1),SEARCH(" ",B400,SEARCH("№",B400,1))-SEARCH("№",B400,1)))</f>
        <v>#VALUE!</v>
      </c>
      <c r="D400" s="731"/>
      <c r="E400" s="731"/>
      <c r="F400" s="731"/>
      <c r="G400" s="731"/>
      <c r="H400" s="731"/>
      <c r="I400" s="731"/>
      <c r="J400" s="731"/>
      <c r="K400" s="731"/>
      <c r="L400" s="731"/>
      <c r="M400" s="731"/>
      <c r="N400" s="731"/>
      <c r="O400" s="731"/>
      <c r="P400" s="731"/>
      <c r="Q400" s="731"/>
      <c r="R400" s="731"/>
      <c r="S400" s="731"/>
      <c r="T400" s="731"/>
      <c r="U400" s="731"/>
      <c r="V400" s="731"/>
      <c r="W400" s="731"/>
      <c r="X400" s="731"/>
      <c r="Y400" s="732"/>
      <c r="Z400" s="727">
        <f ca="1">IFERROR(IF(OR(IFERROR(B400,0)=0,B400=""),0,1),0)</f>
        <v>0</v>
      </c>
      <c r="AA400" s="727"/>
      <c r="AB400" s="727"/>
      <c r="AC400" s="727"/>
      <c r="AD400" s="727"/>
      <c r="AE400" s="727"/>
      <c r="AF400" s="727"/>
      <c r="AG400" s="727"/>
      <c r="AH400" s="727"/>
      <c r="AI400" s="727"/>
      <c r="AJ400" s="727"/>
      <c r="AK400" s="727"/>
      <c r="AL400" s="727"/>
      <c r="AM400" s="727"/>
      <c r="AN400" s="727"/>
      <c r="AO400" s="727"/>
      <c r="AP400" s="727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729"/>
      <c r="BL400" s="729"/>
      <c r="BM400" s="729"/>
      <c r="BN400" s="729"/>
      <c r="BO400" s="729"/>
      <c r="BP400" s="729"/>
      <c r="BQ400" s="19">
        <f t="shared" ca="1" si="13"/>
        <v>0</v>
      </c>
    </row>
    <row r="401" spans="1:74" hidden="1">
      <c r="A401" s="542">
        <f ca="1">SUBTOTAL(9,$BQ$9:BQ401)</f>
        <v>171</v>
      </c>
      <c r="B401" s="543" t="str">
        <f ca="1">IF(IFERROR(SEARCH(";",VLOOKUP(BS398,'АКТЫ скрытых работ'!A:O,11,FALSE),SUM(LEN(B399),LEN(B400))+4),0)&lt;&gt;0,MID(VLOOKUP(BS398,'АКТЫ скрытых работ'!A:O,11,FALSE),SUM(LEN(B399),LEN(B400))+5,SEARCH(";",VLOOKUP(BS398,'АКТЫ скрытых работ'!A:O,11,FALSE),SUM(LEN(B399),LEN(B400))+4)-SUM(LEN(B399),LEN(B400))-5),MID(VLOOKUP(BS398,'АКТЫ скрытых работ'!A:O,11,FALSE),SUM(LEN(B399),LEN(B400))+5,LEN(VLOOKUP(BS398,'АКТЫ скрытых работ'!A:O,11,FALSE))))</f>
        <v/>
      </c>
      <c r="C401" s="730" t="e">
        <f ca="1">IF(B401="Контрольно-исполнительная съемка","б/н",MID(B401,SEARCH("№",B401,1),SEARCH(" ",B401,SEARCH("№",B401,1))-SEARCH("№",B401,1)))</f>
        <v>#VALUE!</v>
      </c>
      <c r="D401" s="731"/>
      <c r="E401" s="731"/>
      <c r="F401" s="731"/>
      <c r="G401" s="731"/>
      <c r="H401" s="731"/>
      <c r="I401" s="731"/>
      <c r="J401" s="731"/>
      <c r="K401" s="731"/>
      <c r="L401" s="731"/>
      <c r="M401" s="731"/>
      <c r="N401" s="731"/>
      <c r="O401" s="731"/>
      <c r="P401" s="731"/>
      <c r="Q401" s="731"/>
      <c r="R401" s="731"/>
      <c r="S401" s="731"/>
      <c r="T401" s="731"/>
      <c r="U401" s="731"/>
      <c r="V401" s="731"/>
      <c r="W401" s="731"/>
      <c r="X401" s="731"/>
      <c r="Y401" s="732"/>
      <c r="Z401" s="727">
        <f ca="1">IFERROR(IF(OR(IFERROR(B401,0)=0,B401=""),0,1),0)</f>
        <v>0</v>
      </c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729"/>
      <c r="BL401" s="729"/>
      <c r="BM401" s="729"/>
      <c r="BN401" s="729"/>
      <c r="BO401" s="729"/>
      <c r="BP401" s="729"/>
      <c r="BQ401" s="19">
        <f t="shared" ca="1" si="13"/>
        <v>0</v>
      </c>
      <c r="BV401" s="19" t="str">
        <f>MID(BV385,1,LEN(BV385))</f>
        <v/>
      </c>
    </row>
    <row r="402" spans="1:74" hidden="1">
      <c r="A402" s="542">
        <f ca="1">SUBTOTAL(9,$BQ$9:BQ402)</f>
        <v>171</v>
      </c>
      <c r="B402" s="543" t="str">
        <f ca="1">IF(IFERROR(SEARCH(";",VLOOKUP(BS398,'АКТЫ скрытых работ'!A:O,11,FALSE),SUM(LEN(B399),LEN(B400),LEN(B401))+8),0)&lt;&gt;0,MID(VLOOKUP(BS398,'АКТЫ скрытых работ'!A:O,11,FALSE),SUM(LEN(B399),LEN(B400),LEN(B401))+4,SEARCH(";",VLOOKUP(BS398,'АКТЫ скрытых работ'!A:O,11,FALSE),SUM(LEN(B399),LEN(B400),LEN(B401))+4)-SUM(LEN(B399),LEN(B400),LEN(B401))-6),MID(VLOOKUP(BS398,'АКТЫ скрытых работ'!A:O,11,FALSE),SUM(LEN(B399),LEN(B400),LEN(B401))+7,LEN(VLOOKUP(BS398,'АКТЫ скрытых работ'!A:O,11,FALSE))))</f>
        <v/>
      </c>
      <c r="C402" s="730" t="e">
        <f ca="1">IF(B402="Контрольно-исполнительная съемка","б/н",MID(B402,SEARCH("№",B402,1),SEARCH(" ",B402,SEARCH("№",B402,1))-SEARCH("№",B402,1)))</f>
        <v>#VALUE!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31"/>
      <c r="V402" s="731"/>
      <c r="W402" s="731"/>
      <c r="X402" s="731"/>
      <c r="Y402" s="732"/>
      <c r="Z402" s="727">
        <f ca="1">IFERROR(IF(OR(IFERROR(B402,0)=0,B402=""),0,1),0)</f>
        <v>0</v>
      </c>
      <c r="AA402" s="727"/>
      <c r="AB402" s="727"/>
      <c r="AC402" s="727"/>
      <c r="AD402" s="727"/>
      <c r="AE402" s="727"/>
      <c r="AF402" s="727"/>
      <c r="AG402" s="727"/>
      <c r="AH402" s="727"/>
      <c r="AI402" s="727"/>
      <c r="AJ402" s="727"/>
      <c r="AK402" s="727"/>
      <c r="AL402" s="727"/>
      <c r="AM402" s="727"/>
      <c r="AN402" s="727"/>
      <c r="AO402" s="727"/>
      <c r="AP402" s="727"/>
      <c r="AQ402" s="729"/>
      <c r="AR402" s="729"/>
      <c r="AS402" s="729"/>
      <c r="AT402" s="729"/>
      <c r="AU402" s="729"/>
      <c r="AV402" s="729"/>
      <c r="AW402" s="729"/>
      <c r="AX402" s="729"/>
      <c r="AY402" s="729"/>
      <c r="AZ402" s="729"/>
      <c r="BA402" s="729"/>
      <c r="BB402" s="729"/>
      <c r="BC402" s="729"/>
      <c r="BD402" s="729"/>
      <c r="BE402" s="729"/>
      <c r="BF402" s="729"/>
      <c r="BG402" s="729"/>
      <c r="BH402" s="729"/>
      <c r="BI402" s="729"/>
      <c r="BJ402" s="729"/>
      <c r="BK402" s="729"/>
      <c r="BL402" s="729"/>
      <c r="BM402" s="729"/>
      <c r="BN402" s="729"/>
      <c r="BO402" s="729"/>
      <c r="BP402" s="729"/>
      <c r="BQ402" s="19">
        <f t="shared" ca="1" si="13"/>
        <v>0</v>
      </c>
    </row>
    <row r="403" spans="1:74" ht="26">
      <c r="A403" s="542">
        <f ca="1">SUBTOTAL(9,$BQ$9:BQ403)</f>
        <v>172</v>
      </c>
      <c r="B403" s="543" t="str">
        <f ca="1">VLOOKUP(BS398,'АКТЫ скрытых работ'!A:O,14,FALSE)</f>
        <v xml:space="preserve">Сертификат соответсвия №РОСС.RU.HX37.H02706 с 07.07.2020 по 06.07.2023 </v>
      </c>
      <c r="C403" s="727" t="str">
        <f ca="1">IF(B403&lt;&gt;"-","б/н","")</f>
        <v>б/н</v>
      </c>
      <c r="D403" s="727"/>
      <c r="E403" s="727"/>
      <c r="F403" s="727"/>
      <c r="G403" s="727"/>
      <c r="H403" s="727"/>
      <c r="I403" s="727"/>
      <c r="J403" s="727"/>
      <c r="K403" s="727"/>
      <c r="L403" s="727"/>
      <c r="M403" s="727"/>
      <c r="N403" s="727"/>
      <c r="O403" s="727"/>
      <c r="P403" s="727"/>
      <c r="Q403" s="727"/>
      <c r="R403" s="727"/>
      <c r="S403" s="727"/>
      <c r="T403" s="727"/>
      <c r="U403" s="727"/>
      <c r="V403" s="727"/>
      <c r="W403" s="727"/>
      <c r="X403" s="727"/>
      <c r="Y403" s="727"/>
      <c r="Z403" s="727" t="str">
        <f ca="1">IFERROR(IF(OR(IFERROR(B403,0)=0,B403="-"),0,"1 компл"),0)</f>
        <v>1 компл</v>
      </c>
      <c r="AA403" s="727"/>
      <c r="AB403" s="727"/>
      <c r="AC403" s="727"/>
      <c r="AD403" s="727"/>
      <c r="AE403" s="727"/>
      <c r="AF403" s="727"/>
      <c r="AG403" s="727"/>
      <c r="AH403" s="727"/>
      <c r="AI403" s="727"/>
      <c r="AJ403" s="727"/>
      <c r="AK403" s="727"/>
      <c r="AL403" s="727"/>
      <c r="AM403" s="727"/>
      <c r="AN403" s="727"/>
      <c r="AO403" s="727"/>
      <c r="AP403" s="727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9"/>
      <c r="BL403" s="729"/>
      <c r="BM403" s="729"/>
      <c r="BN403" s="729"/>
      <c r="BO403" s="729"/>
      <c r="BP403" s="729"/>
      <c r="BQ403" s="19">
        <f t="shared" ca="1" si="13"/>
        <v>1</v>
      </c>
    </row>
    <row r="404" spans="1:74" ht="39">
      <c r="A404" s="542">
        <f ca="1">SUBTOTAL(9,$BQ$9:BQ404)</f>
        <v>173</v>
      </c>
      <c r="B404" s="543" t="str">
        <f ca="1">IF(BS404&lt;&gt;"",IF(MID(BS404,1,4)="АОСР",CONCATENATE("Акт освидетельствования скрытых работ '",VLOOKUP(BS404,'АКТЫ скрытых работ'!A:O,3,FALSE),"'"),CONCATENATE("Акт освидетельствования ответственных конструкций '",VLOOKUP(BS404,'АКТЫ скрытых работ'!A:O,3,FALSE),"'")),0)</f>
        <v>Акт освидетельствования скрытых работ 'Прокладка КЛ-0,4 кВ с нанесением огнезащитного покрытия Огракс В1'</v>
      </c>
      <c r="C404" s="727" t="str">
        <f ca="1">CONCATENATE("№",VLOOKUP(BS404,'АКТЫ скрытых работ'!A:O,2,FALSE))</f>
        <v>№6-КЛ0,4</v>
      </c>
      <c r="D404" s="727"/>
      <c r="E404" s="727"/>
      <c r="F404" s="727"/>
      <c r="G404" s="727"/>
      <c r="H404" s="727"/>
      <c r="I404" s="727"/>
      <c r="J404" s="727"/>
      <c r="K404" s="727"/>
      <c r="L404" s="727"/>
      <c r="M404" s="727"/>
      <c r="N404" s="727"/>
      <c r="O404" s="727"/>
      <c r="P404" s="727"/>
      <c r="Q404" s="727"/>
      <c r="R404" s="727"/>
      <c r="S404" s="727"/>
      <c r="T404" s="727"/>
      <c r="U404" s="727"/>
      <c r="V404" s="727"/>
      <c r="W404" s="727"/>
      <c r="X404" s="727"/>
      <c r="Y404" s="727"/>
      <c r="Z404" s="727">
        <f ca="1">IF(BS404="АООК_",0,1)</f>
        <v>1</v>
      </c>
      <c r="AA404" s="727"/>
      <c r="AB404" s="727"/>
      <c r="AC404" s="727"/>
      <c r="AD404" s="727"/>
      <c r="AE404" s="727"/>
      <c r="AF404" s="727"/>
      <c r="AG404" s="727"/>
      <c r="AH404" s="727"/>
      <c r="AI404" s="727"/>
      <c r="AJ404" s="727"/>
      <c r="AK404" s="727"/>
      <c r="AL404" s="727"/>
      <c r="AM404" s="727"/>
      <c r="AN404" s="727"/>
      <c r="AO404" s="727"/>
      <c r="AP404" s="727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729"/>
      <c r="BL404" s="729"/>
      <c r="BM404" s="729"/>
      <c r="BN404" s="729"/>
      <c r="BO404" s="729"/>
      <c r="BP404" s="729"/>
      <c r="BQ404" s="19">
        <f t="shared" ca="1" si="13"/>
        <v>1</v>
      </c>
      <c r="BS404" s="569" t="str">
        <f ca="1">IF(INDIRECT("'АКТЫ скрытых работ'!R"&amp;BU404&amp;"C1",0)=CONCATENATE("АОСР_",BT404),CONCATENATE("АОСР_",BT404),CONCATENATE("АООК_",BT404))</f>
        <v>АОСР_55</v>
      </c>
      <c r="BT404" s="569">
        <v>55</v>
      </c>
      <c r="BU404" s="570">
        <f>BT404+1</f>
        <v>56</v>
      </c>
    </row>
    <row r="405" spans="1:74">
      <c r="A405" s="542">
        <f ca="1">SUBTOTAL(9,$BQ$9:BQ405)</f>
        <v>174</v>
      </c>
      <c r="B405" s="545" t="str">
        <f ca="1">IF(IFERROR(SEARCH("; ",VLOOKUP(BS404,'АКТЫ скрытых работ'!A:O,11,FALSE),1),0)=0,VLOOKUP(BS404,'АКТЫ скрытых работ'!A:O,11,FALSE),LEFT(VLOOKUP(BS404,'АКТЫ скрытых работ'!A:O,11,FALSE),SEARCH(";",VLOOKUP(BS404,'АКТЫ скрытых работ'!A:O,11,FALSE))-1))</f>
        <v>Исполнительная схема №1.6 Прокладка КЛ-0,4кВ</v>
      </c>
      <c r="C405" s="730" t="str">
        <f ca="1">IF(B405="Контрольно-исполнительная съемка","б/н",MID(B405,SEARCH("№",B405,1),SEARCH(" ",B405,SEARCH("№",B405,1))-SEARCH("№",B405,1)))</f>
        <v>№1.6</v>
      </c>
      <c r="D405" s="731"/>
      <c r="E405" s="731"/>
      <c r="F405" s="731"/>
      <c r="G405" s="731"/>
      <c r="H405" s="731"/>
      <c r="I405" s="731"/>
      <c r="J405" s="731"/>
      <c r="K405" s="731"/>
      <c r="L405" s="731"/>
      <c r="M405" s="731"/>
      <c r="N405" s="731"/>
      <c r="O405" s="731"/>
      <c r="P405" s="731"/>
      <c r="Q405" s="731"/>
      <c r="R405" s="731"/>
      <c r="S405" s="731"/>
      <c r="T405" s="731"/>
      <c r="U405" s="731"/>
      <c r="V405" s="731"/>
      <c r="W405" s="731"/>
      <c r="X405" s="731"/>
      <c r="Y405" s="732"/>
      <c r="Z405" s="727">
        <f ca="1">IFERROR(IF(OR(IFERROR(B405,0)=0,B405="-"),0,1),0)</f>
        <v>1</v>
      </c>
      <c r="AA405" s="727"/>
      <c r="AB405" s="727"/>
      <c r="AC405" s="727"/>
      <c r="AD405" s="727"/>
      <c r="AE405" s="727"/>
      <c r="AF405" s="727"/>
      <c r="AG405" s="727"/>
      <c r="AH405" s="727"/>
      <c r="AI405" s="727"/>
      <c r="AJ405" s="727"/>
      <c r="AK405" s="727"/>
      <c r="AL405" s="727"/>
      <c r="AM405" s="727"/>
      <c r="AN405" s="727"/>
      <c r="AO405" s="727"/>
      <c r="AP405" s="727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729"/>
      <c r="BL405" s="729"/>
      <c r="BM405" s="729"/>
      <c r="BN405" s="729"/>
      <c r="BO405" s="729"/>
      <c r="BP405" s="729"/>
      <c r="BQ405" s="19">
        <f t="shared" ca="1" si="13"/>
        <v>1</v>
      </c>
    </row>
    <row r="406" spans="1:74" hidden="1">
      <c r="A406" s="542">
        <f ca="1">SUBTOTAL(9,$BQ$9:BQ406)</f>
        <v>174</v>
      </c>
      <c r="B406" s="543" t="str">
        <f ca="1">IF(IFERROR(SEARCH(";",VLOOKUP(BS404,'АКТЫ скрытых работ'!A:O,11,FALSE),LEN(B405)+2),0)&lt;&gt;0,MID(VLOOKUP(BS404,'АКТЫ скрытых работ'!A:O,11,FALSE),LEN(B405)+3,SEARCH(";",VLOOKUP(BS404,'АКТЫ скрытых работ'!A:O,11,FALSE),LEN(B405)+3)-LEN(B405)-3),MID(VLOOKUP(BS404,'АКТЫ скрытых работ'!A:O,11,FALSE),LEN(B405)+3,LEN(VLOOKUP(BS404,'АКТЫ скрытых работ'!A:O,11,FALSE))))</f>
        <v/>
      </c>
      <c r="C406" s="730" t="e">
        <f ca="1">IF(B406="Контрольно-исполнительная съемка","б/н",MID(B406,SEARCH("№",B406,1),SEARCH(" ",B406,SEARCH("№",B406,1))-SEARCH("№",B406,1)))</f>
        <v>#VALUE!</v>
      </c>
      <c r="D406" s="731"/>
      <c r="E406" s="731"/>
      <c r="F406" s="731"/>
      <c r="G406" s="731"/>
      <c r="H406" s="731"/>
      <c r="I406" s="731"/>
      <c r="J406" s="731"/>
      <c r="K406" s="731"/>
      <c r="L406" s="731"/>
      <c r="M406" s="731"/>
      <c r="N406" s="731"/>
      <c r="O406" s="731"/>
      <c r="P406" s="731"/>
      <c r="Q406" s="731"/>
      <c r="R406" s="731"/>
      <c r="S406" s="731"/>
      <c r="T406" s="731"/>
      <c r="U406" s="731"/>
      <c r="V406" s="731"/>
      <c r="W406" s="731"/>
      <c r="X406" s="731"/>
      <c r="Y406" s="732"/>
      <c r="Z406" s="727">
        <f ca="1">IFERROR(IF(OR(IFERROR(B406,0)=0,B406=""),0,1),0)</f>
        <v>0</v>
      </c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729"/>
      <c r="BL406" s="729"/>
      <c r="BM406" s="729"/>
      <c r="BN406" s="729"/>
      <c r="BO406" s="729"/>
      <c r="BP406" s="729"/>
      <c r="BQ406" s="19">
        <f t="shared" ca="1" si="13"/>
        <v>0</v>
      </c>
    </row>
    <row r="407" spans="1:74" hidden="1">
      <c r="A407" s="542">
        <f ca="1">SUBTOTAL(9,$BQ$9:BQ407)</f>
        <v>174</v>
      </c>
      <c r="B407" s="543" t="str">
        <f ca="1">IF(IFERROR(SEARCH(";",VLOOKUP(BS404,'АКТЫ скрытых работ'!A:O,11,FALSE),SUM(LEN(B405),LEN(B406))+4),0)&lt;&gt;0,MID(VLOOKUP(BS404,'АКТЫ скрытых работ'!A:O,11,FALSE),SUM(LEN(B405),LEN(B406))+5,SEARCH(";",VLOOKUP(BS404,'АКТЫ скрытых работ'!A:O,11,FALSE),SUM(LEN(B405),LEN(B406))+4)-SUM(LEN(B405),LEN(B406))-5),MID(VLOOKUP(BS404,'АКТЫ скрытых работ'!A:O,11,FALSE),SUM(LEN(B405),LEN(B406))+5,LEN(VLOOKUP(BS404,'АКТЫ скрытых работ'!A:O,11,FALSE))))</f>
        <v/>
      </c>
      <c r="C407" s="730" t="e">
        <f ca="1">IF(B407="Контрольно-исполнительная съемка","б/н",MID(B407,SEARCH("№",B407,1),SEARCH(" ",B407,SEARCH("№",B407,1))-SEARCH("№",B407,1)))</f>
        <v>#VALUE!</v>
      </c>
      <c r="D407" s="731"/>
      <c r="E407" s="731"/>
      <c r="F407" s="731"/>
      <c r="G407" s="731"/>
      <c r="H407" s="731"/>
      <c r="I407" s="731"/>
      <c r="J407" s="731"/>
      <c r="K407" s="731"/>
      <c r="L407" s="731"/>
      <c r="M407" s="731"/>
      <c r="N407" s="731"/>
      <c r="O407" s="731"/>
      <c r="P407" s="731"/>
      <c r="Q407" s="731"/>
      <c r="R407" s="731"/>
      <c r="S407" s="731"/>
      <c r="T407" s="731"/>
      <c r="U407" s="731"/>
      <c r="V407" s="731"/>
      <c r="W407" s="731"/>
      <c r="X407" s="731"/>
      <c r="Y407" s="732"/>
      <c r="Z407" s="727">
        <f ca="1">IFERROR(IF(OR(IFERROR(B407,0)=0,B407=""),0,1),0)</f>
        <v>0</v>
      </c>
      <c r="AA407" s="727"/>
      <c r="AB407" s="727"/>
      <c r="AC407" s="727"/>
      <c r="AD407" s="727"/>
      <c r="AE407" s="727"/>
      <c r="AF407" s="727"/>
      <c r="AG407" s="727"/>
      <c r="AH407" s="727"/>
      <c r="AI407" s="727"/>
      <c r="AJ407" s="727"/>
      <c r="AK407" s="727"/>
      <c r="AL407" s="727"/>
      <c r="AM407" s="727"/>
      <c r="AN407" s="727"/>
      <c r="AO407" s="727"/>
      <c r="AP407" s="727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9"/>
      <c r="BL407" s="729"/>
      <c r="BM407" s="729"/>
      <c r="BN407" s="729"/>
      <c r="BO407" s="729"/>
      <c r="BP407" s="729"/>
      <c r="BQ407" s="19">
        <f t="shared" ca="1" si="13"/>
        <v>0</v>
      </c>
      <c r="BV407" s="19" t="str">
        <f>MID(BV391,1,LEN(BV391))</f>
        <v/>
      </c>
    </row>
    <row r="408" spans="1:74" hidden="1">
      <c r="A408" s="542">
        <f ca="1">SUBTOTAL(9,$BQ$9:BQ408)</f>
        <v>174</v>
      </c>
      <c r="B408" s="543" t="str">
        <f ca="1">IF(IFERROR(SEARCH(";",VLOOKUP(BS404,'АКТЫ скрытых работ'!A:O,11,FALSE),SUM(LEN(B405),LEN(B406),LEN(B407))+8),0)&lt;&gt;0,MID(VLOOKUP(BS404,'АКТЫ скрытых работ'!A:O,11,FALSE),SUM(LEN(B405),LEN(B406),LEN(B407))+4,SEARCH(";",VLOOKUP(BS404,'АКТЫ скрытых работ'!A:O,11,FALSE),SUM(LEN(B405),LEN(B406),LEN(B407))+4)-SUM(LEN(B405),LEN(B406),LEN(B407))-6),MID(VLOOKUP(BS404,'АКТЫ скрытых работ'!A:O,11,FALSE),SUM(LEN(B405),LEN(B406),LEN(B407))+7,LEN(VLOOKUP(BS404,'АКТЫ скрытых работ'!A:O,11,FALSE))))</f>
        <v/>
      </c>
      <c r="C408" s="730" t="e">
        <f ca="1">IF(B408="Контрольно-исполнительная съемка","б/н",MID(B408,SEARCH("№",B408,1),SEARCH(" ",B408,SEARCH("№",B408,1))-SEARCH("№",B408,1)))</f>
        <v>#VALUE!</v>
      </c>
      <c r="D408" s="731"/>
      <c r="E408" s="731"/>
      <c r="F408" s="731"/>
      <c r="G408" s="731"/>
      <c r="H408" s="731"/>
      <c r="I408" s="731"/>
      <c r="J408" s="731"/>
      <c r="K408" s="731"/>
      <c r="L408" s="731"/>
      <c r="M408" s="731"/>
      <c r="N408" s="731"/>
      <c r="O408" s="731"/>
      <c r="P408" s="731"/>
      <c r="Q408" s="731"/>
      <c r="R408" s="731"/>
      <c r="S408" s="731"/>
      <c r="T408" s="731"/>
      <c r="U408" s="731"/>
      <c r="V408" s="731"/>
      <c r="W408" s="731"/>
      <c r="X408" s="731"/>
      <c r="Y408" s="732"/>
      <c r="Z408" s="727">
        <f ca="1">IFERROR(IF(OR(IFERROR(B408,0)=0,B408=""),0,1),0)</f>
        <v>0</v>
      </c>
      <c r="AA408" s="727"/>
      <c r="AB408" s="727"/>
      <c r="AC408" s="727"/>
      <c r="AD408" s="727"/>
      <c r="AE408" s="727"/>
      <c r="AF408" s="727"/>
      <c r="AG408" s="727"/>
      <c r="AH408" s="727"/>
      <c r="AI408" s="727"/>
      <c r="AJ408" s="727"/>
      <c r="AK408" s="727"/>
      <c r="AL408" s="727"/>
      <c r="AM408" s="727"/>
      <c r="AN408" s="727"/>
      <c r="AO408" s="727"/>
      <c r="AP408" s="727"/>
      <c r="AQ408" s="729"/>
      <c r="AR408" s="729"/>
      <c r="AS408" s="729"/>
      <c r="AT408" s="729"/>
      <c r="AU408" s="729"/>
      <c r="AV408" s="729"/>
      <c r="AW408" s="729"/>
      <c r="AX408" s="729"/>
      <c r="AY408" s="729"/>
      <c r="AZ408" s="729"/>
      <c r="BA408" s="729"/>
      <c r="BB408" s="729"/>
      <c r="BC408" s="729"/>
      <c r="BD408" s="729"/>
      <c r="BE408" s="729"/>
      <c r="BF408" s="729"/>
      <c r="BG408" s="729"/>
      <c r="BH408" s="729"/>
      <c r="BI408" s="729"/>
      <c r="BJ408" s="729"/>
      <c r="BK408" s="729"/>
      <c r="BL408" s="729"/>
      <c r="BM408" s="729"/>
      <c r="BN408" s="729"/>
      <c r="BO408" s="729"/>
      <c r="BP408" s="729"/>
      <c r="BQ408" s="19">
        <f t="shared" ca="1" si="13"/>
        <v>0</v>
      </c>
    </row>
    <row r="409" spans="1:74" ht="65">
      <c r="A409" s="542">
        <f ca="1">SUBTOTAL(9,$BQ$9:BQ409)</f>
        <v>175</v>
      </c>
      <c r="B409" s="543" t="str">
        <f ca="1">VLOOKUP(BS404,'АКТЫ скрытых работ'!A:O,14,FALSE)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C409" s="727" t="str">
        <f ca="1">IF(B409&lt;&gt;"-","б/н","")</f>
        <v>б/н</v>
      </c>
      <c r="D409" s="727"/>
      <c r="E409" s="727"/>
      <c r="F409" s="727"/>
      <c r="G409" s="727"/>
      <c r="H409" s="727"/>
      <c r="I409" s="727"/>
      <c r="J409" s="727"/>
      <c r="K409" s="727"/>
      <c r="L409" s="727"/>
      <c r="M409" s="727"/>
      <c r="N409" s="727"/>
      <c r="O409" s="727"/>
      <c r="P409" s="727"/>
      <c r="Q409" s="727"/>
      <c r="R409" s="727"/>
      <c r="S409" s="727"/>
      <c r="T409" s="727"/>
      <c r="U409" s="727"/>
      <c r="V409" s="727"/>
      <c r="W409" s="727"/>
      <c r="X409" s="727"/>
      <c r="Y409" s="727"/>
      <c r="Z409" s="727" t="str">
        <f ca="1">IFERROR(IF(OR(IFERROR(B409,0)=0,B409="-"),0,"1 компл"),0)</f>
        <v>1 компл</v>
      </c>
      <c r="AA409" s="727"/>
      <c r="AB409" s="727"/>
      <c r="AC409" s="727"/>
      <c r="AD409" s="727"/>
      <c r="AE409" s="727"/>
      <c r="AF409" s="727"/>
      <c r="AG409" s="727"/>
      <c r="AH409" s="727"/>
      <c r="AI409" s="727"/>
      <c r="AJ409" s="727"/>
      <c r="AK409" s="727"/>
      <c r="AL409" s="727"/>
      <c r="AM409" s="727"/>
      <c r="AN409" s="727"/>
      <c r="AO409" s="727"/>
      <c r="AP409" s="727"/>
      <c r="AQ409" s="729"/>
      <c r="AR409" s="729"/>
      <c r="AS409" s="729"/>
      <c r="AT409" s="729"/>
      <c r="AU409" s="729"/>
      <c r="AV409" s="729"/>
      <c r="AW409" s="729"/>
      <c r="AX409" s="729"/>
      <c r="AY409" s="729"/>
      <c r="AZ409" s="729"/>
      <c r="BA409" s="729"/>
      <c r="BB409" s="729"/>
      <c r="BC409" s="729"/>
      <c r="BD409" s="729"/>
      <c r="BE409" s="729"/>
      <c r="BF409" s="729"/>
      <c r="BG409" s="729"/>
      <c r="BH409" s="729"/>
      <c r="BI409" s="729"/>
      <c r="BJ409" s="729"/>
      <c r="BK409" s="729"/>
      <c r="BL409" s="729"/>
      <c r="BM409" s="729"/>
      <c r="BN409" s="729"/>
      <c r="BO409" s="729"/>
      <c r="BP409" s="729"/>
      <c r="BQ409" s="19">
        <f t="shared" ca="1" si="13"/>
        <v>1</v>
      </c>
    </row>
    <row r="410" spans="1:74" ht="26">
      <c r="A410" s="542">
        <f ca="1">SUBTOTAL(9,$BQ$9:BQ410)</f>
        <v>176</v>
      </c>
      <c r="B410" s="543" t="str">
        <f ca="1">IF(BS410&lt;&gt;"",IF(MID(BS410,1,4)="АОСР",CONCATENATE("Акт освидетельствования скрытых работ '",VLOOKUP(BS410,'АКТЫ скрытых работ'!A:O,3,FALSE),"'"),CONCATENATE("Акт освидетельствования ответственных конструкций '",VLOOKUP(BS410,'АКТЫ скрытых работ'!A:O,3,FALSE),"'")),0)</f>
        <v>Акт освидетельствования скрытых работ 'Засыпка кабеля песком'</v>
      </c>
      <c r="C410" s="727" t="str">
        <f ca="1">CONCATENATE("№",VLOOKUP(BS410,'АКТЫ скрытых работ'!A:O,2,FALSE))</f>
        <v>№7-КЛ0,4</v>
      </c>
      <c r="D410" s="727"/>
      <c r="E410" s="727"/>
      <c r="F410" s="727"/>
      <c r="G410" s="727"/>
      <c r="H410" s="727"/>
      <c r="I410" s="727"/>
      <c r="J410" s="727"/>
      <c r="K410" s="727"/>
      <c r="L410" s="727"/>
      <c r="M410" s="727"/>
      <c r="N410" s="727"/>
      <c r="O410" s="727"/>
      <c r="P410" s="727"/>
      <c r="Q410" s="727"/>
      <c r="R410" s="727"/>
      <c r="S410" s="727"/>
      <c r="T410" s="727"/>
      <c r="U410" s="727"/>
      <c r="V410" s="727"/>
      <c r="W410" s="727"/>
      <c r="X410" s="727"/>
      <c r="Y410" s="727"/>
      <c r="Z410" s="727">
        <f ca="1">IF(BS410="АООК_",0,1)</f>
        <v>1</v>
      </c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9"/>
      <c r="AR410" s="729"/>
      <c r="AS410" s="729"/>
      <c r="AT410" s="729"/>
      <c r="AU410" s="729"/>
      <c r="AV410" s="729"/>
      <c r="AW410" s="729"/>
      <c r="AX410" s="729"/>
      <c r="AY410" s="729"/>
      <c r="AZ410" s="729"/>
      <c r="BA410" s="729"/>
      <c r="BB410" s="729"/>
      <c r="BC410" s="729"/>
      <c r="BD410" s="729"/>
      <c r="BE410" s="729"/>
      <c r="BF410" s="729"/>
      <c r="BG410" s="729"/>
      <c r="BH410" s="729"/>
      <c r="BI410" s="729"/>
      <c r="BJ410" s="729"/>
      <c r="BK410" s="729"/>
      <c r="BL410" s="729"/>
      <c r="BM410" s="729"/>
      <c r="BN410" s="729"/>
      <c r="BO410" s="729"/>
      <c r="BP410" s="729"/>
      <c r="BQ410" s="19">
        <f t="shared" ca="1" si="13"/>
        <v>1</v>
      </c>
      <c r="BS410" s="569" t="str">
        <f ca="1">IF(INDIRECT("'АКТЫ скрытых работ'!R"&amp;BU410&amp;"C1",0)=CONCATENATE("АОСР_",BT410),CONCATENATE("АОСР_",BT410),CONCATENATE("АООК_",BT410))</f>
        <v>АОСР_56</v>
      </c>
      <c r="BT410" s="569">
        <v>56</v>
      </c>
      <c r="BU410" s="570">
        <f>BT410+1</f>
        <v>57</v>
      </c>
    </row>
    <row r="411" spans="1:74" ht="26">
      <c r="A411" s="542">
        <f ca="1">SUBTOTAL(9,$BQ$9:BQ411)</f>
        <v>177</v>
      </c>
      <c r="B411" s="545" t="str">
        <f ca="1">IF(IFERROR(SEARCH("; ",VLOOKUP(BS410,'АКТЫ скрытых работ'!A:O,11,FALSE),1),0)=0,VLOOKUP(BS410,'АКТЫ скрытых работ'!A:O,11,FALSE),LEFT(VLOOKUP(BS410,'АКТЫ скрытых работ'!A:O,11,FALSE),SEARCH(";",VLOOKUP(BS410,'АКТЫ скрытых работ'!A:O,11,FALSE))-1))</f>
        <v>Исполнительная схема №1.7 Обратная засыпка кабеля песком</v>
      </c>
      <c r="C411" s="730" t="str">
        <f ca="1">IF(B411="Контрольно-исполнительная съемка","б/н",MID(B411,SEARCH("№",B411,1),SEARCH(" ",B411,SEARCH("№",B411,1))-SEARCH("№",B411,1)))</f>
        <v>№1.7</v>
      </c>
      <c r="D411" s="731"/>
      <c r="E411" s="731"/>
      <c r="F411" s="731"/>
      <c r="G411" s="731"/>
      <c r="H411" s="731"/>
      <c r="I411" s="731"/>
      <c r="J411" s="731"/>
      <c r="K411" s="731"/>
      <c r="L411" s="731"/>
      <c r="M411" s="731"/>
      <c r="N411" s="731"/>
      <c r="O411" s="731"/>
      <c r="P411" s="731"/>
      <c r="Q411" s="731"/>
      <c r="R411" s="731"/>
      <c r="S411" s="731"/>
      <c r="T411" s="731"/>
      <c r="U411" s="731"/>
      <c r="V411" s="731"/>
      <c r="W411" s="731"/>
      <c r="X411" s="731"/>
      <c r="Y411" s="732"/>
      <c r="Z411" s="727">
        <f ca="1">IFERROR(IF(OR(IFERROR(B411,0)=0,B411="-"),0,1),0)</f>
        <v>1</v>
      </c>
      <c r="AA411" s="727"/>
      <c r="AB411" s="727"/>
      <c r="AC411" s="727"/>
      <c r="AD411" s="727"/>
      <c r="AE411" s="727"/>
      <c r="AF411" s="727"/>
      <c r="AG411" s="727"/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9"/>
      <c r="BL411" s="729"/>
      <c r="BM411" s="729"/>
      <c r="BN411" s="729"/>
      <c r="BO411" s="729"/>
      <c r="BP411" s="729"/>
      <c r="BQ411" s="19">
        <f t="shared" ca="1" si="13"/>
        <v>1</v>
      </c>
    </row>
    <row r="412" spans="1:74" hidden="1">
      <c r="A412" s="542">
        <f ca="1">SUBTOTAL(9,$BQ$9:BQ412)</f>
        <v>177</v>
      </c>
      <c r="B412" s="543" t="str">
        <f ca="1">IF(IFERROR(SEARCH(";",VLOOKUP(BS410,'АКТЫ скрытых работ'!A:O,11,FALSE),LEN(B411)+2),0)&lt;&gt;0,MID(VLOOKUP(BS410,'АКТЫ скрытых работ'!A:O,11,FALSE),LEN(B411)+3,SEARCH(";",VLOOKUP(BS410,'АКТЫ скрытых работ'!A:O,11,FALSE),LEN(B411)+3)-LEN(B411)-3),MID(VLOOKUP(BS410,'АКТЫ скрытых работ'!A:O,11,FALSE),LEN(B411)+3,LEN(VLOOKUP(BS410,'АКТЫ скрытых работ'!A:O,11,FALSE))))</f>
        <v/>
      </c>
      <c r="C412" s="730" t="e">
        <f ca="1">IF(B412="Контрольно-исполнительная съемка","б/н",MID(B412,SEARCH("№",B412,1),SEARCH(" ",B412,SEARCH("№",B412,1))-SEARCH("№",B412,1)))</f>
        <v>#VALUE!</v>
      </c>
      <c r="D412" s="731"/>
      <c r="E412" s="731"/>
      <c r="F412" s="731"/>
      <c r="G412" s="731"/>
      <c r="H412" s="731"/>
      <c r="I412" s="731"/>
      <c r="J412" s="731"/>
      <c r="K412" s="731"/>
      <c r="L412" s="731"/>
      <c r="M412" s="731"/>
      <c r="N412" s="731"/>
      <c r="O412" s="731"/>
      <c r="P412" s="731"/>
      <c r="Q412" s="731"/>
      <c r="R412" s="731"/>
      <c r="S412" s="731"/>
      <c r="T412" s="731"/>
      <c r="U412" s="731"/>
      <c r="V412" s="731"/>
      <c r="W412" s="731"/>
      <c r="X412" s="731"/>
      <c r="Y412" s="732"/>
      <c r="Z412" s="727">
        <f ca="1">IFERROR(IF(OR(IFERROR(B412,0)=0,B412=""),0,1),0)</f>
        <v>0</v>
      </c>
      <c r="AA412" s="727"/>
      <c r="AB412" s="727"/>
      <c r="AC412" s="727"/>
      <c r="AD412" s="727"/>
      <c r="AE412" s="727"/>
      <c r="AF412" s="727"/>
      <c r="AG412" s="727"/>
      <c r="AH412" s="727"/>
      <c r="AI412" s="727"/>
      <c r="AJ412" s="727"/>
      <c r="AK412" s="727"/>
      <c r="AL412" s="727"/>
      <c r="AM412" s="727"/>
      <c r="AN412" s="727"/>
      <c r="AO412" s="727"/>
      <c r="AP412" s="727"/>
      <c r="AQ412" s="729"/>
      <c r="AR412" s="729"/>
      <c r="AS412" s="729"/>
      <c r="AT412" s="729"/>
      <c r="AU412" s="729"/>
      <c r="AV412" s="729"/>
      <c r="AW412" s="729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729"/>
      <c r="BL412" s="729"/>
      <c r="BM412" s="729"/>
      <c r="BN412" s="729"/>
      <c r="BO412" s="729"/>
      <c r="BP412" s="729"/>
      <c r="BQ412" s="19">
        <f t="shared" ca="1" si="13"/>
        <v>0</v>
      </c>
    </row>
    <row r="413" spans="1:74" hidden="1">
      <c r="A413" s="542">
        <f ca="1">SUBTOTAL(9,$BQ$9:BQ413)</f>
        <v>177</v>
      </c>
      <c r="B413" s="543" t="str">
        <f ca="1">IF(IFERROR(SEARCH(";",VLOOKUP(BS410,'АКТЫ скрытых работ'!A:O,11,FALSE),SUM(LEN(B411),LEN(B412))+4),0)&lt;&gt;0,MID(VLOOKUP(BS410,'АКТЫ скрытых работ'!A:O,11,FALSE),SUM(LEN(B411),LEN(B412))+5,SEARCH(";",VLOOKUP(BS410,'АКТЫ скрытых работ'!A:O,11,FALSE),SUM(LEN(B411),LEN(B412))+4)-SUM(LEN(B411),LEN(B412))-5),MID(VLOOKUP(BS410,'АКТЫ скрытых работ'!A:O,11,FALSE),SUM(LEN(B411),LEN(B412))+5,LEN(VLOOKUP(BS410,'АКТЫ скрытых работ'!A:O,11,FALSE))))</f>
        <v/>
      </c>
      <c r="C413" s="730" t="e">
        <f ca="1">IF(B413="Контрольно-исполнительная съемка","б/н",MID(B413,SEARCH("№",B413,1),SEARCH(" ",B413,SEARCH("№",B413,1))-SEARCH("№",B413,1)))</f>
        <v>#VALUE!</v>
      </c>
      <c r="D413" s="731"/>
      <c r="E413" s="731"/>
      <c r="F413" s="731"/>
      <c r="G413" s="731"/>
      <c r="H413" s="731"/>
      <c r="I413" s="731"/>
      <c r="J413" s="731"/>
      <c r="K413" s="731"/>
      <c r="L413" s="731"/>
      <c r="M413" s="731"/>
      <c r="N413" s="731"/>
      <c r="O413" s="731"/>
      <c r="P413" s="731"/>
      <c r="Q413" s="731"/>
      <c r="R413" s="731"/>
      <c r="S413" s="731"/>
      <c r="T413" s="731"/>
      <c r="U413" s="731"/>
      <c r="V413" s="731"/>
      <c r="W413" s="731"/>
      <c r="X413" s="731"/>
      <c r="Y413" s="732"/>
      <c r="Z413" s="727">
        <f ca="1">IFERROR(IF(OR(IFERROR(B413,0)=0,B413=""),0,1),0)</f>
        <v>0</v>
      </c>
      <c r="AA413" s="727"/>
      <c r="AB413" s="727"/>
      <c r="AC413" s="727"/>
      <c r="AD413" s="727"/>
      <c r="AE413" s="727"/>
      <c r="AF413" s="727"/>
      <c r="AG413" s="727"/>
      <c r="AH413" s="727"/>
      <c r="AI413" s="727"/>
      <c r="AJ413" s="727"/>
      <c r="AK413" s="727"/>
      <c r="AL413" s="727"/>
      <c r="AM413" s="727"/>
      <c r="AN413" s="727"/>
      <c r="AO413" s="727"/>
      <c r="AP413" s="727"/>
      <c r="AQ413" s="729"/>
      <c r="AR413" s="729"/>
      <c r="AS413" s="729"/>
      <c r="AT413" s="729"/>
      <c r="AU413" s="729"/>
      <c r="AV413" s="729"/>
      <c r="AW413" s="729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729"/>
      <c r="BL413" s="729"/>
      <c r="BM413" s="729"/>
      <c r="BN413" s="729"/>
      <c r="BO413" s="729"/>
      <c r="BP413" s="729"/>
      <c r="BQ413" s="19">
        <f t="shared" ca="1" si="13"/>
        <v>0</v>
      </c>
      <c r="BV413" s="19" t="str">
        <f>MID(BV397,1,LEN(BV397))</f>
        <v/>
      </c>
    </row>
    <row r="414" spans="1:74" hidden="1">
      <c r="A414" s="542">
        <f ca="1">SUBTOTAL(9,$BQ$9:BQ414)</f>
        <v>177</v>
      </c>
      <c r="B414" s="543" t="str">
        <f ca="1">IF(IFERROR(SEARCH(";",VLOOKUP(BS410,'АКТЫ скрытых работ'!A:O,11,FALSE),SUM(LEN(B411),LEN(B412),LEN(B413))+8),0)&lt;&gt;0,MID(VLOOKUP(BS410,'АКТЫ скрытых работ'!A:O,11,FALSE),SUM(LEN(B411),LEN(B412),LEN(B413))+4,SEARCH(";",VLOOKUP(BS410,'АКТЫ скрытых работ'!A:O,11,FALSE),SUM(LEN(B411),LEN(B412),LEN(B413))+4)-SUM(LEN(B411),LEN(B412),LEN(B413))-6),MID(VLOOKUP(BS410,'АКТЫ скрытых работ'!A:O,11,FALSE),SUM(LEN(B411),LEN(B412),LEN(B413))+7,LEN(VLOOKUP(BS410,'АКТЫ скрытых работ'!A:O,11,FALSE))))</f>
        <v/>
      </c>
      <c r="C414" s="730" t="e">
        <f ca="1">IF(B414="Контрольно-исполнительная съемка","б/н",MID(B414,SEARCH("№",B414,1),SEARCH(" ",B414,SEARCH("№",B414,1))-SEARCH("№",B414,1)))</f>
        <v>#VALUE!</v>
      </c>
      <c r="D414" s="731"/>
      <c r="E414" s="731"/>
      <c r="F414" s="731"/>
      <c r="G414" s="731"/>
      <c r="H414" s="731"/>
      <c r="I414" s="731"/>
      <c r="J414" s="731"/>
      <c r="K414" s="731"/>
      <c r="L414" s="731"/>
      <c r="M414" s="731"/>
      <c r="N414" s="731"/>
      <c r="O414" s="731"/>
      <c r="P414" s="731"/>
      <c r="Q414" s="731"/>
      <c r="R414" s="731"/>
      <c r="S414" s="731"/>
      <c r="T414" s="731"/>
      <c r="U414" s="731"/>
      <c r="V414" s="731"/>
      <c r="W414" s="731"/>
      <c r="X414" s="731"/>
      <c r="Y414" s="732"/>
      <c r="Z414" s="727">
        <f ca="1">IFERROR(IF(OR(IFERROR(B414,0)=0,B414=""),0,1),0)</f>
        <v>0</v>
      </c>
      <c r="AA414" s="727"/>
      <c r="AB414" s="727"/>
      <c r="AC414" s="727"/>
      <c r="AD414" s="727"/>
      <c r="AE414" s="727"/>
      <c r="AF414" s="727"/>
      <c r="AG414" s="727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9"/>
      <c r="AR414" s="729"/>
      <c r="AS414" s="729"/>
      <c r="AT414" s="729"/>
      <c r="AU414" s="729"/>
      <c r="AV414" s="729"/>
      <c r="AW414" s="729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729"/>
      <c r="BL414" s="729"/>
      <c r="BM414" s="729"/>
      <c r="BN414" s="729"/>
      <c r="BO414" s="729"/>
      <c r="BP414" s="729"/>
      <c r="BQ414" s="19">
        <f t="shared" ca="1" si="13"/>
        <v>0</v>
      </c>
    </row>
    <row r="415" spans="1:74" ht="26">
      <c r="A415" s="542">
        <f ca="1">SUBTOTAL(9,$BQ$9:BQ415)</f>
        <v>178</v>
      </c>
      <c r="B415" s="543" t="str">
        <f ca="1">VLOOKUP(BS410,'АКТЫ скрытых работ'!A:O,14,FALSE)</f>
        <v>Паспорт №31/08/22 от 31.08.2022 ООО "ДК "Горизонт"</v>
      </c>
      <c r="C415" s="727" t="str">
        <f ca="1">IF(B415&lt;&gt;"-","б/н","")</f>
        <v>б/н</v>
      </c>
      <c r="D415" s="727"/>
      <c r="E415" s="727"/>
      <c r="F415" s="727"/>
      <c r="G415" s="727"/>
      <c r="H415" s="727"/>
      <c r="I415" s="727"/>
      <c r="J415" s="727"/>
      <c r="K415" s="727"/>
      <c r="L415" s="727"/>
      <c r="M415" s="727"/>
      <c r="N415" s="727"/>
      <c r="O415" s="727"/>
      <c r="P415" s="727"/>
      <c r="Q415" s="727"/>
      <c r="R415" s="727"/>
      <c r="S415" s="727"/>
      <c r="T415" s="727"/>
      <c r="U415" s="727"/>
      <c r="V415" s="727"/>
      <c r="W415" s="727"/>
      <c r="X415" s="727"/>
      <c r="Y415" s="727"/>
      <c r="Z415" s="727" t="str">
        <f ca="1">IFERROR(IF(OR(IFERROR(B415,0)=0,B415="-"),0,"1 компл"),0)</f>
        <v>1 компл</v>
      </c>
      <c r="AA415" s="727"/>
      <c r="AB415" s="727"/>
      <c r="AC415" s="727"/>
      <c r="AD415" s="727"/>
      <c r="AE415" s="727"/>
      <c r="AF415" s="727"/>
      <c r="AG415" s="727"/>
      <c r="AH415" s="727"/>
      <c r="AI415" s="727"/>
      <c r="AJ415" s="727"/>
      <c r="AK415" s="727"/>
      <c r="AL415" s="727"/>
      <c r="AM415" s="727"/>
      <c r="AN415" s="727"/>
      <c r="AO415" s="727"/>
      <c r="AP415" s="727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9"/>
      <c r="BL415" s="729"/>
      <c r="BM415" s="729"/>
      <c r="BN415" s="729"/>
      <c r="BO415" s="729"/>
      <c r="BP415" s="729"/>
      <c r="BQ415" s="19">
        <f t="shared" ca="1" si="13"/>
        <v>1</v>
      </c>
    </row>
    <row r="416" spans="1:74" ht="26">
      <c r="A416" s="542">
        <f ca="1">SUBTOTAL(9,$BQ$9:BQ416)</f>
        <v>179</v>
      </c>
      <c r="B416" s="543" t="str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Акт освидетельствования скрытых работ 'Укладка плитки ПЗК'</v>
      </c>
      <c r="C416" s="727" t="str">
        <f ca="1">CONCATENATE("№",VLOOKUP(BS416,'АКТЫ скрытых работ'!A:O,2,FALSE))</f>
        <v>№8-КЛ0,4</v>
      </c>
      <c r="D416" s="727"/>
      <c r="E416" s="727"/>
      <c r="F416" s="727"/>
      <c r="G416" s="727"/>
      <c r="H416" s="727"/>
      <c r="I416" s="727"/>
      <c r="J416" s="727"/>
      <c r="K416" s="727"/>
      <c r="L416" s="727"/>
      <c r="M416" s="727"/>
      <c r="N416" s="727"/>
      <c r="O416" s="727"/>
      <c r="P416" s="727"/>
      <c r="Q416" s="727"/>
      <c r="R416" s="727"/>
      <c r="S416" s="727"/>
      <c r="T416" s="727"/>
      <c r="U416" s="727"/>
      <c r="V416" s="727"/>
      <c r="W416" s="727"/>
      <c r="X416" s="727"/>
      <c r="Y416" s="727"/>
      <c r="Z416" s="727">
        <f ca="1">IF(BS416="АООК_",0,1)</f>
        <v>1</v>
      </c>
      <c r="AA416" s="727"/>
      <c r="AB416" s="727"/>
      <c r="AC416" s="727"/>
      <c r="AD416" s="727"/>
      <c r="AE416" s="727"/>
      <c r="AF416" s="727"/>
      <c r="AG416" s="727"/>
      <c r="AH416" s="727"/>
      <c r="AI416" s="727"/>
      <c r="AJ416" s="727"/>
      <c r="AK416" s="727"/>
      <c r="AL416" s="727"/>
      <c r="AM416" s="727"/>
      <c r="AN416" s="727"/>
      <c r="AO416" s="727"/>
      <c r="AP416" s="727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729"/>
      <c r="BL416" s="729"/>
      <c r="BM416" s="729"/>
      <c r="BN416" s="729"/>
      <c r="BO416" s="729"/>
      <c r="BP416" s="729"/>
      <c r="BQ416" s="19">
        <f t="shared" ca="1" si="13"/>
        <v>1</v>
      </c>
      <c r="BS416" s="569" t="str">
        <f ca="1">IF(INDIRECT("'АКТЫ скрытых работ'!R"&amp;BU416&amp;"C1",0)=CONCATENATE("АОСР_",BT416),CONCATENATE("АОСР_",BT416),CONCATENATE("АООК_",BT416))</f>
        <v>АОСР_57</v>
      </c>
      <c r="BT416" s="569">
        <v>57</v>
      </c>
      <c r="BU416" s="570">
        <f>BT416+1</f>
        <v>58</v>
      </c>
    </row>
    <row r="417" spans="1:74">
      <c r="A417" s="542">
        <f ca="1">SUBTOTAL(9,$BQ$9:BQ417)</f>
        <v>180</v>
      </c>
      <c r="B417" s="545" t="str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Исполнительная схема №1.8  Укладка плитки ПЗК</v>
      </c>
      <c r="C417" s="730" t="str">
        <f ca="1">IF(B417="Контрольно-исполнительная съемка","б/н",MID(B417,SEARCH("№",B417,1),SEARCH(" ",B417,SEARCH("№",B417,1))-SEARCH("№",B417,1)))</f>
        <v>№1.8</v>
      </c>
      <c r="D417" s="731"/>
      <c r="E417" s="731"/>
      <c r="F417" s="731"/>
      <c r="G417" s="731"/>
      <c r="H417" s="731"/>
      <c r="I417" s="731"/>
      <c r="J417" s="731"/>
      <c r="K417" s="731"/>
      <c r="L417" s="731"/>
      <c r="M417" s="731"/>
      <c r="N417" s="731"/>
      <c r="O417" s="731"/>
      <c r="P417" s="731"/>
      <c r="Q417" s="731"/>
      <c r="R417" s="731"/>
      <c r="S417" s="731"/>
      <c r="T417" s="731"/>
      <c r="U417" s="731"/>
      <c r="V417" s="731"/>
      <c r="W417" s="731"/>
      <c r="X417" s="731"/>
      <c r="Y417" s="732"/>
      <c r="Z417" s="727">
        <f ca="1">IFERROR(IF(OR(IFERROR(B417,0)=0,B417="-"),0,1),0)</f>
        <v>1</v>
      </c>
      <c r="AA417" s="727"/>
      <c r="AB417" s="727"/>
      <c r="AC417" s="727"/>
      <c r="AD417" s="727"/>
      <c r="AE417" s="727"/>
      <c r="AF417" s="727"/>
      <c r="AG417" s="727"/>
      <c r="AH417" s="727"/>
      <c r="AI417" s="727"/>
      <c r="AJ417" s="727"/>
      <c r="AK417" s="727"/>
      <c r="AL417" s="727"/>
      <c r="AM417" s="727"/>
      <c r="AN417" s="727"/>
      <c r="AO417" s="727"/>
      <c r="AP417" s="727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729"/>
      <c r="BL417" s="729"/>
      <c r="BM417" s="729"/>
      <c r="BN417" s="729"/>
      <c r="BO417" s="729"/>
      <c r="BP417" s="729"/>
      <c r="BQ417" s="19">
        <f t="shared" ca="1" si="13"/>
        <v>1</v>
      </c>
    </row>
    <row r="418" spans="1:74" hidden="1">
      <c r="A418" s="542">
        <f ca="1">SUBTOTAL(9,$BQ$9:BQ418)</f>
        <v>180</v>
      </c>
      <c r="B418" s="543" t="str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/>
      </c>
      <c r="C418" s="730" t="e">
        <f ca="1">IF(B418="Контрольно-исполнительная съемка","б/н",MID(B418,SEARCH("№",B418,1),SEARCH(" ",B418,SEARCH("№",B418,1))-SEARCH("№",B418,1)))</f>
        <v>#VALUE!</v>
      </c>
      <c r="D418" s="731"/>
      <c r="E418" s="731"/>
      <c r="F418" s="731"/>
      <c r="G418" s="731"/>
      <c r="H418" s="731"/>
      <c r="I418" s="731"/>
      <c r="J418" s="731"/>
      <c r="K418" s="731"/>
      <c r="L418" s="731"/>
      <c r="M418" s="731"/>
      <c r="N418" s="731"/>
      <c r="O418" s="731"/>
      <c r="P418" s="731"/>
      <c r="Q418" s="731"/>
      <c r="R418" s="731"/>
      <c r="S418" s="731"/>
      <c r="T418" s="731"/>
      <c r="U418" s="731"/>
      <c r="V418" s="731"/>
      <c r="W418" s="731"/>
      <c r="X418" s="731"/>
      <c r="Y418" s="732"/>
      <c r="Z418" s="727">
        <f ca="1">IFERROR(IF(OR(IFERROR(B418,0)=0,B418=""),0,1),0)</f>
        <v>0</v>
      </c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727"/>
      <c r="AL418" s="727"/>
      <c r="AM418" s="727"/>
      <c r="AN418" s="727"/>
      <c r="AO418" s="727"/>
      <c r="AP418" s="727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19">
        <f t="shared" ca="1" si="13"/>
        <v>0</v>
      </c>
    </row>
    <row r="419" spans="1:74" hidden="1">
      <c r="A419" s="542">
        <f ca="1">SUBTOTAL(9,$BQ$9:BQ419)</f>
        <v>180</v>
      </c>
      <c r="B419" s="543" t="str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/>
      </c>
      <c r="C419" s="730" t="e">
        <f ca="1">IF(B419="Контрольно-исполнительная съемка","б/н",MID(B419,SEARCH("№",B419,1),SEARCH(" ",B419,SEARCH("№",B419,1))-SEARCH("№",B419,1)))</f>
        <v>#VALUE!</v>
      </c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731"/>
      <c r="T419" s="731"/>
      <c r="U419" s="731"/>
      <c r="V419" s="731"/>
      <c r="W419" s="731"/>
      <c r="X419" s="731"/>
      <c r="Y419" s="732"/>
      <c r="Z419" s="727">
        <f ca="1">IFERROR(IF(OR(IFERROR(B419,0)=0,B419=""),0,1),0)</f>
        <v>0</v>
      </c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727"/>
      <c r="AL419" s="727"/>
      <c r="AM419" s="727"/>
      <c r="AN419" s="727"/>
      <c r="AO419" s="727"/>
      <c r="AP419" s="727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19">
        <f t="shared" ref="BQ419:BQ427" ca="1" si="14">IF(Z419&gt;0,1,0)</f>
        <v>0</v>
      </c>
      <c r="BV419" s="19" t="str">
        <f>MID(BV403,1,LEN(BV403))</f>
        <v/>
      </c>
    </row>
    <row r="420" spans="1:74" hidden="1">
      <c r="A420" s="542">
        <f ca="1">SUBTOTAL(9,$BQ$9:BQ420)</f>
        <v>180</v>
      </c>
      <c r="B420" s="543" t="str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/>
      </c>
      <c r="C420" s="730" t="e">
        <f ca="1">IF(B420="Контрольно-исполнительная съемка","б/н",MID(B420,SEARCH("№",B420,1),SEARCH(" ",B420,SEARCH("№",B420,1))-SEARCH("№",B420,1)))</f>
        <v>#VALUE!</v>
      </c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731"/>
      <c r="T420" s="731"/>
      <c r="U420" s="731"/>
      <c r="V420" s="731"/>
      <c r="W420" s="731"/>
      <c r="X420" s="731"/>
      <c r="Y420" s="732"/>
      <c r="Z420" s="727">
        <f ca="1">IFERROR(IF(OR(IFERROR(B420,0)=0,B420=""),0,1),0)</f>
        <v>0</v>
      </c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727"/>
      <c r="AL420" s="727"/>
      <c r="AM420" s="727"/>
      <c r="AN420" s="727"/>
      <c r="AO420" s="727"/>
      <c r="AP420" s="727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729"/>
      <c r="BL420" s="729"/>
      <c r="BM420" s="729"/>
      <c r="BN420" s="729"/>
      <c r="BO420" s="729"/>
      <c r="BP420" s="729"/>
      <c r="BQ420" s="19">
        <f t="shared" ca="1" si="14"/>
        <v>0</v>
      </c>
    </row>
    <row r="421" spans="1:74">
      <c r="A421" s="542">
        <f ca="1">SUBTOTAL(9,$BQ$9:BQ421)</f>
        <v>181</v>
      </c>
      <c r="B421" s="543" t="str">
        <f ca="1">VLOOKUP(BS416,'АКТЫ скрытых работ'!A:O,14,FALSE)</f>
        <v>Технический паспорт б/н от 12.03.2021</v>
      </c>
      <c r="C421" s="727" t="str">
        <f ca="1">IF(B421&lt;&gt;"-","б/н","")</f>
        <v>б/н</v>
      </c>
      <c r="D421" s="727"/>
      <c r="E421" s="727"/>
      <c r="F421" s="727"/>
      <c r="G421" s="727"/>
      <c r="H421" s="727"/>
      <c r="I421" s="727"/>
      <c r="J421" s="727"/>
      <c r="K421" s="727"/>
      <c r="L421" s="727"/>
      <c r="M421" s="727"/>
      <c r="N421" s="727"/>
      <c r="O421" s="727"/>
      <c r="P421" s="727"/>
      <c r="Q421" s="727"/>
      <c r="R421" s="727"/>
      <c r="S421" s="727"/>
      <c r="T421" s="727"/>
      <c r="U421" s="727"/>
      <c r="V421" s="727"/>
      <c r="W421" s="727"/>
      <c r="X421" s="727"/>
      <c r="Y421" s="727"/>
      <c r="Z421" s="727" t="str">
        <f ca="1">IFERROR(IF(OR(IFERROR(B421,0)=0,B421="-"),0,"1 компл"),0)</f>
        <v>1 компл</v>
      </c>
      <c r="AA421" s="727"/>
      <c r="AB421" s="727"/>
      <c r="AC421" s="727"/>
      <c r="AD421" s="727"/>
      <c r="AE421" s="727"/>
      <c r="AF421" s="727"/>
      <c r="AG421" s="727"/>
      <c r="AH421" s="727"/>
      <c r="AI421" s="727"/>
      <c r="AJ421" s="727"/>
      <c r="AK421" s="727"/>
      <c r="AL421" s="727"/>
      <c r="AM421" s="727"/>
      <c r="AN421" s="727"/>
      <c r="AO421" s="727"/>
      <c r="AP421" s="727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729"/>
      <c r="BL421" s="729"/>
      <c r="BM421" s="729"/>
      <c r="BN421" s="729"/>
      <c r="BO421" s="729"/>
      <c r="BP421" s="729"/>
      <c r="BQ421" s="19">
        <f t="shared" ca="1" si="14"/>
        <v>1</v>
      </c>
    </row>
    <row r="422" spans="1:74" ht="26">
      <c r="A422" s="542">
        <f ca="1">SUBTOTAL(9,$BQ$9:BQ422)</f>
        <v>182</v>
      </c>
      <c r="B422" s="543" t="str">
        <f ca="1">IF(BS422&lt;&gt;"",IF(MID(BS422,1,4)="АОСР",CONCATENATE("Акт освидетельствования скрытых работ '",VLOOKUP(BS422,'АКТЫ скрытых работ'!A:O,3,FALSE),"'"),CONCATENATE("Акт освидетельствования ответственных конструкций '",VLOOKUP(BS422,'АКТЫ скрытых работ'!A:O,3,FALSE),"'")),0)</f>
        <v>Акт освидетельствования скрытых работ 'Засыпка кабеля песком'</v>
      </c>
      <c r="C422" s="727" t="str">
        <f ca="1">CONCATENATE("№",VLOOKUP(BS422,'АКТЫ скрытых работ'!A:O,2,FALSE))</f>
        <v>№9-КЛ0,4</v>
      </c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727"/>
      <c r="T422" s="727"/>
      <c r="U422" s="727"/>
      <c r="V422" s="727"/>
      <c r="W422" s="727"/>
      <c r="X422" s="727"/>
      <c r="Y422" s="727"/>
      <c r="Z422" s="727">
        <f ca="1">IF(BS422="АООК_",0,1)</f>
        <v>1</v>
      </c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19">
        <f t="shared" ca="1" si="14"/>
        <v>1</v>
      </c>
      <c r="BS422" s="569" t="str">
        <f ca="1">IF(INDIRECT("'АКТЫ скрытых работ'!R"&amp;BU422&amp;"C1",0)=CONCATENATE("АОСР_",BT422),CONCATENATE("АОСР_",BT422),CONCATENATE("АООК_",BT422))</f>
        <v>АОСР_58</v>
      </c>
      <c r="BT422" s="569">
        <v>58</v>
      </c>
      <c r="BU422" s="570">
        <f>BT422+1</f>
        <v>59</v>
      </c>
    </row>
    <row r="423" spans="1:74" ht="26">
      <c r="A423" s="542">
        <f ca="1">SUBTOTAL(9,$BQ$9:BQ423)</f>
        <v>183</v>
      </c>
      <c r="B423" s="545" t="str">
        <f ca="1">IF(IFERROR(SEARCH("; ",VLOOKUP(BS422,'АКТЫ скрытых работ'!A:O,11,FALSE),1),0)=0,VLOOKUP(BS422,'АКТЫ скрытых работ'!A:O,11,FALSE),LEFT(VLOOKUP(BS422,'АКТЫ скрытых работ'!A:O,11,FALSE),SEARCH(";",VLOOKUP(BS422,'АКТЫ скрытых работ'!A:O,11,FALSE))-1))</f>
        <v>Исполнительная схема №1.9 Обратная засыпка траншеи песком</v>
      </c>
      <c r="C423" s="730" t="str">
        <f ca="1">IF(B423="Контрольно-исполнительная съемка","б/н",MID(B423,SEARCH("№",B423,1),SEARCH(" ",B423,SEARCH("№",B423,1))-SEARCH("№",B423,1)))</f>
        <v>№1.9</v>
      </c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731"/>
      <c r="T423" s="731"/>
      <c r="U423" s="731"/>
      <c r="V423" s="731"/>
      <c r="W423" s="731"/>
      <c r="X423" s="731"/>
      <c r="Y423" s="732"/>
      <c r="Z423" s="727">
        <f ca="1">IFERROR(IF(OR(IFERROR(B423,0)=0,B423="-"),0,1),0)</f>
        <v>1</v>
      </c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/>
      <c r="AN423" s="727"/>
      <c r="AO423" s="727"/>
      <c r="AP423" s="727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19">
        <f t="shared" ca="1" si="14"/>
        <v>1</v>
      </c>
    </row>
    <row r="424" spans="1:74" ht="26">
      <c r="A424" s="542">
        <f ca="1">SUBTOTAL(9,$BQ$9:BQ424)</f>
        <v>184</v>
      </c>
      <c r="B424" s="543" t="str">
        <f ca="1">IF(IFERROR(SEARCH(";",VLOOKUP(BS422,'АКТЫ скрытых работ'!A:O,11,FALSE),LEN(B423)+2),0)&lt;&gt;0,MID(VLOOKUP(BS422,'АКТЫ скрытых работ'!A:O,11,FALSE),LEN(B423)+3,SEARCH(";",VLOOKUP(BS422,'АКТЫ скрытых работ'!A:O,11,FALSE),LEN(B423)+3)-LEN(B423)-3),MID(VLOOKUP(BS422,'АКТЫ скрытых работ'!A:O,11,FALSE),LEN(B423)+3,LEN(VLOOKUP(BS422,'АКТЫ скрытых работ'!A:O,11,FALSE))))</f>
        <v>Исполнительная схема №1.10 Обратная засыпка котлованов песком</v>
      </c>
      <c r="C424" s="730" t="str">
        <f ca="1">IF(B424="Контрольно-исполнительная съемка","б/н",MID(B424,SEARCH("№",B424,1),SEARCH(" ",B424,SEARCH("№",B424,1))-SEARCH("№",B424,1)))</f>
        <v>№1.10</v>
      </c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731"/>
      <c r="T424" s="731"/>
      <c r="U424" s="731"/>
      <c r="V424" s="731"/>
      <c r="W424" s="731"/>
      <c r="X424" s="731"/>
      <c r="Y424" s="732"/>
      <c r="Z424" s="727">
        <f ca="1">IFERROR(IF(OR(IFERROR(B424,0)=0,B424=""),0,1),0)</f>
        <v>1</v>
      </c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727"/>
      <c r="AL424" s="727"/>
      <c r="AM424" s="727"/>
      <c r="AN424" s="727"/>
      <c r="AO424" s="727"/>
      <c r="AP424" s="727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729"/>
      <c r="BL424" s="729"/>
      <c r="BM424" s="729"/>
      <c r="BN424" s="729"/>
      <c r="BO424" s="729"/>
      <c r="BP424" s="729"/>
      <c r="BQ424" s="19">
        <f t="shared" ca="1" si="14"/>
        <v>1</v>
      </c>
    </row>
    <row r="425" spans="1:74" ht="26">
      <c r="A425" s="542">
        <f ca="1">SUBTOTAL(9,$BQ$9:BQ425)</f>
        <v>185</v>
      </c>
      <c r="B425" s="543" t="str">
        <f ca="1">IF(IFERROR(SEARCH(";",VLOOKUP(BS422,'АКТЫ скрытых работ'!A:O,11,FALSE),SUM(LEN(B423),LEN(B424))+4),0)&lt;&gt;0,MID(VLOOKUP(BS422,'АКТЫ скрытых работ'!A:O,11,FALSE),SUM(LEN(B423),LEN(B424))+5,SEARCH(";",VLOOKUP(BS422,'АКТЫ скрытых работ'!A:O,11,FALSE),SUM(LEN(B423),LEN(B424))+4)-SUM(LEN(B423),LEN(B424))-5),MID(VLOOKUP(BS422,'АКТЫ скрытых работ'!A:O,11,FALSE),SUM(LEN(B423),LEN(B424))+5,LEN(VLOOKUP(BS422,'АКТЫ скрытых работ'!A:O,11,FALSE))))</f>
        <v>Исполнительная схема №1.11 Обратная засыпка котлованов песком</v>
      </c>
      <c r="C425" s="730" t="str">
        <f ca="1">IF(B425="Контрольно-исполнительная съемка","б/н",MID(B425,SEARCH("№",B425,1),SEARCH(" ",B425,SEARCH("№",B425,1))-SEARCH("№",B425,1)))</f>
        <v>№1.11</v>
      </c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731"/>
      <c r="T425" s="731"/>
      <c r="U425" s="731"/>
      <c r="V425" s="731"/>
      <c r="W425" s="731"/>
      <c r="X425" s="731"/>
      <c r="Y425" s="732"/>
      <c r="Z425" s="727">
        <f ca="1">IFERROR(IF(OR(IFERROR(B425,0)=0,B425=""),0,1),0)</f>
        <v>1</v>
      </c>
      <c r="AA425" s="727"/>
      <c r="AB425" s="727"/>
      <c r="AC425" s="727"/>
      <c r="AD425" s="727"/>
      <c r="AE425" s="727"/>
      <c r="AF425" s="727"/>
      <c r="AG425" s="727"/>
      <c r="AH425" s="727"/>
      <c r="AI425" s="727"/>
      <c r="AJ425" s="727"/>
      <c r="AK425" s="727"/>
      <c r="AL425" s="727"/>
      <c r="AM425" s="727"/>
      <c r="AN425" s="727"/>
      <c r="AO425" s="727"/>
      <c r="AP425" s="727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729"/>
      <c r="BL425" s="729"/>
      <c r="BM425" s="729"/>
      <c r="BN425" s="729"/>
      <c r="BO425" s="729"/>
      <c r="BP425" s="729"/>
      <c r="BQ425" s="19">
        <f t="shared" ca="1" si="14"/>
        <v>1</v>
      </c>
      <c r="BV425" s="19" t="str">
        <f>MID(BV409,1,LEN(BV409))</f>
        <v/>
      </c>
    </row>
    <row r="426" spans="1:74" hidden="1">
      <c r="A426" s="542">
        <f ca="1">SUBTOTAL(9,$BQ$9:BQ426)</f>
        <v>185</v>
      </c>
      <c r="B426" s="543" t="str">
        <f ca="1">IF(IFERROR(SEARCH(";",VLOOKUP(BS422,'АКТЫ скрытых работ'!A:O,11,FALSE),SUM(LEN(B423),LEN(B424),LEN(B425))+8),0)&lt;&gt;0,MID(VLOOKUP(BS422,'АКТЫ скрытых работ'!A:O,11,FALSE),SUM(LEN(B423),LEN(B424),LEN(B425))+4,SEARCH(";",VLOOKUP(BS422,'АКТЫ скрытых работ'!A:O,11,FALSE),SUM(LEN(B423),LEN(B424),LEN(B425))+4)-SUM(LEN(B423),LEN(B424),LEN(B425))-6),MID(VLOOKUP(BS422,'АКТЫ скрытых работ'!A:O,11,FALSE),SUM(LEN(B423),LEN(B424),LEN(B425))+7,LEN(VLOOKUP(BS422,'АКТЫ скрытых работ'!A:O,11,FALSE))))</f>
        <v/>
      </c>
      <c r="C426" s="730" t="e">
        <f ca="1">IF(B426="Контрольно-исполнительная съемка","б/н",MID(B426,SEARCH("№",B426,1),SEARCH(" ",B426,SEARCH("№",B426,1))-SEARCH("№",B426,1)))</f>
        <v>#VALUE!</v>
      </c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31"/>
      <c r="T426" s="731"/>
      <c r="U426" s="731"/>
      <c r="V426" s="731"/>
      <c r="W426" s="731"/>
      <c r="X426" s="731"/>
      <c r="Y426" s="732"/>
      <c r="Z426" s="727">
        <f ca="1">IFERROR(IF(OR(IFERROR(B426,0)=0,B426=""),0,1),0)</f>
        <v>0</v>
      </c>
      <c r="AA426" s="727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729"/>
      <c r="BL426" s="729"/>
      <c r="BM426" s="729"/>
      <c r="BN426" s="729"/>
      <c r="BO426" s="729"/>
      <c r="BP426" s="729"/>
      <c r="BQ426" s="19">
        <f t="shared" ca="1" si="14"/>
        <v>0</v>
      </c>
    </row>
    <row r="427" spans="1:74" ht="26">
      <c r="A427" s="542">
        <f ca="1">SUBTOTAL(9,$BQ$9:BQ427)</f>
        <v>186</v>
      </c>
      <c r="B427" s="543" t="str">
        <f ca="1">VLOOKUP(BS422,'АКТЫ скрытых работ'!A:O,14,FALSE)</f>
        <v>Паспорт №31/08/22 от 31.08.2022 ООО "ДК "Горизонт"</v>
      </c>
      <c r="C427" s="727" t="str">
        <f ca="1">IF(B427&lt;&gt;"-","б/н","")</f>
        <v>б/н</v>
      </c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27"/>
      <c r="T427" s="727"/>
      <c r="U427" s="727"/>
      <c r="V427" s="727"/>
      <c r="W427" s="727"/>
      <c r="X427" s="727"/>
      <c r="Y427" s="727"/>
      <c r="Z427" s="727" t="str">
        <f ca="1">IFERROR(IF(OR(IFERROR(B427,0)=0,B427="-"),0,"1 компл"),0)</f>
        <v>1 компл</v>
      </c>
      <c r="AA427" s="727"/>
      <c r="AB427" s="727"/>
      <c r="AC427" s="727"/>
      <c r="AD427" s="727"/>
      <c r="AE427" s="727"/>
      <c r="AF427" s="727"/>
      <c r="AG427" s="727"/>
      <c r="AH427" s="727"/>
      <c r="AI427" s="727"/>
      <c r="AJ427" s="727"/>
      <c r="AK427" s="727"/>
      <c r="AL427" s="727"/>
      <c r="AM427" s="727"/>
      <c r="AN427" s="727"/>
      <c r="AO427" s="727"/>
      <c r="AP427" s="727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29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19">
        <f t="shared" ca="1" si="14"/>
        <v>1</v>
      </c>
    </row>
    <row r="428" spans="1:74" ht="26">
      <c r="A428" s="542">
        <f ca="1">SUBTOTAL(9,$BQ$9:BQ428)</f>
        <v>187</v>
      </c>
      <c r="B428" s="544" t="s">
        <v>926</v>
      </c>
      <c r="C428" s="741" t="s">
        <v>64</v>
      </c>
      <c r="D428" s="741"/>
      <c r="E428" s="741"/>
      <c r="F428" s="741"/>
      <c r="G428" s="741"/>
      <c r="H428" s="741"/>
      <c r="I428" s="741"/>
      <c r="J428" s="741"/>
      <c r="K428" s="741"/>
      <c r="L428" s="741"/>
      <c r="M428" s="741"/>
      <c r="N428" s="741"/>
      <c r="O428" s="741"/>
      <c r="P428" s="741"/>
      <c r="Q428" s="741"/>
      <c r="R428" s="741"/>
      <c r="S428" s="741"/>
      <c r="T428" s="741"/>
      <c r="U428" s="741"/>
      <c r="V428" s="741"/>
      <c r="W428" s="741"/>
      <c r="X428" s="741"/>
      <c r="Y428" s="741"/>
      <c r="Z428" s="730">
        <v>7</v>
      </c>
      <c r="AA428" s="731"/>
      <c r="AB428" s="731"/>
      <c r="AC428" s="731"/>
      <c r="AD428" s="731"/>
      <c r="AE428" s="731"/>
      <c r="AF428" s="731"/>
      <c r="AG428" s="731"/>
      <c r="AH428" s="731"/>
      <c r="AI428" s="731"/>
      <c r="AJ428" s="731"/>
      <c r="AK428" s="731"/>
      <c r="AL428" s="731"/>
      <c r="AM428" s="731"/>
      <c r="AN428" s="731"/>
      <c r="AO428" s="731"/>
      <c r="AP428" s="732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9"/>
      <c r="BL428" s="729"/>
      <c r="BM428" s="729"/>
      <c r="BN428" s="729"/>
      <c r="BO428" s="729"/>
      <c r="BP428" s="729"/>
      <c r="BQ428" s="19">
        <f>IF(Z428&gt;0,1,0)</f>
        <v>1</v>
      </c>
    </row>
    <row r="429" spans="1:74" ht="26">
      <c r="A429" s="542">
        <f ca="1">SUBTOTAL(9,$BQ$9:BQ429)</f>
        <v>188</v>
      </c>
      <c r="B429" s="544" t="s">
        <v>637</v>
      </c>
      <c r="C429" s="751" t="s">
        <v>967</v>
      </c>
      <c r="D429" s="752"/>
      <c r="E429" s="752"/>
      <c r="F429" s="752"/>
      <c r="G429" s="752"/>
      <c r="H429" s="752"/>
      <c r="I429" s="752"/>
      <c r="J429" s="752"/>
      <c r="K429" s="752"/>
      <c r="L429" s="752"/>
      <c r="M429" s="752"/>
      <c r="N429" s="752"/>
      <c r="O429" s="752"/>
      <c r="P429" s="752"/>
      <c r="Q429" s="752"/>
      <c r="R429" s="752"/>
      <c r="S429" s="752"/>
      <c r="T429" s="752"/>
      <c r="U429" s="752"/>
      <c r="V429" s="752"/>
      <c r="W429" s="752"/>
      <c r="X429" s="752"/>
      <c r="Y429" s="753"/>
      <c r="Z429" s="746">
        <v>5</v>
      </c>
      <c r="AA429" s="747"/>
      <c r="AB429" s="747"/>
      <c r="AC429" s="747"/>
      <c r="AD429" s="747"/>
      <c r="AE429" s="747"/>
      <c r="AF429" s="747"/>
      <c r="AG429" s="747"/>
      <c r="AH429" s="747"/>
      <c r="AI429" s="747"/>
      <c r="AJ429" s="747"/>
      <c r="AK429" s="747"/>
      <c r="AL429" s="747"/>
      <c r="AM429" s="747"/>
      <c r="AN429" s="747"/>
      <c r="AO429" s="747"/>
      <c r="AP429" s="748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729"/>
      <c r="BL429" s="729"/>
      <c r="BM429" s="729"/>
      <c r="BN429" s="729"/>
      <c r="BO429" s="729"/>
      <c r="BP429" s="729"/>
      <c r="BQ429" s="19">
        <v>1</v>
      </c>
    </row>
    <row r="430" spans="1:74" ht="39">
      <c r="A430" s="542">
        <f ca="1">SUBTOTAL(9,$BQ$9:BQ430)</f>
        <v>189</v>
      </c>
      <c r="B430" s="543" t="s">
        <v>927</v>
      </c>
      <c r="C430" s="754" t="str">
        <f>ПОДПИСИ!F10</f>
        <v xml:space="preserve"> </v>
      </c>
      <c r="D430" s="754"/>
      <c r="E430" s="754"/>
      <c r="F430" s="754"/>
      <c r="G430" s="754"/>
      <c r="H430" s="754"/>
      <c r="I430" s="754"/>
      <c r="J430" s="754"/>
      <c r="K430" s="754"/>
      <c r="L430" s="754"/>
      <c r="M430" s="754"/>
      <c r="N430" s="754"/>
      <c r="O430" s="754"/>
      <c r="P430" s="754"/>
      <c r="Q430" s="754"/>
      <c r="R430" s="754"/>
      <c r="S430" s="754"/>
      <c r="T430" s="754"/>
      <c r="U430" s="754"/>
      <c r="V430" s="754"/>
      <c r="W430" s="754"/>
      <c r="X430" s="754"/>
      <c r="Y430" s="754"/>
      <c r="Z430" s="743" t="s">
        <v>473</v>
      </c>
      <c r="AA430" s="744"/>
      <c r="AB430" s="744"/>
      <c r="AC430" s="744"/>
      <c r="AD430" s="744"/>
      <c r="AE430" s="744"/>
      <c r="AF430" s="744"/>
      <c r="AG430" s="744"/>
      <c r="AH430" s="744"/>
      <c r="AI430" s="744"/>
      <c r="AJ430" s="744"/>
      <c r="AK430" s="744"/>
      <c r="AL430" s="744"/>
      <c r="AM430" s="744"/>
      <c r="AN430" s="744"/>
      <c r="AO430" s="744"/>
      <c r="AP430" s="745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729"/>
      <c r="BL430" s="729"/>
      <c r="BM430" s="729"/>
      <c r="BN430" s="729"/>
      <c r="BO430" s="729"/>
      <c r="BP430" s="729"/>
      <c r="BQ430" s="19">
        <f>IF($BS$7=TRUE,1,0)</f>
        <v>1</v>
      </c>
    </row>
    <row r="431" spans="1:74" ht="39">
      <c r="A431" s="542">
        <f ca="1">SUBTOTAL(9,$BQ$9:BQ431)</f>
        <v>190</v>
      </c>
      <c r="B431" s="544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431" s="742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431" s="742"/>
      <c r="E431" s="742"/>
      <c r="F431" s="742"/>
      <c r="G431" s="742"/>
      <c r="H431" s="742"/>
      <c r="I431" s="742"/>
      <c r="J431" s="742"/>
      <c r="K431" s="742"/>
      <c r="L431" s="742"/>
      <c r="M431" s="742"/>
      <c r="N431" s="742"/>
      <c r="O431" s="742"/>
      <c r="P431" s="742"/>
      <c r="Q431" s="742"/>
      <c r="R431" s="742"/>
      <c r="S431" s="742"/>
      <c r="T431" s="742"/>
      <c r="U431" s="742"/>
      <c r="V431" s="742"/>
      <c r="W431" s="742"/>
      <c r="X431" s="742"/>
      <c r="Y431" s="742"/>
      <c r="Z431" s="743" t="s">
        <v>473</v>
      </c>
      <c r="AA431" s="744"/>
      <c r="AB431" s="744"/>
      <c r="AC431" s="744"/>
      <c r="AD431" s="744"/>
      <c r="AE431" s="744"/>
      <c r="AF431" s="744"/>
      <c r="AG431" s="744"/>
      <c r="AH431" s="744"/>
      <c r="AI431" s="744"/>
      <c r="AJ431" s="744"/>
      <c r="AK431" s="744"/>
      <c r="AL431" s="744"/>
      <c r="AM431" s="744"/>
      <c r="AN431" s="744"/>
      <c r="AO431" s="744"/>
      <c r="AP431" s="745"/>
      <c r="AQ431" s="728"/>
      <c r="AR431" s="728"/>
      <c r="AS431" s="728"/>
      <c r="AT431" s="728"/>
      <c r="AU431" s="728"/>
      <c r="AV431" s="728"/>
      <c r="AW431" s="728"/>
      <c r="AX431" s="728"/>
      <c r="AY431" s="728"/>
      <c r="AZ431" s="728"/>
      <c r="BA431" s="728"/>
      <c r="BB431" s="728"/>
      <c r="BC431" s="728"/>
      <c r="BD431" s="728"/>
      <c r="BE431" s="728"/>
      <c r="BF431" s="728"/>
      <c r="BG431" s="728"/>
      <c r="BH431" s="728"/>
      <c r="BI431" s="728"/>
      <c r="BJ431" s="728"/>
      <c r="BK431" s="728"/>
      <c r="BL431" s="728"/>
      <c r="BM431" s="728"/>
      <c r="BN431" s="728"/>
      <c r="BO431" s="728"/>
      <c r="BP431" s="728"/>
      <c r="BQ431" s="19">
        <v>1</v>
      </c>
    </row>
    <row r="432" spans="1:74" ht="26">
      <c r="A432" s="542">
        <f ca="1">SUBTOTAL(9,$BQ$9:BQ432)</f>
        <v>191</v>
      </c>
      <c r="B432" s="543" t="s">
        <v>928</v>
      </c>
      <c r="C432" s="733" t="s">
        <v>65</v>
      </c>
      <c r="D432" s="733"/>
      <c r="E432" s="733"/>
      <c r="F432" s="733"/>
      <c r="G432" s="733"/>
      <c r="H432" s="733"/>
      <c r="I432" s="733"/>
      <c r="J432" s="733"/>
      <c r="K432" s="733"/>
      <c r="L432" s="733"/>
      <c r="M432" s="733"/>
      <c r="N432" s="733"/>
      <c r="O432" s="733"/>
      <c r="P432" s="733"/>
      <c r="Q432" s="733"/>
      <c r="R432" s="733"/>
      <c r="S432" s="733"/>
      <c r="T432" s="733"/>
      <c r="U432" s="733"/>
      <c r="V432" s="733"/>
      <c r="W432" s="733"/>
      <c r="X432" s="733"/>
      <c r="Y432" s="733"/>
      <c r="Z432" s="746" t="s">
        <v>473</v>
      </c>
      <c r="AA432" s="747"/>
      <c r="AB432" s="747"/>
      <c r="AC432" s="747"/>
      <c r="AD432" s="747"/>
      <c r="AE432" s="747"/>
      <c r="AF432" s="747"/>
      <c r="AG432" s="747"/>
      <c r="AH432" s="747"/>
      <c r="AI432" s="747"/>
      <c r="AJ432" s="747"/>
      <c r="AK432" s="747"/>
      <c r="AL432" s="747"/>
      <c r="AM432" s="747"/>
      <c r="AN432" s="747"/>
      <c r="AO432" s="747"/>
      <c r="AP432" s="748"/>
      <c r="AQ432" s="728"/>
      <c r="AR432" s="728"/>
      <c r="AS432" s="728"/>
      <c r="AT432" s="728"/>
      <c r="AU432" s="728"/>
      <c r="AV432" s="728"/>
      <c r="AW432" s="728"/>
      <c r="AX432" s="728"/>
      <c r="AY432" s="728"/>
      <c r="AZ432" s="728"/>
      <c r="BA432" s="728"/>
      <c r="BB432" s="728"/>
      <c r="BC432" s="728"/>
      <c r="BD432" s="728"/>
      <c r="BE432" s="728"/>
      <c r="BF432" s="728"/>
      <c r="BG432" s="728"/>
      <c r="BH432" s="728"/>
      <c r="BI432" s="728"/>
      <c r="BJ432" s="728"/>
      <c r="BK432" s="728"/>
      <c r="BL432" s="728"/>
      <c r="BM432" s="728"/>
      <c r="BN432" s="728"/>
      <c r="BO432" s="728"/>
      <c r="BP432" s="728"/>
      <c r="BQ432" s="19">
        <f t="shared" ref="BQ432:BQ438" si="15">IF($BS$7=TRUE,1,0)</f>
        <v>1</v>
      </c>
    </row>
    <row r="433" spans="1:69">
      <c r="A433" s="542">
        <f ca="1">SUBTOTAL(9,$BQ$9:BQ433)</f>
        <v>192</v>
      </c>
      <c r="B433" s="543" t="s">
        <v>929</v>
      </c>
      <c r="C433" s="733" t="s">
        <v>332</v>
      </c>
      <c r="D433" s="733"/>
      <c r="E433" s="733"/>
      <c r="F433" s="733"/>
      <c r="G433" s="733"/>
      <c r="H433" s="733"/>
      <c r="I433" s="733"/>
      <c r="J433" s="733"/>
      <c r="K433" s="733"/>
      <c r="L433" s="733"/>
      <c r="M433" s="733"/>
      <c r="N433" s="733"/>
      <c r="O433" s="733"/>
      <c r="P433" s="733"/>
      <c r="Q433" s="733"/>
      <c r="R433" s="733"/>
      <c r="S433" s="733"/>
      <c r="T433" s="733"/>
      <c r="U433" s="733"/>
      <c r="V433" s="733"/>
      <c r="W433" s="733"/>
      <c r="X433" s="733"/>
      <c r="Y433" s="733"/>
      <c r="Z433" s="746" t="s">
        <v>930</v>
      </c>
      <c r="AA433" s="747"/>
      <c r="AB433" s="747"/>
      <c r="AC433" s="747"/>
      <c r="AD433" s="747"/>
      <c r="AE433" s="747"/>
      <c r="AF433" s="747"/>
      <c r="AG433" s="747"/>
      <c r="AH433" s="747"/>
      <c r="AI433" s="747"/>
      <c r="AJ433" s="747"/>
      <c r="AK433" s="747"/>
      <c r="AL433" s="747"/>
      <c r="AM433" s="747"/>
      <c r="AN433" s="747"/>
      <c r="AO433" s="747"/>
      <c r="AP433" s="748"/>
      <c r="AQ433" s="728"/>
      <c r="AR433" s="728"/>
      <c r="AS433" s="728"/>
      <c r="AT433" s="728"/>
      <c r="AU433" s="728"/>
      <c r="AV433" s="728"/>
      <c r="AW433" s="728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728"/>
      <c r="BL433" s="728"/>
      <c r="BM433" s="728"/>
      <c r="BN433" s="728"/>
      <c r="BO433" s="728"/>
      <c r="BP433" s="728"/>
      <c r="BQ433" s="19">
        <f t="shared" si="15"/>
        <v>1</v>
      </c>
    </row>
    <row r="434" spans="1:69">
      <c r="A434" s="542">
        <f ca="1">SUBTOTAL(9,$BQ$9:BQ434)</f>
        <v>193</v>
      </c>
      <c r="B434" s="543" t="s">
        <v>931</v>
      </c>
      <c r="C434" s="733" t="s">
        <v>332</v>
      </c>
      <c r="D434" s="733"/>
      <c r="E434" s="733"/>
      <c r="F434" s="733"/>
      <c r="G434" s="733"/>
      <c r="H434" s="733"/>
      <c r="I434" s="733"/>
      <c r="J434" s="733"/>
      <c r="K434" s="733"/>
      <c r="L434" s="733"/>
      <c r="M434" s="733"/>
      <c r="N434" s="733"/>
      <c r="O434" s="733"/>
      <c r="P434" s="733"/>
      <c r="Q434" s="733"/>
      <c r="R434" s="733"/>
      <c r="S434" s="733"/>
      <c r="T434" s="733"/>
      <c r="U434" s="733"/>
      <c r="V434" s="733"/>
      <c r="W434" s="733"/>
      <c r="X434" s="733"/>
      <c r="Y434" s="733"/>
      <c r="Z434" s="746" t="s">
        <v>930</v>
      </c>
      <c r="AA434" s="747"/>
      <c r="AB434" s="747"/>
      <c r="AC434" s="747"/>
      <c r="AD434" s="747"/>
      <c r="AE434" s="747"/>
      <c r="AF434" s="747"/>
      <c r="AG434" s="747"/>
      <c r="AH434" s="747"/>
      <c r="AI434" s="747"/>
      <c r="AJ434" s="747"/>
      <c r="AK434" s="747"/>
      <c r="AL434" s="747"/>
      <c r="AM434" s="747"/>
      <c r="AN434" s="747"/>
      <c r="AO434" s="747"/>
      <c r="AP434" s="748"/>
      <c r="AQ434" s="728"/>
      <c r="AR434" s="728"/>
      <c r="AS434" s="728"/>
      <c r="AT434" s="728"/>
      <c r="AU434" s="728"/>
      <c r="AV434" s="728"/>
      <c r="AW434" s="728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728"/>
      <c r="BL434" s="728"/>
      <c r="BM434" s="728"/>
      <c r="BN434" s="728"/>
      <c r="BO434" s="728"/>
      <c r="BP434" s="728"/>
      <c r="BQ434" s="19">
        <f t="shared" si="15"/>
        <v>1</v>
      </c>
    </row>
    <row r="435" spans="1:69">
      <c r="A435" s="542">
        <f ca="1">SUBTOTAL(9,$BQ$9:BQ435)</f>
        <v>194</v>
      </c>
      <c r="B435" s="543" t="s">
        <v>1177</v>
      </c>
      <c r="C435" s="733" t="s">
        <v>332</v>
      </c>
      <c r="D435" s="733"/>
      <c r="E435" s="733"/>
      <c r="F435" s="733"/>
      <c r="G435" s="733"/>
      <c r="H435" s="733"/>
      <c r="I435" s="733"/>
      <c r="J435" s="733"/>
      <c r="K435" s="733"/>
      <c r="L435" s="733"/>
      <c r="M435" s="733"/>
      <c r="N435" s="733"/>
      <c r="O435" s="733"/>
      <c r="P435" s="733"/>
      <c r="Q435" s="733"/>
      <c r="R435" s="733"/>
      <c r="S435" s="733"/>
      <c r="T435" s="733"/>
      <c r="U435" s="733"/>
      <c r="V435" s="733"/>
      <c r="W435" s="733"/>
      <c r="X435" s="733"/>
      <c r="Y435" s="733"/>
      <c r="Z435" s="746" t="s">
        <v>930</v>
      </c>
      <c r="AA435" s="747"/>
      <c r="AB435" s="747"/>
      <c r="AC435" s="747"/>
      <c r="AD435" s="747"/>
      <c r="AE435" s="747"/>
      <c r="AF435" s="747"/>
      <c r="AG435" s="747"/>
      <c r="AH435" s="747"/>
      <c r="AI435" s="747"/>
      <c r="AJ435" s="747"/>
      <c r="AK435" s="747"/>
      <c r="AL435" s="747"/>
      <c r="AM435" s="747"/>
      <c r="AN435" s="747"/>
      <c r="AO435" s="747"/>
      <c r="AP435" s="748"/>
      <c r="AQ435" s="728"/>
      <c r="AR435" s="728"/>
      <c r="AS435" s="728"/>
      <c r="AT435" s="728"/>
      <c r="AU435" s="728"/>
      <c r="AV435" s="728"/>
      <c r="AW435" s="728"/>
      <c r="AX435" s="728"/>
      <c r="AY435" s="728"/>
      <c r="AZ435" s="728"/>
      <c r="BA435" s="728"/>
      <c r="BB435" s="728"/>
      <c r="BC435" s="728"/>
      <c r="BD435" s="728"/>
      <c r="BE435" s="728"/>
      <c r="BF435" s="728"/>
      <c r="BG435" s="728"/>
      <c r="BH435" s="728"/>
      <c r="BI435" s="728"/>
      <c r="BJ435" s="728"/>
      <c r="BK435" s="728"/>
      <c r="BL435" s="728"/>
      <c r="BM435" s="728"/>
      <c r="BN435" s="728"/>
      <c r="BO435" s="728"/>
      <c r="BP435" s="728"/>
      <c r="BQ435" s="19">
        <f t="shared" si="15"/>
        <v>1</v>
      </c>
    </row>
    <row r="436" spans="1:69" ht="39">
      <c r="A436" s="542">
        <f ca="1">SUBTOTAL(9,$BQ$9:BQ436)</f>
        <v>195</v>
      </c>
      <c r="B436" s="543" t="s">
        <v>932</v>
      </c>
      <c r="C436" s="733" t="s">
        <v>332</v>
      </c>
      <c r="D436" s="733"/>
      <c r="E436" s="733"/>
      <c r="F436" s="733"/>
      <c r="G436" s="733"/>
      <c r="H436" s="733"/>
      <c r="I436" s="733"/>
      <c r="J436" s="733"/>
      <c r="K436" s="733"/>
      <c r="L436" s="733"/>
      <c r="M436" s="733"/>
      <c r="N436" s="733"/>
      <c r="O436" s="733"/>
      <c r="P436" s="733"/>
      <c r="Q436" s="733"/>
      <c r="R436" s="733"/>
      <c r="S436" s="733"/>
      <c r="T436" s="733"/>
      <c r="U436" s="733"/>
      <c r="V436" s="733"/>
      <c r="W436" s="733"/>
      <c r="X436" s="733"/>
      <c r="Y436" s="733"/>
      <c r="Z436" s="746" t="s">
        <v>930</v>
      </c>
      <c r="AA436" s="747"/>
      <c r="AB436" s="747"/>
      <c r="AC436" s="747"/>
      <c r="AD436" s="747"/>
      <c r="AE436" s="747"/>
      <c r="AF436" s="747"/>
      <c r="AG436" s="747"/>
      <c r="AH436" s="747"/>
      <c r="AI436" s="747"/>
      <c r="AJ436" s="747"/>
      <c r="AK436" s="747"/>
      <c r="AL436" s="747"/>
      <c r="AM436" s="747"/>
      <c r="AN436" s="747"/>
      <c r="AO436" s="747"/>
      <c r="AP436" s="74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728"/>
      <c r="BL436" s="728"/>
      <c r="BM436" s="728"/>
      <c r="BN436" s="728"/>
      <c r="BO436" s="728"/>
      <c r="BP436" s="728"/>
      <c r="BQ436" s="19">
        <f t="shared" si="15"/>
        <v>1</v>
      </c>
    </row>
    <row r="437" spans="1:69">
      <c r="A437" s="542">
        <f ca="1">SUBTOTAL(9,$BQ$9:BQ437)</f>
        <v>196</v>
      </c>
      <c r="B437" s="543" t="s">
        <v>933</v>
      </c>
      <c r="C437" s="733"/>
      <c r="D437" s="733"/>
      <c r="E437" s="733"/>
      <c r="F437" s="733"/>
      <c r="G437" s="733"/>
      <c r="H437" s="733"/>
      <c r="I437" s="733"/>
      <c r="J437" s="733"/>
      <c r="K437" s="733"/>
      <c r="L437" s="733"/>
      <c r="M437" s="733"/>
      <c r="N437" s="733"/>
      <c r="O437" s="733"/>
      <c r="P437" s="733"/>
      <c r="Q437" s="733"/>
      <c r="R437" s="733"/>
      <c r="S437" s="733"/>
      <c r="T437" s="733"/>
      <c r="U437" s="733"/>
      <c r="V437" s="733"/>
      <c r="W437" s="733"/>
      <c r="X437" s="733"/>
      <c r="Y437" s="733"/>
      <c r="Z437" s="746" t="s">
        <v>1176</v>
      </c>
      <c r="AA437" s="747"/>
      <c r="AB437" s="747"/>
      <c r="AC437" s="747"/>
      <c r="AD437" s="747"/>
      <c r="AE437" s="747"/>
      <c r="AF437" s="747"/>
      <c r="AG437" s="747"/>
      <c r="AH437" s="747"/>
      <c r="AI437" s="747"/>
      <c r="AJ437" s="747"/>
      <c r="AK437" s="747"/>
      <c r="AL437" s="747"/>
      <c r="AM437" s="747"/>
      <c r="AN437" s="747"/>
      <c r="AO437" s="747"/>
      <c r="AP437" s="74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728"/>
      <c r="BL437" s="728"/>
      <c r="BM437" s="728"/>
      <c r="BN437" s="728"/>
      <c r="BO437" s="728"/>
      <c r="BP437" s="728"/>
      <c r="BQ437" s="19">
        <f t="shared" si="15"/>
        <v>1</v>
      </c>
    </row>
    <row r="438" spans="1:69" ht="26">
      <c r="A438" s="542">
        <f ca="1">SUBTOTAL(9,$BQ$9:BQ438)</f>
        <v>197</v>
      </c>
      <c r="B438" s="543" t="s">
        <v>934</v>
      </c>
      <c r="C438" s="733" t="s">
        <v>332</v>
      </c>
      <c r="D438" s="733"/>
      <c r="E438" s="733"/>
      <c r="F438" s="733"/>
      <c r="G438" s="733"/>
      <c r="H438" s="733"/>
      <c r="I438" s="733"/>
      <c r="J438" s="733"/>
      <c r="K438" s="733"/>
      <c r="L438" s="733"/>
      <c r="M438" s="733"/>
      <c r="N438" s="733"/>
      <c r="O438" s="733"/>
      <c r="P438" s="733"/>
      <c r="Q438" s="733"/>
      <c r="R438" s="733"/>
      <c r="S438" s="733"/>
      <c r="T438" s="733"/>
      <c r="U438" s="733"/>
      <c r="V438" s="733"/>
      <c r="W438" s="733"/>
      <c r="X438" s="733"/>
      <c r="Y438" s="733"/>
      <c r="Z438" s="746" t="s">
        <v>930</v>
      </c>
      <c r="AA438" s="747"/>
      <c r="AB438" s="747"/>
      <c r="AC438" s="747"/>
      <c r="AD438" s="747"/>
      <c r="AE438" s="747"/>
      <c r="AF438" s="747"/>
      <c r="AG438" s="747"/>
      <c r="AH438" s="747"/>
      <c r="AI438" s="747"/>
      <c r="AJ438" s="747"/>
      <c r="AK438" s="747"/>
      <c r="AL438" s="747"/>
      <c r="AM438" s="747"/>
      <c r="AN438" s="747"/>
      <c r="AO438" s="747"/>
      <c r="AP438" s="74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728"/>
      <c r="BL438" s="728"/>
      <c r="BM438" s="728"/>
      <c r="BN438" s="728"/>
      <c r="BO438" s="728"/>
      <c r="BP438" s="728"/>
      <c r="BQ438" s="19">
        <f t="shared" si="15"/>
        <v>1</v>
      </c>
    </row>
    <row r="439" spans="1:69" ht="46.9" customHeight="1">
      <c r="A439" s="755" t="s">
        <v>477</v>
      </c>
      <c r="B439" s="755"/>
      <c r="C439" s="383"/>
      <c r="D439" s="756" t="str">
        <f>ПОДПИСИ!B12</f>
        <v xml:space="preserve">Производитель работ ООО«БЭСК» </v>
      </c>
      <c r="E439" s="756"/>
      <c r="F439" s="756"/>
      <c r="G439" s="756"/>
      <c r="H439" s="756"/>
      <c r="I439" s="756"/>
      <c r="J439" s="756"/>
      <c r="K439" s="756"/>
      <c r="L439" s="756"/>
      <c r="M439" s="756"/>
      <c r="N439" s="756"/>
      <c r="O439" s="756"/>
      <c r="P439" s="756"/>
      <c r="Q439" s="756"/>
      <c r="R439" s="756"/>
      <c r="S439" s="756"/>
      <c r="T439" s="756"/>
      <c r="U439" s="756"/>
      <c r="V439" s="756"/>
      <c r="W439" s="756"/>
      <c r="X439" s="756"/>
      <c r="Y439" s="756"/>
      <c r="AC439" s="757"/>
      <c r="AD439" s="757"/>
      <c r="AE439" s="757"/>
      <c r="AF439" s="757"/>
      <c r="AG439" s="757"/>
      <c r="AH439" s="757"/>
      <c r="AI439" s="757"/>
      <c r="AJ439" s="757"/>
      <c r="AK439" s="757"/>
      <c r="AL439" s="757"/>
      <c r="AM439" s="757"/>
      <c r="AN439" s="757"/>
      <c r="AO439" s="757"/>
      <c r="AP439" s="757"/>
      <c r="AQ439" s="757"/>
      <c r="AR439" s="757"/>
      <c r="AS439" s="757"/>
      <c r="AT439" s="757"/>
      <c r="AW439" s="758" t="str">
        <f>ПОДПИСИ!E12</f>
        <v>А.Р. Махмадов</v>
      </c>
      <c r="AX439" s="758"/>
      <c r="AY439" s="758"/>
      <c r="AZ439" s="758"/>
      <c r="BA439" s="758"/>
      <c r="BB439" s="758"/>
      <c r="BC439" s="758"/>
      <c r="BD439" s="758"/>
      <c r="BE439" s="758"/>
      <c r="BF439" s="758"/>
      <c r="BG439" s="758"/>
      <c r="BH439" s="758"/>
      <c r="BI439" s="758"/>
      <c r="BJ439" s="758"/>
      <c r="BK439" s="758"/>
      <c r="BL439" s="758"/>
      <c r="BM439" s="758"/>
      <c r="BN439" s="758"/>
      <c r="BO439" s="758"/>
      <c r="BP439" s="758"/>
    </row>
    <row r="440" spans="1:69" s="225" customFormat="1" ht="9">
      <c r="A440" s="384"/>
      <c r="C440" s="385"/>
      <c r="D440" s="749" t="s">
        <v>48</v>
      </c>
      <c r="E440" s="749"/>
      <c r="F440" s="749"/>
      <c r="G440" s="749"/>
      <c r="H440" s="749"/>
      <c r="I440" s="749"/>
      <c r="J440" s="749"/>
      <c r="K440" s="749"/>
      <c r="L440" s="749"/>
      <c r="M440" s="749"/>
      <c r="N440" s="749"/>
      <c r="O440" s="749"/>
      <c r="P440" s="749"/>
      <c r="Q440" s="749"/>
      <c r="R440" s="749"/>
      <c r="S440" s="749"/>
      <c r="T440" s="749"/>
      <c r="U440" s="749"/>
      <c r="V440" s="749"/>
      <c r="W440" s="749"/>
      <c r="X440" s="749"/>
      <c r="Y440" s="749"/>
      <c r="Z440" s="227"/>
      <c r="AA440" s="227"/>
      <c r="AB440" s="227"/>
      <c r="AC440" s="750" t="s">
        <v>49</v>
      </c>
      <c r="AD440" s="750"/>
      <c r="AE440" s="750"/>
      <c r="AF440" s="750"/>
      <c r="AG440" s="750"/>
      <c r="AH440" s="750"/>
      <c r="AI440" s="750"/>
      <c r="AJ440" s="750"/>
      <c r="AK440" s="750"/>
      <c r="AL440" s="750"/>
      <c r="AM440" s="750"/>
      <c r="AN440" s="750"/>
      <c r="AO440" s="750"/>
      <c r="AP440" s="750"/>
      <c r="AQ440" s="750"/>
      <c r="AR440" s="750"/>
      <c r="AS440" s="750"/>
      <c r="AT440" s="750"/>
      <c r="AU440" s="227"/>
      <c r="AV440" s="227"/>
      <c r="AW440" s="749" t="s">
        <v>50</v>
      </c>
      <c r="AX440" s="749"/>
      <c r="AY440" s="749"/>
      <c r="AZ440" s="749"/>
      <c r="BA440" s="749"/>
      <c r="BB440" s="749"/>
      <c r="BC440" s="749"/>
      <c r="BD440" s="749"/>
      <c r="BE440" s="749"/>
      <c r="BF440" s="749"/>
      <c r="BG440" s="749"/>
      <c r="BH440" s="749"/>
      <c r="BI440" s="749"/>
      <c r="BJ440" s="749"/>
      <c r="BK440" s="749"/>
      <c r="BL440" s="749"/>
      <c r="BM440" s="749"/>
      <c r="BN440" s="749"/>
      <c r="BO440" s="749"/>
      <c r="BP440" s="749"/>
    </row>
  </sheetData>
  <autoFilter ref="A9:BS44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304"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16:Y416"/>
    <mergeCell ref="Z416:AP416"/>
    <mergeCell ref="AQ416:BP416"/>
    <mergeCell ref="C417:Y417"/>
    <mergeCell ref="Z417:AP417"/>
    <mergeCell ref="AQ417:BP417"/>
    <mergeCell ref="C418:Y418"/>
    <mergeCell ref="Z418:AP418"/>
    <mergeCell ref="AQ418:BP418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0:Y410"/>
    <mergeCell ref="Z410:AP410"/>
    <mergeCell ref="AQ410:BP410"/>
    <mergeCell ref="C411:Y411"/>
    <mergeCell ref="Z411:AP411"/>
    <mergeCell ref="AQ411:BP411"/>
    <mergeCell ref="C412:Y412"/>
    <mergeCell ref="Z412:AP412"/>
    <mergeCell ref="AQ412:BP412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04:Y404"/>
    <mergeCell ref="Z404:AP404"/>
    <mergeCell ref="AQ404:BP404"/>
    <mergeCell ref="C405:Y405"/>
    <mergeCell ref="Z405:AP405"/>
    <mergeCell ref="AQ405:BP405"/>
    <mergeCell ref="C406:Y406"/>
    <mergeCell ref="Z406:AP406"/>
    <mergeCell ref="AQ406:BP406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35:Y335"/>
    <mergeCell ref="Z335:AP335"/>
    <mergeCell ref="AQ335:BP335"/>
    <mergeCell ref="C336:Y336"/>
    <mergeCell ref="Z336:AP336"/>
    <mergeCell ref="AQ336:BP336"/>
    <mergeCell ref="C337:Y337"/>
    <mergeCell ref="Z337:AP337"/>
    <mergeCell ref="AQ337:BP337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20:Y320"/>
    <mergeCell ref="Z320:AP320"/>
    <mergeCell ref="AQ320:BP320"/>
    <mergeCell ref="C321:Y321"/>
    <mergeCell ref="Z321:AP321"/>
    <mergeCell ref="AQ321:BP321"/>
    <mergeCell ref="C322:Y322"/>
    <mergeCell ref="Z322:AP322"/>
    <mergeCell ref="AQ322:BP322"/>
    <mergeCell ref="C314:Y314"/>
    <mergeCell ref="Z314:AP314"/>
    <mergeCell ref="AQ314:BP314"/>
    <mergeCell ref="BR314:BR319"/>
    <mergeCell ref="C315:Y315"/>
    <mergeCell ref="Z315:AP315"/>
    <mergeCell ref="AQ315:BP315"/>
    <mergeCell ref="C316:Y316"/>
    <mergeCell ref="Z316:AP316"/>
    <mergeCell ref="AQ316:BP316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6:Y236"/>
    <mergeCell ref="Z236:AP236"/>
    <mergeCell ref="AQ236:BP236"/>
    <mergeCell ref="BR236:BR241"/>
    <mergeCell ref="C237:Y237"/>
    <mergeCell ref="Z237:AP237"/>
    <mergeCell ref="AQ237:BP237"/>
    <mergeCell ref="C238:Y238"/>
    <mergeCell ref="Z238:AP238"/>
    <mergeCell ref="AQ238:BP238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58:Y158"/>
    <mergeCell ref="Z158:AP158"/>
    <mergeCell ref="AQ158:BP158"/>
    <mergeCell ref="BR158:BR163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A439:B439"/>
    <mergeCell ref="D439:Y439"/>
    <mergeCell ref="AC439:AT439"/>
    <mergeCell ref="AW439:BP43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AQ143:BP143"/>
    <mergeCell ref="D440:Y440"/>
    <mergeCell ref="AC440:AT440"/>
    <mergeCell ref="AW440:BP440"/>
    <mergeCell ref="C133:Y133"/>
    <mergeCell ref="Z133:AP133"/>
    <mergeCell ref="AQ133:BP133"/>
    <mergeCell ref="C438:Y438"/>
    <mergeCell ref="Z438:AP438"/>
    <mergeCell ref="AQ438:BP438"/>
    <mergeCell ref="AQ434:BP434"/>
    <mergeCell ref="C436:Y436"/>
    <mergeCell ref="Z436:AP436"/>
    <mergeCell ref="AQ436:BP436"/>
    <mergeCell ref="C433:Y433"/>
    <mergeCell ref="Z433:AP433"/>
    <mergeCell ref="C429:Y429"/>
    <mergeCell ref="Z429:AP429"/>
    <mergeCell ref="AQ429:BP429"/>
    <mergeCell ref="C430:Y430"/>
    <mergeCell ref="Z430:AP430"/>
    <mergeCell ref="AQ430:BP430"/>
    <mergeCell ref="C139:Y139"/>
    <mergeCell ref="Z139:AP139"/>
    <mergeCell ref="AQ139:BP139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437:Y437"/>
    <mergeCell ref="Z437:AP437"/>
    <mergeCell ref="AQ437:BP437"/>
    <mergeCell ref="C434:Y434"/>
    <mergeCell ref="Z434:AP434"/>
    <mergeCell ref="AQ432:BP432"/>
    <mergeCell ref="AQ433:BP433"/>
    <mergeCell ref="C432:Y432"/>
    <mergeCell ref="Z432:AP432"/>
    <mergeCell ref="C435:Y435"/>
    <mergeCell ref="Z435:AP435"/>
    <mergeCell ref="AQ435:BP435"/>
    <mergeCell ref="C428:Y428"/>
    <mergeCell ref="Z428:AP428"/>
    <mergeCell ref="AQ428:BP428"/>
    <mergeCell ref="C431:Y431"/>
    <mergeCell ref="Z431:AP431"/>
    <mergeCell ref="AQ431:BP431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Z135:AP135"/>
    <mergeCell ref="AQ135:BP135"/>
    <mergeCell ref="C140:Y140"/>
    <mergeCell ref="Z140:AP140"/>
    <mergeCell ref="AQ140:BP140"/>
    <mergeCell ref="C141:Y141"/>
    <mergeCell ref="Z141:AP141"/>
    <mergeCell ref="AQ141:BP141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45:Y45"/>
    <mergeCell ref="Z45:AP45"/>
    <mergeCell ref="AQ45:BP45"/>
    <mergeCell ref="C49:Y49"/>
    <mergeCell ref="Z49:AP49"/>
    <mergeCell ref="AQ49:BP49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</mergeCells>
  <conditionalFormatting sqref="AA4">
    <cfRule type="cellIs" dxfId="16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9"/>
  <sheetViews>
    <sheetView view="pageBreakPreview" zoomScale="60" zoomScaleNormal="100" workbookViewId="0">
      <selection sqref="A1:C1"/>
    </sheetView>
  </sheetViews>
  <sheetFormatPr defaultRowHeight="14.5" outlineLevelRow="1"/>
  <cols>
    <col min="1" max="106" width="0.81640625" customWidth="1"/>
    <col min="108" max="108" width="14.26953125" customWidth="1"/>
    <col min="109" max="110" width="15.7265625" customWidth="1"/>
    <col min="111" max="111" width="0" hidden="1" customWidth="1"/>
    <col min="112" max="112" width="47.8164062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19"/>
      <c r="AU2" s="19"/>
      <c r="AV2" s="19"/>
      <c r="AW2" s="19"/>
      <c r="AX2" s="19"/>
      <c r="AY2" s="19"/>
      <c r="AZ2" s="19"/>
      <c r="BA2" s="19"/>
      <c r="BB2" s="758" t="str">
        <f>ФОРМА!G2</f>
        <v>Санкт-Петербург</v>
      </c>
      <c r="BC2" s="758"/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H2" s="142"/>
    </row>
    <row r="3" spans="1:112" s="2" customFormat="1" ht="12" customHeight="1" outlineLevel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21"/>
      <c r="AU3" s="21"/>
      <c r="AV3" s="21"/>
      <c r="AW3" s="21"/>
      <c r="AX3" s="21"/>
      <c r="AY3" s="21"/>
      <c r="AZ3" s="21"/>
      <c r="BA3" s="21"/>
      <c r="BB3" s="770" t="s">
        <v>0</v>
      </c>
      <c r="BC3" s="770"/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outlineLevel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19"/>
      <c r="AU4" s="19"/>
      <c r="AV4" s="19"/>
      <c r="AW4" s="19"/>
      <c r="AX4" s="19"/>
      <c r="AY4" s="19"/>
      <c r="AZ4" s="19"/>
      <c r="BA4" s="19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 outlineLevel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21"/>
      <c r="AU5" s="21"/>
      <c r="AV5" s="21"/>
      <c r="AW5" s="21"/>
      <c r="AX5" s="21"/>
      <c r="AY5" s="21"/>
      <c r="AZ5" s="21"/>
      <c r="BA5" s="21"/>
      <c r="BB5" s="770" t="s">
        <v>2</v>
      </c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35" customHeight="1" outlineLevel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21"/>
      <c r="AU6" s="21"/>
      <c r="AV6" s="21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21"/>
      <c r="AU7" s="21"/>
      <c r="AV7" s="21"/>
      <c r="AW7" s="21"/>
      <c r="AX7" s="21"/>
      <c r="AY7" s="21"/>
      <c r="AZ7" s="21"/>
      <c r="BA7" s="21"/>
      <c r="BB7" s="770" t="s">
        <v>38</v>
      </c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outlineLevel="1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19"/>
      <c r="AU8" s="19"/>
      <c r="AV8" s="19"/>
      <c r="AW8" s="19"/>
      <c r="AX8" s="19"/>
      <c r="AY8" s="19"/>
      <c r="AZ8" s="19"/>
      <c r="BA8" s="19"/>
      <c r="BB8" s="735">
        <f>ФОРМА!B13</f>
        <v>45625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 outlineLevel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21"/>
      <c r="AU9" s="21"/>
      <c r="AV9" s="21"/>
      <c r="AW9" s="21"/>
      <c r="AX9" s="21"/>
      <c r="AY9" s="21"/>
      <c r="AZ9" s="21"/>
      <c r="BA9" s="21"/>
      <c r="BB9" s="770" t="s">
        <v>3</v>
      </c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42" customHeight="1">
      <c r="A10" s="737" t="s">
        <v>479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38"/>
      <c r="O10" s="738"/>
      <c r="P10" s="738"/>
      <c r="Q10" s="738"/>
      <c r="R10" s="738"/>
      <c r="S10" s="738"/>
      <c r="T10" s="738"/>
      <c r="U10" s="738"/>
      <c r="V10" s="738"/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38"/>
      <c r="AT10" s="738"/>
      <c r="AU10" s="738"/>
      <c r="AV10" s="738"/>
      <c r="AW10" s="738"/>
      <c r="AX10" s="738"/>
      <c r="AY10" s="738"/>
      <c r="AZ10" s="738"/>
      <c r="BA10" s="738"/>
      <c r="BB10" s="738"/>
      <c r="BC10" s="738"/>
      <c r="BD10" s="738"/>
      <c r="BE10" s="738"/>
      <c r="BF10" s="738"/>
      <c r="BG10" s="738"/>
      <c r="BH10" s="738"/>
      <c r="BI10" s="738"/>
      <c r="BJ10" s="738"/>
      <c r="BK10" s="738"/>
      <c r="BL10" s="738"/>
      <c r="BM10" s="738"/>
      <c r="BN10" s="738"/>
      <c r="BO10" s="738"/>
      <c r="BP10" s="738"/>
      <c r="BQ10" s="738"/>
      <c r="BR10" s="738"/>
      <c r="BS10" s="738"/>
      <c r="BT10" s="738"/>
      <c r="BU10" s="738"/>
      <c r="BV10" s="738"/>
      <c r="BW10" s="738"/>
      <c r="BX10" s="738"/>
      <c r="BY10" s="738"/>
      <c r="BZ10" s="738"/>
      <c r="CA10" s="738"/>
      <c r="CB10" s="738"/>
      <c r="CC10" s="738"/>
      <c r="CD10" s="738"/>
      <c r="CE10" s="738"/>
      <c r="CF10" s="738"/>
      <c r="CG10" s="738"/>
      <c r="CH10" s="738"/>
      <c r="CI10" s="738"/>
      <c r="CJ10" s="738"/>
      <c r="CK10" s="738"/>
      <c r="CL10" s="738"/>
      <c r="CM10" s="738"/>
      <c r="CN10" s="738"/>
      <c r="CO10" s="738"/>
      <c r="CP10" s="738"/>
      <c r="CQ10" s="738"/>
      <c r="CR10" s="738"/>
      <c r="CS10" s="738"/>
      <c r="CT10" s="738"/>
      <c r="CU10" s="738"/>
      <c r="CV10" s="738"/>
      <c r="CW10" s="738"/>
      <c r="CX10" s="738"/>
      <c r="CY10" s="738"/>
      <c r="CZ10" s="738"/>
      <c r="DA10" s="738"/>
      <c r="DB10" s="738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62" t="str">
        <f>ПОДПИСИ!B4</f>
        <v>Начальник Курортного РЭС филиала ПАО "Россети Ленэнерго" "СЭС"</v>
      </c>
      <c r="AE12" s="762"/>
      <c r="AF12" s="762"/>
      <c r="AG12" s="762"/>
      <c r="AH12" s="762"/>
      <c r="AI12" s="762"/>
      <c r="AJ12" s="762"/>
      <c r="AK12" s="762"/>
      <c r="AL12" s="762"/>
      <c r="AM12" s="762"/>
      <c r="AN12" s="762"/>
      <c r="AO12" s="762"/>
      <c r="AP12" s="762"/>
      <c r="AQ12" s="762"/>
      <c r="AR12" s="762"/>
      <c r="AS12" s="762"/>
      <c r="AT12" s="762"/>
      <c r="AU12" s="762"/>
      <c r="AV12" s="762"/>
      <c r="AW12" s="762"/>
      <c r="AX12" s="762"/>
      <c r="AY12" s="762"/>
      <c r="AZ12" s="762"/>
      <c r="BA12" s="762"/>
      <c r="BB12" s="762"/>
      <c r="BC12" s="762"/>
      <c r="BD12" s="762"/>
      <c r="BE12" s="762"/>
      <c r="BF12" s="762"/>
      <c r="BG12" s="762"/>
      <c r="BH12" s="762"/>
      <c r="BI12" s="762"/>
      <c r="BJ12" s="762"/>
      <c r="BK12" s="762"/>
      <c r="BL12" s="762"/>
      <c r="BM12" s="762"/>
      <c r="BN12" s="762"/>
      <c r="BO12" s="762"/>
      <c r="BP12" s="762"/>
      <c r="BQ12" s="762"/>
      <c r="BR12" s="762"/>
      <c r="BS12" s="762"/>
      <c r="BT12" s="762"/>
      <c r="BU12" s="762"/>
      <c r="BV12" s="762"/>
      <c r="BW12" s="762"/>
      <c r="BX12" s="762"/>
      <c r="BY12" s="762"/>
      <c r="BZ12" s="762"/>
      <c r="CA12" s="762"/>
      <c r="CB12" s="762"/>
      <c r="CC12" s="762"/>
      <c r="CD12" s="762"/>
      <c r="CE12" s="762"/>
      <c r="CF12" s="762"/>
      <c r="CG12" s="762"/>
      <c r="CH12" s="762"/>
      <c r="CI12" s="762"/>
      <c r="CJ12" s="762"/>
      <c r="CK12" s="762"/>
      <c r="CL12" s="762"/>
      <c r="CM12" s="762"/>
      <c r="CN12" s="762"/>
      <c r="CO12" s="762"/>
      <c r="CP12" s="762"/>
      <c r="CQ12" s="762"/>
      <c r="CR12" s="762"/>
      <c r="CS12" s="762"/>
      <c r="CT12" s="762"/>
      <c r="CU12" s="762"/>
      <c r="CV12" s="762"/>
      <c r="CW12" s="762"/>
      <c r="CX12" s="762"/>
      <c r="CY12" s="762"/>
      <c r="CZ12" s="762"/>
      <c r="DA12" s="762"/>
      <c r="DB12" s="762"/>
    </row>
    <row r="13" spans="1:112" ht="11.1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36" t="s">
        <v>5</v>
      </c>
      <c r="AE13" s="736"/>
      <c r="AF13" s="736"/>
      <c r="AG13" s="736"/>
      <c r="AH13" s="736"/>
      <c r="AI13" s="736"/>
      <c r="AJ13" s="736"/>
      <c r="AK13" s="736"/>
      <c r="AL13" s="736"/>
      <c r="AM13" s="736"/>
      <c r="AN13" s="736"/>
      <c r="AO13" s="736"/>
      <c r="AP13" s="736"/>
      <c r="AQ13" s="736"/>
      <c r="AR13" s="736"/>
      <c r="AS13" s="736"/>
      <c r="AT13" s="736"/>
      <c r="AU13" s="736"/>
      <c r="AV13" s="736"/>
      <c r="AW13" s="736"/>
      <c r="AX13" s="736"/>
      <c r="AY13" s="736"/>
      <c r="AZ13" s="736"/>
      <c r="BA13" s="736"/>
      <c r="BB13" s="736"/>
      <c r="BC13" s="736"/>
      <c r="BD13" s="736"/>
      <c r="BE13" s="736"/>
      <c r="BF13" s="736"/>
      <c r="BG13" s="736"/>
      <c r="BH13" s="736"/>
      <c r="BI13" s="736"/>
      <c r="BJ13" s="736"/>
      <c r="BK13" s="736"/>
      <c r="BL13" s="736"/>
      <c r="BM13" s="736"/>
      <c r="BN13" s="736"/>
      <c r="BO13" s="736"/>
      <c r="BP13" s="736"/>
      <c r="BQ13" s="736"/>
      <c r="BR13" s="736"/>
      <c r="BS13" s="736"/>
      <c r="BT13" s="736"/>
      <c r="BU13" s="736"/>
      <c r="BV13" s="736"/>
      <c r="BW13" s="736"/>
      <c r="BX13" s="736"/>
      <c r="BY13" s="736"/>
      <c r="BZ13" s="736"/>
      <c r="CA13" s="736"/>
      <c r="CB13" s="736"/>
      <c r="CC13" s="736"/>
      <c r="CD13" s="736"/>
      <c r="CE13" s="736"/>
      <c r="CF13" s="736"/>
      <c r="CG13" s="736"/>
      <c r="CH13" s="736"/>
      <c r="CI13" s="736"/>
      <c r="CJ13" s="736"/>
      <c r="CK13" s="736"/>
      <c r="CL13" s="736"/>
      <c r="CM13" s="736"/>
      <c r="CN13" s="736"/>
      <c r="CO13" s="736"/>
      <c r="CP13" s="736"/>
      <c r="CQ13" s="736"/>
      <c r="CR13" s="736"/>
      <c r="CS13" s="736"/>
      <c r="CT13" s="736"/>
      <c r="CU13" s="736"/>
      <c r="CV13" s="736"/>
      <c r="CW13" s="736"/>
      <c r="CX13" s="736"/>
      <c r="CY13" s="736"/>
      <c r="CZ13" s="736"/>
      <c r="DA13" s="736"/>
      <c r="DB13" s="736"/>
    </row>
    <row r="14" spans="1:112">
      <c r="A14" s="759" t="str">
        <f>ПОДПИСИ!C4</f>
        <v>Алексеев С.В.</v>
      </c>
      <c r="B14" s="759"/>
      <c r="C14" s="759"/>
      <c r="D14" s="759"/>
      <c r="E14" s="759"/>
      <c r="F14" s="759"/>
      <c r="G14" s="759"/>
      <c r="H14" s="759"/>
      <c r="I14" s="759"/>
      <c r="J14" s="759"/>
      <c r="K14" s="759"/>
      <c r="L14" s="759"/>
      <c r="M14" s="759"/>
      <c r="N14" s="759"/>
      <c r="O14" s="759"/>
      <c r="P14" s="759"/>
      <c r="Q14" s="759"/>
      <c r="R14" s="759"/>
      <c r="S14" s="759"/>
      <c r="T14" s="759"/>
      <c r="U14" s="759"/>
      <c r="V14" s="759"/>
      <c r="W14" s="759"/>
      <c r="X14" s="759"/>
      <c r="Y14" s="759"/>
      <c r="Z14" s="759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11.15" customHeight="1">
      <c r="A15" s="736"/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62" t="str">
        <f>ПОДПИСИ!B2</f>
        <v xml:space="preserve">Заместитель генерального директора ООО «БЭСК» </v>
      </c>
      <c r="AU16" s="762"/>
      <c r="AV16" s="762"/>
      <c r="AW16" s="762"/>
      <c r="AX16" s="762"/>
      <c r="AY16" s="762"/>
      <c r="AZ16" s="762"/>
      <c r="BA16" s="762"/>
      <c r="BB16" s="762"/>
      <c r="BC16" s="762"/>
      <c r="BD16" s="762"/>
      <c r="BE16" s="762"/>
      <c r="BF16" s="762"/>
      <c r="BG16" s="762"/>
      <c r="BH16" s="762"/>
      <c r="BI16" s="762"/>
      <c r="BJ16" s="762"/>
      <c r="BK16" s="762"/>
      <c r="BL16" s="762"/>
      <c r="BM16" s="762"/>
      <c r="BN16" s="762"/>
      <c r="BO16" s="762"/>
      <c r="BP16" s="762"/>
      <c r="BQ16" s="762"/>
      <c r="BR16" s="762"/>
      <c r="BS16" s="762"/>
      <c r="BT16" s="762"/>
      <c r="BU16" s="762"/>
      <c r="BV16" s="762"/>
      <c r="BW16" s="762"/>
      <c r="BX16" s="762"/>
      <c r="BY16" s="762"/>
      <c r="BZ16" s="762"/>
      <c r="CA16" s="762"/>
      <c r="CB16" s="762"/>
      <c r="CC16" s="762"/>
      <c r="CD16" s="762"/>
      <c r="CE16" s="762"/>
      <c r="CF16" s="762"/>
      <c r="CG16" s="762"/>
      <c r="CH16" s="762"/>
      <c r="CI16" s="762"/>
      <c r="CJ16" s="762"/>
      <c r="CK16" s="762"/>
      <c r="CL16" s="762"/>
      <c r="CM16" s="762"/>
      <c r="CN16" s="762"/>
      <c r="CO16" s="762"/>
      <c r="CP16" s="762"/>
      <c r="CQ16" s="762"/>
      <c r="CR16" s="762"/>
      <c r="CS16" s="762"/>
      <c r="CT16" s="762"/>
      <c r="CU16" s="762"/>
      <c r="CV16" s="762"/>
      <c r="CW16" s="762"/>
      <c r="CX16" s="762"/>
      <c r="CY16" s="762"/>
      <c r="CZ16" s="762"/>
      <c r="DA16" s="762"/>
      <c r="DB16" s="762"/>
    </row>
    <row r="17" spans="1:112" ht="11.1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36" t="s">
        <v>5</v>
      </c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12">
      <c r="A18" s="759" t="str">
        <f>ПОДПИСИ!C2</f>
        <v>Матвеев А.С.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59" t="str">
        <f>ПОДПИСИ!B12</f>
        <v xml:space="preserve">Производитель работ ООО«БЭСК» </v>
      </c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759"/>
      <c r="BS20" s="759"/>
      <c r="BT20" s="759"/>
      <c r="BU20" s="759"/>
      <c r="BV20" s="759"/>
      <c r="BW20" s="759"/>
      <c r="BX20" s="759"/>
      <c r="BY20" s="759"/>
      <c r="BZ20" s="759"/>
      <c r="CA20" s="759"/>
      <c r="CB20" s="759"/>
      <c r="CC20" s="759"/>
      <c r="CD20" s="759"/>
      <c r="CE20" s="759"/>
      <c r="CF20" s="759"/>
      <c r="CG20" s="759"/>
      <c r="CH20" s="759"/>
      <c r="CI20" s="759"/>
      <c r="CJ20" s="759"/>
      <c r="CK20" s="759"/>
      <c r="CL20" s="759"/>
      <c r="CM20" s="759"/>
      <c r="CN20" s="759"/>
      <c r="CO20" s="759"/>
      <c r="CP20" s="759"/>
      <c r="CQ20" s="759"/>
      <c r="CR20" s="759"/>
      <c r="CS20" s="759"/>
      <c r="CT20" s="759"/>
      <c r="CU20" s="759"/>
      <c r="CV20" s="759"/>
      <c r="CW20" s="759"/>
      <c r="CX20" s="759"/>
      <c r="CY20" s="759"/>
      <c r="CZ20" s="759"/>
      <c r="DA20" s="759"/>
      <c r="DB20" s="759"/>
    </row>
    <row r="21" spans="1:112" ht="11.1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36" t="s">
        <v>5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>
      <c r="A22" s="759" t="str">
        <f>ПОДПИСИ!C12</f>
        <v>Махмадов А.Р.</v>
      </c>
      <c r="B22" s="759"/>
      <c r="C22" s="759"/>
      <c r="D22" s="759"/>
      <c r="E22" s="759"/>
      <c r="F22" s="759"/>
      <c r="G22" s="759"/>
      <c r="H22" s="759"/>
      <c r="I22" s="759"/>
      <c r="J22" s="759"/>
      <c r="K22" s="759"/>
      <c r="L22" s="759"/>
      <c r="M22" s="759"/>
      <c r="N22" s="759"/>
      <c r="O22" s="759"/>
      <c r="P22" s="759"/>
      <c r="Q22" s="759"/>
      <c r="R22" s="759"/>
      <c r="S22" s="759"/>
      <c r="T22" s="759"/>
      <c r="U22" s="759"/>
      <c r="V22" s="759"/>
      <c r="W22" s="759"/>
      <c r="X22" s="759"/>
      <c r="Y22" s="759"/>
      <c r="Z22" s="759"/>
      <c r="AA22" s="759"/>
      <c r="AB22" s="759"/>
      <c r="AC22" s="759"/>
      <c r="AD22" s="759"/>
      <c r="AE22" s="759"/>
      <c r="AF22" s="759"/>
      <c r="AG22" s="759"/>
      <c r="AH22" s="759"/>
      <c r="AI22" s="759"/>
      <c r="AJ22" s="759"/>
      <c r="AK22" s="759"/>
      <c r="AL22" s="759"/>
      <c r="AM22" s="759"/>
      <c r="AN22" s="759"/>
      <c r="AO22" s="759"/>
      <c r="AP22" s="759"/>
      <c r="AQ22" s="759"/>
      <c r="AR22" s="759"/>
      <c r="AS22" s="759"/>
      <c r="AT22" s="759"/>
      <c r="AU22" s="759"/>
      <c r="AV22" s="759"/>
      <c r="AW22" s="759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  <c r="BT22" s="759"/>
      <c r="BU22" s="759"/>
      <c r="BV22" s="759"/>
      <c r="BW22" s="759"/>
      <c r="BX22" s="759"/>
      <c r="BY22" s="759"/>
      <c r="BZ22" s="759"/>
      <c r="CA22" s="759"/>
      <c r="CB22" s="759"/>
      <c r="CC22" s="759"/>
      <c r="CD22" s="759"/>
      <c r="CE22" s="759"/>
      <c r="CF22" s="759"/>
      <c r="CG22" s="759"/>
      <c r="CH22" s="759"/>
      <c r="CI22" s="759"/>
      <c r="CJ22" s="759"/>
      <c r="CK22" s="759"/>
      <c r="CL22" s="759"/>
      <c r="CM22" s="759"/>
      <c r="CN22" s="759"/>
      <c r="CO22" s="759"/>
      <c r="CP22" s="759"/>
      <c r="CQ22" s="759"/>
      <c r="CR22" s="759"/>
      <c r="CS22" s="759"/>
      <c r="CT22" s="759"/>
      <c r="CU22" s="759"/>
      <c r="CV22" s="759"/>
      <c r="CW22" s="759"/>
      <c r="CX22" s="759"/>
      <c r="CY22" s="759"/>
      <c r="CZ22" s="759"/>
      <c r="DA22" s="759"/>
      <c r="DB22" s="759"/>
    </row>
    <row r="23" spans="1:112">
      <c r="A23" s="736"/>
      <c r="B23" s="736"/>
      <c r="C23" s="736"/>
      <c r="D23" s="736"/>
      <c r="E23" s="736"/>
      <c r="F23" s="736"/>
      <c r="G23" s="736"/>
      <c r="H23" s="736"/>
      <c r="I23" s="736"/>
      <c r="J23" s="736"/>
      <c r="K23" s="736"/>
      <c r="L23" s="736"/>
      <c r="M23" s="736"/>
      <c r="N23" s="736"/>
      <c r="O23" s="736"/>
      <c r="P23" s="736"/>
      <c r="Q23" s="736"/>
      <c r="R23" s="736"/>
      <c r="S23" s="736"/>
      <c r="T23" s="736"/>
      <c r="U23" s="736"/>
      <c r="V23" s="736"/>
      <c r="W23" s="736"/>
      <c r="X23" s="736"/>
      <c r="Y23" s="736"/>
      <c r="Z23" s="736"/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</row>
    <row r="24" spans="1:112">
      <c r="A24" s="764" t="s">
        <v>6</v>
      </c>
      <c r="B24" s="764"/>
      <c r="C24" s="764"/>
      <c r="D24" s="764"/>
      <c r="E24" s="764"/>
      <c r="F24" s="764"/>
      <c r="G24" s="764"/>
      <c r="H24" s="764"/>
      <c r="I24" s="764"/>
      <c r="J24" s="764"/>
      <c r="K24" s="764"/>
      <c r="L24" s="764"/>
      <c r="M24" s="764"/>
      <c r="N24" s="764"/>
      <c r="O24" s="764"/>
      <c r="P24" s="764"/>
      <c r="Q24" s="764"/>
      <c r="R24" s="764"/>
      <c r="S24" s="764"/>
      <c r="T24" s="764"/>
      <c r="U24" s="764"/>
      <c r="V24" s="764"/>
      <c r="W24" s="764"/>
      <c r="X24" s="764"/>
      <c r="Y24" s="764"/>
      <c r="Z24" s="764"/>
      <c r="AA24" s="764"/>
      <c r="AB24" s="764"/>
      <c r="AC24" s="764"/>
      <c r="AD24" s="764"/>
      <c r="AE24" s="764"/>
      <c r="AF24" s="764"/>
      <c r="AG24" s="764"/>
      <c r="AH24" s="764"/>
      <c r="AI24" s="764"/>
      <c r="AJ24" s="764"/>
      <c r="AK24" s="764"/>
      <c r="AL24" s="764"/>
      <c r="AM24" s="764"/>
      <c r="AN24" s="764"/>
      <c r="AO24" s="764"/>
      <c r="AP24" s="764"/>
      <c r="AQ24" s="764"/>
      <c r="AR24" s="764"/>
      <c r="AS24" s="764"/>
      <c r="AT24" s="764"/>
      <c r="AU24" s="764"/>
      <c r="AV24" s="764"/>
      <c r="AW24" s="764"/>
      <c r="AX24" s="764"/>
      <c r="AY24" s="764"/>
      <c r="AZ24" s="764"/>
      <c r="BA24" s="764"/>
      <c r="BB24" s="764"/>
      <c r="BC24" s="764"/>
      <c r="BD24" s="764"/>
      <c r="BE24" s="764"/>
      <c r="BF24" s="764"/>
      <c r="BG24" s="764"/>
      <c r="BH24" s="764"/>
      <c r="BI24" s="764"/>
      <c r="BJ24" s="764"/>
      <c r="BK24" s="764"/>
      <c r="BL24" s="764"/>
      <c r="BM24" s="764"/>
      <c r="BN24" s="764"/>
      <c r="BO24" s="764"/>
      <c r="BP24" s="764"/>
      <c r="BQ24" s="764"/>
      <c r="BR24" s="764"/>
      <c r="BS24" s="764"/>
      <c r="BT24" s="764"/>
      <c r="BU24" s="764"/>
      <c r="BV24" s="764"/>
      <c r="BW24" s="764"/>
      <c r="BX24" s="764"/>
      <c r="BY24" s="764"/>
      <c r="BZ24" s="764"/>
      <c r="CA24" s="764"/>
      <c r="CB24" s="764"/>
      <c r="CC24" s="764"/>
      <c r="CD24" s="764"/>
      <c r="CE24" s="764"/>
      <c r="CF24" s="764"/>
      <c r="CG24" s="764"/>
      <c r="CH24" s="764"/>
      <c r="CI24" s="764"/>
      <c r="CJ24" s="764"/>
      <c r="CK24" s="764"/>
      <c r="CL24" s="764"/>
      <c r="CM24" s="764"/>
      <c r="CN24" s="764"/>
      <c r="CO24" s="764"/>
      <c r="CP24" s="764"/>
      <c r="CQ24" s="764"/>
      <c r="CR24" s="764"/>
      <c r="CS24" s="764"/>
      <c r="CT24" s="764"/>
      <c r="CU24" s="764"/>
      <c r="CV24" s="764"/>
      <c r="CW24" s="764"/>
      <c r="CX24" s="764"/>
      <c r="CY24" s="764"/>
      <c r="CZ24" s="764"/>
      <c r="DA24" s="764"/>
      <c r="DB24" s="764"/>
      <c r="DD24" s="18"/>
      <c r="DE24" s="17"/>
      <c r="DF24" s="17"/>
    </row>
    <row r="25" spans="1:112" s="1" customFormat="1" ht="11.1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58" t="str">
        <f>ФОРМА!B4</f>
        <v>ООО «БЭСК»</v>
      </c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758"/>
      <c r="BA26" s="758"/>
      <c r="BB26" s="758"/>
      <c r="BC26" s="758"/>
      <c r="BD26" s="758"/>
      <c r="BE26" s="758"/>
      <c r="BF26" s="758"/>
      <c r="BG26" s="758"/>
      <c r="BH26" s="758"/>
      <c r="BI26" s="758"/>
      <c r="BJ26" s="758"/>
      <c r="BK26" s="758"/>
      <c r="BL26" s="758"/>
      <c r="BM26" s="758"/>
      <c r="BN26" s="758"/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  <c r="DD26" s="18"/>
      <c r="DE26" s="17"/>
      <c r="DF26" s="17"/>
    </row>
    <row r="27" spans="1:112" ht="11.15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36" t="s">
        <v>8</v>
      </c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6"/>
      <c r="AR27" s="736"/>
      <c r="AS27" s="736"/>
      <c r="AT27" s="736"/>
      <c r="AU27" s="736"/>
      <c r="AV27" s="736"/>
      <c r="AW27" s="736"/>
      <c r="AX27" s="736"/>
      <c r="AY27" s="736"/>
      <c r="AZ27" s="736"/>
      <c r="BA27" s="736"/>
      <c r="BB27" s="736"/>
      <c r="BC27" s="736"/>
      <c r="BD27" s="736"/>
      <c r="BE27" s="736"/>
      <c r="BF27" s="736"/>
      <c r="BG27" s="736"/>
      <c r="BH27" s="736"/>
      <c r="BI27" s="736"/>
      <c r="BJ27" s="736"/>
      <c r="BK27" s="736"/>
      <c r="BL27" s="736"/>
      <c r="BM27" s="736"/>
      <c r="BN27" s="736"/>
      <c r="BO27" s="736"/>
      <c r="BP27" s="736"/>
      <c r="BQ27" s="736"/>
      <c r="BR27" s="736"/>
      <c r="BS27" s="736"/>
      <c r="BT27" s="736"/>
      <c r="BU27" s="736"/>
      <c r="BV27" s="736"/>
      <c r="BW27" s="736"/>
      <c r="BX27" s="736"/>
      <c r="BY27" s="736"/>
      <c r="BZ27" s="736"/>
      <c r="CA27" s="736"/>
      <c r="CB27" s="736"/>
      <c r="CC27" s="736"/>
      <c r="CD27" s="736"/>
      <c r="CE27" s="736"/>
      <c r="CF27" s="736"/>
      <c r="CG27" s="736"/>
      <c r="CH27" s="736"/>
      <c r="CI27" s="736"/>
      <c r="CJ27" s="736"/>
      <c r="CK27" s="736"/>
      <c r="CL27" s="736"/>
      <c r="CM27" s="736"/>
      <c r="CN27" s="736"/>
      <c r="CO27" s="736"/>
      <c r="CP27" s="736"/>
      <c r="CQ27" s="736"/>
      <c r="CR27" s="736"/>
      <c r="CS27" s="736"/>
      <c r="CT27" s="736"/>
      <c r="CU27" s="736"/>
      <c r="CV27" s="736"/>
      <c r="CW27" s="736"/>
      <c r="CX27" s="736"/>
      <c r="CY27" s="736"/>
      <c r="CZ27" s="736"/>
      <c r="DA27" s="736"/>
      <c r="DB27" s="736"/>
      <c r="DD27" s="18"/>
      <c r="DE27" s="17"/>
      <c r="DF27" s="17"/>
    </row>
    <row r="28" spans="1:112" ht="20.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64" t="s">
        <v>98</v>
      </c>
      <c r="B30" s="764"/>
      <c r="C30" s="764"/>
      <c r="D30" s="764"/>
      <c r="E30" s="764"/>
      <c r="F30" s="764"/>
      <c r="G30" s="764"/>
      <c r="H30" s="764"/>
      <c r="I30" s="764"/>
      <c r="J30" s="764"/>
      <c r="K30" s="764"/>
      <c r="L30" s="764"/>
      <c r="M30" s="764"/>
      <c r="N30" s="764"/>
      <c r="O30" s="764"/>
      <c r="P30" s="764"/>
      <c r="Q30" s="764"/>
      <c r="R30" s="764"/>
      <c r="S30" s="764"/>
      <c r="T30" s="764"/>
      <c r="U30" s="764"/>
      <c r="V30" s="764"/>
      <c r="W30" s="764"/>
      <c r="X30" s="764"/>
      <c r="Y30" s="764"/>
      <c r="Z30" s="764"/>
      <c r="AA30" s="764"/>
      <c r="AB30" s="764"/>
      <c r="AC30" s="764"/>
      <c r="AD30" s="764"/>
      <c r="AE30" s="764"/>
      <c r="AF30" s="764"/>
      <c r="AG30" s="764"/>
      <c r="AH30" s="764"/>
      <c r="AI30" s="764"/>
      <c r="AJ30" s="764"/>
      <c r="AK30" s="764"/>
      <c r="AL30" s="764"/>
      <c r="AM30" s="764"/>
      <c r="AN30" s="764"/>
      <c r="AO30" s="764"/>
      <c r="AP30" s="764"/>
      <c r="AQ30" s="764"/>
      <c r="AR30" s="764"/>
      <c r="AS30" s="764"/>
      <c r="AT30" s="764"/>
      <c r="AU30" s="764"/>
      <c r="AV30" s="764"/>
      <c r="AW30" s="764"/>
      <c r="AX30" s="764"/>
      <c r="AY30" s="764"/>
      <c r="AZ30" s="764"/>
      <c r="BA30" s="764"/>
      <c r="BB30" s="764"/>
      <c r="BC30" s="764"/>
      <c r="BD30" s="764"/>
      <c r="BE30" s="764"/>
      <c r="BF30" s="764"/>
      <c r="BG30" s="764"/>
      <c r="BH30" s="764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200.25" customHeight="1">
      <c r="A32" s="778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32" s="778"/>
      <c r="C32" s="778"/>
      <c r="D32" s="778"/>
      <c r="E32" s="778"/>
      <c r="F32" s="778"/>
      <c r="G32" s="778"/>
      <c r="H32" s="778"/>
      <c r="I32" s="778"/>
      <c r="J32" s="778"/>
      <c r="K32" s="778"/>
      <c r="L32" s="778"/>
      <c r="M32" s="778"/>
      <c r="N32" s="778"/>
      <c r="O32" s="778"/>
      <c r="P32" s="778"/>
      <c r="Q32" s="778"/>
      <c r="R32" s="778"/>
      <c r="S32" s="778"/>
      <c r="T32" s="778"/>
      <c r="U32" s="778"/>
      <c r="V32" s="778"/>
      <c r="W32" s="778"/>
      <c r="X32" s="778"/>
      <c r="Y32" s="778"/>
      <c r="Z32" s="778"/>
      <c r="AA32" s="778"/>
      <c r="AB32" s="778"/>
      <c r="AC32" s="778"/>
      <c r="AD32" s="778"/>
      <c r="AE32" s="778"/>
      <c r="AF32" s="778"/>
      <c r="AG32" s="778"/>
      <c r="AH32" s="778"/>
      <c r="AI32" s="778"/>
      <c r="AJ32" s="778"/>
      <c r="AK32" s="778"/>
      <c r="AL32" s="778"/>
      <c r="AM32" s="778"/>
      <c r="AN32" s="778"/>
      <c r="AO32" s="778"/>
      <c r="AP32" s="778"/>
      <c r="AQ32" s="778"/>
      <c r="AR32" s="778"/>
      <c r="AS32" s="778"/>
      <c r="AT32" s="778"/>
      <c r="AU32" s="778"/>
      <c r="AV32" s="778"/>
      <c r="AW32" s="778"/>
      <c r="AX32" s="778"/>
      <c r="AY32" s="778"/>
      <c r="AZ32" s="778"/>
      <c r="BA32" s="778"/>
      <c r="BB32" s="778"/>
      <c r="BC32" s="778"/>
      <c r="BD32" s="778"/>
      <c r="BE32" s="778"/>
      <c r="BF32" s="778"/>
      <c r="BG32" s="778"/>
      <c r="BH32" s="778"/>
      <c r="BI32" s="778"/>
      <c r="BJ32" s="778"/>
      <c r="BK32" s="778"/>
      <c r="BL32" s="778"/>
      <c r="BM32" s="778"/>
      <c r="BN32" s="778"/>
      <c r="BO32" s="778"/>
      <c r="BP32" s="778"/>
      <c r="BQ32" s="778"/>
      <c r="BR32" s="778"/>
      <c r="BS32" s="778"/>
      <c r="BT32" s="778"/>
      <c r="BU32" s="778"/>
      <c r="BV32" s="778"/>
      <c r="BW32" s="778"/>
      <c r="BX32" s="778"/>
      <c r="BY32" s="778"/>
      <c r="BZ32" s="778"/>
      <c r="CA32" s="778"/>
      <c r="CB32" s="778"/>
      <c r="CC32" s="778"/>
      <c r="CD32" s="778"/>
      <c r="CE32" s="778"/>
      <c r="CF32" s="778"/>
      <c r="CG32" s="778"/>
      <c r="CH32" s="778"/>
      <c r="CI32" s="778"/>
      <c r="CJ32" s="778"/>
      <c r="CK32" s="778"/>
      <c r="CL32" s="778"/>
      <c r="CM32" s="778"/>
      <c r="CN32" s="778"/>
      <c r="CO32" s="778"/>
      <c r="CP32" s="778"/>
      <c r="CQ32" s="778"/>
      <c r="CR32" s="778"/>
      <c r="CS32" s="778"/>
      <c r="CT32" s="778"/>
      <c r="CU32" s="778"/>
      <c r="CV32" s="778"/>
      <c r="CW32" s="778"/>
      <c r="CX32" s="778"/>
      <c r="CY32" s="778"/>
      <c r="CZ32" s="778"/>
      <c r="DA32" s="778"/>
      <c r="DB32" s="778"/>
    </row>
    <row r="33" spans="1:112" ht="49.5" customHeight="1">
      <c r="A33" s="778"/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778"/>
      <c r="AO33" s="778"/>
      <c r="AP33" s="778"/>
      <c r="AQ33" s="778"/>
      <c r="AR33" s="778"/>
      <c r="AS33" s="778"/>
      <c r="AT33" s="778"/>
      <c r="AU33" s="778"/>
      <c r="AV33" s="778"/>
      <c r="AW33" s="778"/>
      <c r="AX33" s="778"/>
      <c r="AY33" s="778"/>
      <c r="AZ33" s="778"/>
      <c r="BA33" s="778"/>
      <c r="BB33" s="778"/>
      <c r="BC33" s="778"/>
      <c r="BD33" s="778"/>
      <c r="BE33" s="778"/>
      <c r="BF33" s="778"/>
      <c r="BG33" s="778"/>
      <c r="BH33" s="778"/>
      <c r="BI33" s="778"/>
      <c r="BJ33" s="778"/>
      <c r="BK33" s="778"/>
      <c r="BL33" s="778"/>
      <c r="BM33" s="778"/>
      <c r="BN33" s="778"/>
      <c r="BO33" s="778"/>
      <c r="BP33" s="778"/>
      <c r="BQ33" s="778"/>
      <c r="BR33" s="778"/>
      <c r="BS33" s="778"/>
      <c r="BT33" s="778"/>
      <c r="BU33" s="778"/>
      <c r="BV33" s="778"/>
      <c r="BW33" s="778"/>
      <c r="BX33" s="778"/>
      <c r="BY33" s="778"/>
      <c r="BZ33" s="778"/>
      <c r="CA33" s="778"/>
      <c r="CB33" s="778"/>
      <c r="CC33" s="778"/>
      <c r="CD33" s="778"/>
      <c r="CE33" s="778"/>
      <c r="CF33" s="778"/>
      <c r="CG33" s="778"/>
      <c r="CH33" s="778"/>
      <c r="CI33" s="778"/>
      <c r="CJ33" s="778"/>
      <c r="CK33" s="778"/>
      <c r="CL33" s="778"/>
      <c r="CM33" s="778"/>
      <c r="CN33" s="778"/>
      <c r="CO33" s="778"/>
      <c r="CP33" s="778"/>
      <c r="CQ33" s="778"/>
      <c r="CR33" s="778"/>
      <c r="CS33" s="778"/>
      <c r="CT33" s="778"/>
      <c r="CU33" s="778"/>
      <c r="CV33" s="778"/>
      <c r="CW33" s="778"/>
      <c r="CX33" s="778"/>
      <c r="CY33" s="778"/>
      <c r="CZ33" s="778"/>
      <c r="DA33" s="778"/>
      <c r="DB33" s="778"/>
    </row>
    <row r="34" spans="1:112" ht="11.15" customHeight="1">
      <c r="A34" s="777" t="s">
        <v>165</v>
      </c>
      <c r="B34" s="777"/>
      <c r="C34" s="777"/>
      <c r="D34" s="777"/>
      <c r="E34" s="777"/>
      <c r="F34" s="777"/>
      <c r="G34" s="777"/>
      <c r="H34" s="777"/>
      <c r="I34" s="777"/>
      <c r="J34" s="777"/>
      <c r="K34" s="777"/>
      <c r="L34" s="777"/>
      <c r="M34" s="777"/>
      <c r="N34" s="777"/>
      <c r="O34" s="777"/>
      <c r="P34" s="777"/>
      <c r="Q34" s="777"/>
      <c r="R34" s="777"/>
      <c r="S34" s="777"/>
      <c r="T34" s="777"/>
      <c r="U34" s="777"/>
      <c r="V34" s="777"/>
      <c r="W34" s="777"/>
      <c r="X34" s="777"/>
      <c r="Y34" s="777"/>
      <c r="Z34" s="777"/>
      <c r="AA34" s="777"/>
      <c r="AB34" s="777"/>
      <c r="AC34" s="777"/>
      <c r="AD34" s="777"/>
      <c r="AE34" s="777"/>
      <c r="AF34" s="777"/>
      <c r="AG34" s="777"/>
      <c r="AH34" s="777"/>
      <c r="AI34" s="777"/>
      <c r="AJ34" s="777"/>
      <c r="AK34" s="777"/>
      <c r="AL34" s="777"/>
      <c r="AM34" s="777"/>
      <c r="AN34" s="777"/>
      <c r="AO34" s="777"/>
      <c r="AP34" s="777"/>
      <c r="AQ34" s="777"/>
      <c r="AR34" s="777"/>
      <c r="AS34" s="777"/>
      <c r="AT34" s="777"/>
      <c r="AU34" s="777"/>
      <c r="AV34" s="777"/>
      <c r="AW34" s="777"/>
      <c r="AX34" s="777"/>
      <c r="AY34" s="777"/>
      <c r="AZ34" s="777"/>
      <c r="BA34" s="777"/>
      <c r="BB34" s="777"/>
      <c r="BC34" s="777"/>
      <c r="BD34" s="777"/>
      <c r="BE34" s="777"/>
      <c r="BF34" s="777"/>
      <c r="BG34" s="777"/>
      <c r="BH34" s="777"/>
      <c r="BI34" s="777"/>
      <c r="BJ34" s="777"/>
      <c r="BK34" s="777"/>
      <c r="BL34" s="777"/>
      <c r="BM34" s="777"/>
      <c r="BN34" s="777"/>
      <c r="BO34" s="777"/>
      <c r="BP34" s="777"/>
      <c r="BQ34" s="777"/>
      <c r="BR34" s="777"/>
      <c r="BS34" s="777"/>
      <c r="BT34" s="777"/>
      <c r="BU34" s="777"/>
      <c r="BV34" s="777"/>
      <c r="BW34" s="777"/>
      <c r="BX34" s="777"/>
      <c r="BY34" s="777"/>
      <c r="BZ34" s="777"/>
      <c r="CA34" s="777"/>
      <c r="CB34" s="777"/>
      <c r="CC34" s="777"/>
      <c r="CD34" s="777"/>
      <c r="CE34" s="777"/>
      <c r="CF34" s="777"/>
      <c r="CG34" s="777"/>
      <c r="CH34" s="777"/>
      <c r="CI34" s="777"/>
      <c r="CJ34" s="777"/>
      <c r="CK34" s="777"/>
      <c r="CL34" s="777"/>
      <c r="CM34" s="777"/>
      <c r="CN34" s="777"/>
      <c r="CO34" s="777"/>
      <c r="CP34" s="777"/>
      <c r="CQ34" s="777"/>
      <c r="CR34" s="777"/>
      <c r="CS34" s="777"/>
      <c r="CT34" s="777"/>
      <c r="CU34" s="777"/>
      <c r="CV34" s="777"/>
      <c r="CW34" s="777"/>
      <c r="CX34" s="777"/>
      <c r="CY34" s="777"/>
      <c r="CZ34" s="777"/>
      <c r="DA34" s="777"/>
      <c r="DB34" s="777"/>
    </row>
    <row r="35" spans="1:112" ht="7.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775" t="str">
        <f>IF(ФОРМА!B9=0," ",CONCATENATE(ФОРМА!B8,", шифр ",ФОРМА!B9))</f>
        <v>ООО «Строительные энергетические технологии», шифр СЭС-23-32939-ЭС-ТКР2</v>
      </c>
      <c r="B38" s="775"/>
      <c r="C38" s="775"/>
      <c r="D38" s="775"/>
      <c r="E38" s="775"/>
      <c r="F38" s="775"/>
      <c r="G38" s="775"/>
      <c r="H38" s="775"/>
      <c r="I38" s="775"/>
      <c r="J38" s="775"/>
      <c r="K38" s="775"/>
      <c r="L38" s="775"/>
      <c r="M38" s="775"/>
      <c r="N38" s="775"/>
      <c r="O38" s="775"/>
      <c r="P38" s="775"/>
      <c r="Q38" s="775"/>
      <c r="R38" s="775"/>
      <c r="S38" s="775"/>
      <c r="T38" s="775"/>
      <c r="U38" s="775"/>
      <c r="V38" s="775"/>
      <c r="W38" s="775"/>
      <c r="X38" s="775"/>
      <c r="Y38" s="775"/>
      <c r="Z38" s="775"/>
      <c r="AA38" s="775"/>
      <c r="AB38" s="775"/>
      <c r="AC38" s="775"/>
      <c r="AD38" s="775"/>
      <c r="AE38" s="775"/>
      <c r="AF38" s="775"/>
      <c r="AG38" s="775"/>
      <c r="AH38" s="775"/>
      <c r="AI38" s="775"/>
      <c r="AJ38" s="775"/>
      <c r="AK38" s="775"/>
      <c r="AL38" s="775"/>
      <c r="AM38" s="775"/>
      <c r="AN38" s="775"/>
      <c r="AO38" s="775"/>
      <c r="AP38" s="775"/>
      <c r="AQ38" s="775"/>
      <c r="AR38" s="775"/>
      <c r="AS38" s="775"/>
      <c r="AT38" s="775"/>
      <c r="AU38" s="775"/>
      <c r="AV38" s="775"/>
      <c r="AW38" s="775"/>
      <c r="AX38" s="775"/>
      <c r="AY38" s="775"/>
      <c r="AZ38" s="775"/>
      <c r="BA38" s="775"/>
      <c r="BB38" s="775"/>
      <c r="BC38" s="775"/>
      <c r="BD38" s="775"/>
      <c r="BE38" s="775"/>
      <c r="BF38" s="775"/>
      <c r="BG38" s="775"/>
      <c r="BH38" s="775"/>
      <c r="BI38" s="775"/>
      <c r="BJ38" s="775"/>
      <c r="BK38" s="775"/>
      <c r="BL38" s="775"/>
      <c r="BM38" s="775"/>
      <c r="BN38" s="775"/>
      <c r="BO38" s="775"/>
      <c r="BP38" s="775"/>
      <c r="BQ38" s="775"/>
      <c r="BR38" s="775"/>
      <c r="BS38" s="775"/>
      <c r="BT38" s="775"/>
      <c r="BU38" s="775"/>
      <c r="BV38" s="775"/>
      <c r="BW38" s="775"/>
      <c r="BX38" s="775"/>
      <c r="BY38" s="775"/>
      <c r="BZ38" s="775"/>
      <c r="CA38" s="775"/>
      <c r="CB38" s="775"/>
      <c r="CC38" s="775"/>
      <c r="CD38" s="775"/>
      <c r="CE38" s="775"/>
      <c r="CF38" s="775"/>
      <c r="CG38" s="775"/>
      <c r="CH38" s="775"/>
      <c r="CI38" s="775"/>
      <c r="CJ38" s="775"/>
      <c r="CK38" s="775"/>
      <c r="CL38" s="775"/>
      <c r="CM38" s="775"/>
      <c r="CN38" s="775"/>
      <c r="CO38" s="775"/>
      <c r="CP38" s="775"/>
      <c r="CQ38" s="775"/>
      <c r="CR38" s="775"/>
      <c r="CS38" s="775"/>
      <c r="CT38" s="775"/>
      <c r="CU38" s="775"/>
      <c r="CV38" s="775"/>
      <c r="CW38" s="775"/>
      <c r="CX38" s="775"/>
      <c r="CY38" s="775"/>
      <c r="CZ38" s="775"/>
      <c r="DA38" s="775"/>
      <c r="DB38" s="775"/>
    </row>
    <row r="39" spans="1:112" ht="11.15" customHeight="1">
      <c r="A39" s="776" t="s">
        <v>10</v>
      </c>
      <c r="B39" s="776"/>
      <c r="C39" s="776"/>
      <c r="D39" s="776"/>
      <c r="E39" s="776"/>
      <c r="F39" s="776"/>
      <c r="G39" s="776"/>
      <c r="H39" s="776"/>
      <c r="I39" s="776"/>
      <c r="J39" s="776"/>
      <c r="K39" s="776"/>
      <c r="L39" s="776"/>
      <c r="M39" s="776"/>
      <c r="N39" s="776"/>
      <c r="O39" s="776"/>
      <c r="P39" s="776"/>
      <c r="Q39" s="776"/>
      <c r="R39" s="776"/>
      <c r="S39" s="776"/>
      <c r="T39" s="776"/>
      <c r="U39" s="776"/>
      <c r="V39" s="776"/>
      <c r="W39" s="776"/>
      <c r="X39" s="776"/>
      <c r="Y39" s="776"/>
      <c r="Z39" s="776"/>
      <c r="AA39" s="776"/>
      <c r="AB39" s="776"/>
      <c r="AC39" s="776"/>
      <c r="AD39" s="776"/>
      <c r="AE39" s="776"/>
      <c r="AF39" s="776"/>
      <c r="AG39" s="776"/>
      <c r="AH39" s="776"/>
      <c r="AI39" s="776"/>
      <c r="AJ39" s="776"/>
      <c r="AK39" s="776"/>
      <c r="AL39" s="776"/>
      <c r="AM39" s="776"/>
      <c r="AN39" s="776"/>
      <c r="AO39" s="776"/>
      <c r="AP39" s="776"/>
      <c r="AQ39" s="776"/>
      <c r="AR39" s="776"/>
      <c r="AS39" s="776"/>
      <c r="AT39" s="776"/>
      <c r="AU39" s="776"/>
      <c r="AV39" s="776"/>
      <c r="AW39" s="776"/>
      <c r="AX39" s="776"/>
      <c r="AY39" s="776"/>
      <c r="AZ39" s="776"/>
      <c r="BA39" s="776"/>
      <c r="BB39" s="776"/>
      <c r="BC39" s="776"/>
      <c r="BD39" s="776"/>
      <c r="BE39" s="776"/>
      <c r="BF39" s="776"/>
      <c r="BG39" s="776"/>
      <c r="BH39" s="776"/>
      <c r="BI39" s="776"/>
      <c r="BJ39" s="776"/>
      <c r="BK39" s="776"/>
      <c r="BL39" s="776"/>
      <c r="BM39" s="776"/>
      <c r="BN39" s="776"/>
      <c r="BO39" s="776"/>
      <c r="BP39" s="776"/>
      <c r="BQ39" s="776"/>
      <c r="BR39" s="776"/>
      <c r="BS39" s="776"/>
      <c r="BT39" s="776"/>
      <c r="BU39" s="776"/>
      <c r="BV39" s="776"/>
      <c r="BW39" s="776"/>
      <c r="BX39" s="776"/>
      <c r="BY39" s="776"/>
      <c r="BZ39" s="776"/>
      <c r="CA39" s="776"/>
      <c r="CB39" s="776"/>
      <c r="CC39" s="776"/>
      <c r="CD39" s="776"/>
      <c r="CE39" s="776"/>
      <c r="CF39" s="776"/>
      <c r="CG39" s="776"/>
      <c r="CH39" s="776"/>
      <c r="CI39" s="776"/>
      <c r="CJ39" s="776"/>
      <c r="CK39" s="776"/>
      <c r="CL39" s="776"/>
      <c r="CM39" s="776"/>
      <c r="CN39" s="776"/>
      <c r="CO39" s="776"/>
      <c r="CP39" s="776"/>
      <c r="CQ39" s="776"/>
      <c r="CR39" s="776"/>
      <c r="CS39" s="776"/>
      <c r="CT39" s="776"/>
      <c r="CU39" s="776"/>
      <c r="CV39" s="776"/>
      <c r="CW39" s="776"/>
      <c r="CX39" s="776"/>
      <c r="CY39" s="776"/>
      <c r="CZ39" s="776"/>
      <c r="DA39" s="776"/>
      <c r="DB39" s="776"/>
    </row>
    <row r="40" spans="1:112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>
      <c r="A42" s="774" t="s">
        <v>42</v>
      </c>
      <c r="B42" s="774"/>
      <c r="C42" s="774"/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  <c r="X42" s="774"/>
      <c r="Y42" s="774"/>
      <c r="Z42" s="774"/>
      <c r="AA42" s="774"/>
      <c r="AB42" s="774"/>
      <c r="AC42" s="774"/>
      <c r="AD42" s="774"/>
      <c r="AE42" s="774"/>
      <c r="AF42" s="774"/>
      <c r="AG42" s="774"/>
      <c r="AH42" s="774"/>
      <c r="AI42" s="774"/>
      <c r="AJ42" s="774"/>
      <c r="AK42" s="774"/>
      <c r="AL42" s="774"/>
      <c r="AM42" s="774"/>
      <c r="AN42" s="774"/>
      <c r="AO42" s="774"/>
      <c r="AP42" s="774"/>
      <c r="AQ42" s="774"/>
      <c r="AR42" s="774"/>
      <c r="AS42" s="774"/>
      <c r="AT42" s="774"/>
      <c r="AU42" s="774"/>
      <c r="AV42" s="774"/>
      <c r="AW42" s="774"/>
      <c r="AX42" s="774"/>
      <c r="AY42" s="774"/>
      <c r="AZ42" s="774"/>
      <c r="BA42" s="774"/>
      <c r="BB42" s="774"/>
      <c r="BC42" s="774"/>
      <c r="BD42" s="774"/>
      <c r="BE42" s="774"/>
      <c r="BF42" s="774"/>
      <c r="BG42" s="774"/>
      <c r="BH42" s="774"/>
      <c r="BI42" s="774"/>
      <c r="BJ42" s="774"/>
      <c r="BK42" s="774"/>
      <c r="BL42" s="774"/>
      <c r="BM42" s="774"/>
      <c r="BN42" s="774"/>
      <c r="BO42" s="774"/>
      <c r="BP42" s="774"/>
      <c r="BQ42" s="774"/>
      <c r="BR42" s="774"/>
      <c r="BS42" s="774"/>
      <c r="BT42" s="774"/>
      <c r="BU42" s="774"/>
      <c r="BV42" s="774"/>
      <c r="BW42" s="774"/>
      <c r="BX42" s="774"/>
      <c r="BY42" s="774"/>
      <c r="BZ42" s="774"/>
      <c r="CA42" s="774"/>
      <c r="CB42" s="774"/>
      <c r="CC42" s="774"/>
      <c r="CD42" s="774"/>
      <c r="CE42" s="774"/>
      <c r="CF42" s="774"/>
      <c r="CG42" s="774"/>
      <c r="CH42" s="774"/>
      <c r="CI42" s="774"/>
      <c r="CJ42" s="774"/>
      <c r="CK42" s="774"/>
      <c r="CL42" s="774"/>
      <c r="CM42" s="774"/>
      <c r="CN42" s="774"/>
      <c r="CO42" s="774"/>
      <c r="CP42" s="774"/>
      <c r="CQ42" s="774"/>
      <c r="CR42" s="774"/>
      <c r="CS42" s="774"/>
      <c r="CT42" s="774"/>
      <c r="CU42" s="774"/>
      <c r="CV42" s="774"/>
      <c r="CW42" s="774"/>
      <c r="CX42" s="774"/>
      <c r="CY42" s="774"/>
      <c r="CZ42" s="774"/>
      <c r="DA42" s="774"/>
      <c r="DB42" s="774"/>
    </row>
    <row r="43" spans="1:112" ht="5.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58" t="s">
        <v>597</v>
      </c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758"/>
      <c r="CH46" s="758"/>
      <c r="CI46" s="758"/>
      <c r="CJ46" s="758"/>
      <c r="CK46" s="758"/>
      <c r="CL46" s="758"/>
      <c r="CM46" s="758"/>
      <c r="CN46" s="758"/>
      <c r="CO46" s="758"/>
      <c r="CP46" s="758"/>
      <c r="CQ46" s="758"/>
      <c r="CR46" s="758"/>
      <c r="CS46" s="758"/>
      <c r="CT46" s="758"/>
      <c r="CU46" s="758"/>
      <c r="CV46" s="758"/>
      <c r="CW46" s="758"/>
      <c r="CX46" s="758"/>
      <c r="CY46" s="758"/>
      <c r="CZ46" s="758"/>
      <c r="DA46" s="758"/>
      <c r="DB46" s="758"/>
      <c r="DH46" s="141"/>
    </row>
    <row r="47" spans="1:112" s="447" customFormat="1" ht="7.9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6"/>
      <c r="BH47" s="446"/>
      <c r="BI47" s="446"/>
      <c r="BJ47" s="446"/>
      <c r="BK47" s="763" t="s">
        <v>596</v>
      </c>
      <c r="BL47" s="763"/>
      <c r="BM47" s="763"/>
      <c r="BN47" s="763"/>
      <c r="BO47" s="763"/>
      <c r="BP47" s="763"/>
      <c r="BQ47" s="763"/>
      <c r="BR47" s="763"/>
      <c r="BS47" s="763"/>
      <c r="BT47" s="763"/>
      <c r="BU47" s="763"/>
      <c r="BV47" s="763"/>
      <c r="BW47" s="763"/>
      <c r="BX47" s="763"/>
      <c r="BY47" s="763"/>
      <c r="BZ47" s="763"/>
      <c r="CA47" s="763"/>
      <c r="CB47" s="763"/>
      <c r="CC47" s="763"/>
      <c r="CD47" s="763"/>
      <c r="CE47" s="763"/>
      <c r="CF47" s="763"/>
      <c r="CG47" s="763"/>
      <c r="CH47" s="763"/>
      <c r="CI47" s="763"/>
      <c r="CJ47" s="763"/>
      <c r="CK47" s="763"/>
      <c r="CL47" s="763"/>
      <c r="CM47" s="763"/>
      <c r="CN47" s="763"/>
      <c r="CO47" s="763"/>
      <c r="CP47" s="763"/>
      <c r="CQ47" s="763"/>
      <c r="CR47" s="763"/>
      <c r="CS47" s="763"/>
      <c r="CT47" s="763"/>
      <c r="CU47" s="763"/>
      <c r="CV47" s="763"/>
      <c r="CW47" s="763"/>
      <c r="CX47" s="763"/>
      <c r="CY47" s="763"/>
      <c r="CZ47" s="763"/>
      <c r="DA47" s="763"/>
      <c r="DB47" s="763"/>
      <c r="DH47" s="448"/>
    </row>
    <row r="48" spans="1:112" ht="15" customHeight="1">
      <c r="A48" s="765" t="s">
        <v>51</v>
      </c>
      <c r="B48" s="765"/>
      <c r="C48" s="765"/>
      <c r="D48" s="765"/>
      <c r="E48" s="765"/>
      <c r="F48" s="765"/>
      <c r="G48" s="765"/>
      <c r="H48" s="765"/>
      <c r="I48" s="765"/>
      <c r="J48" s="765"/>
      <c r="K48" s="765"/>
      <c r="L48" s="765"/>
      <c r="M48" s="765"/>
      <c r="N48" s="765"/>
      <c r="O48" s="765"/>
      <c r="P48" s="765"/>
      <c r="Q48" s="765"/>
      <c r="R48" s="765"/>
      <c r="S48" s="765"/>
      <c r="T48" s="765"/>
      <c r="U48" s="765"/>
      <c r="V48" s="765"/>
      <c r="W48" s="765"/>
      <c r="X48" s="765"/>
      <c r="Y48" s="765"/>
      <c r="Z48" s="765"/>
      <c r="AA48" s="765"/>
      <c r="AB48" s="765"/>
      <c r="AC48" s="765"/>
      <c r="AD48" s="765"/>
      <c r="AE48" s="765"/>
      <c r="AF48" s="765"/>
      <c r="AG48" s="765"/>
      <c r="AH48" s="765"/>
      <c r="AI48" s="765"/>
      <c r="AJ48" s="765"/>
      <c r="AK48" s="765"/>
      <c r="AL48" s="765"/>
      <c r="AM48" s="765"/>
      <c r="AN48" s="765"/>
      <c r="AO48" s="765"/>
      <c r="AP48" s="765"/>
      <c r="AQ48" s="765"/>
      <c r="AR48" s="765"/>
      <c r="AS48" s="765"/>
      <c r="AT48" s="765"/>
      <c r="AU48" s="765"/>
      <c r="AV48" s="765"/>
      <c r="AW48" s="765"/>
      <c r="AX48" s="765"/>
      <c r="AY48" s="765"/>
      <c r="AZ48" s="765"/>
      <c r="BA48" s="765"/>
      <c r="BB48" s="765"/>
      <c r="BC48" s="765"/>
      <c r="BD48" s="765"/>
      <c r="BE48" s="765"/>
      <c r="BF48" s="765"/>
      <c r="BG48" s="765"/>
      <c r="BH48" s="765"/>
      <c r="BI48" s="765"/>
      <c r="BJ48" s="765"/>
      <c r="BK48" s="765"/>
      <c r="BL48" s="765"/>
      <c r="BM48" s="765"/>
      <c r="BN48" s="765"/>
      <c r="BO48" s="765"/>
      <c r="BP48" s="765"/>
      <c r="BQ48" s="765"/>
      <c r="BR48" s="765"/>
      <c r="BS48" s="765"/>
      <c r="BT48" s="765"/>
      <c r="BU48" s="765"/>
      <c r="BV48" s="765"/>
      <c r="BW48" s="765"/>
      <c r="BX48" s="765"/>
      <c r="BY48" s="765"/>
      <c r="BZ48" s="765"/>
      <c r="CA48" s="765"/>
      <c r="CB48" s="765"/>
      <c r="CC48" s="765"/>
      <c r="CD48" s="765"/>
      <c r="CE48" s="765"/>
      <c r="CF48" s="765"/>
      <c r="CG48" s="765"/>
      <c r="CH48" s="765"/>
      <c r="CI48" s="765"/>
      <c r="CJ48" s="765"/>
      <c r="CK48" s="765"/>
      <c r="CL48" s="765"/>
      <c r="CM48" s="765"/>
      <c r="CN48" s="765"/>
      <c r="CO48" s="765"/>
      <c r="CP48" s="765"/>
      <c r="CQ48" s="765"/>
      <c r="CR48" s="765"/>
      <c r="CS48" s="765"/>
      <c r="CT48" s="765"/>
      <c r="CU48" s="765"/>
      <c r="CV48" s="765"/>
      <c r="CW48" s="765"/>
      <c r="CX48" s="765"/>
      <c r="CY48" s="765"/>
      <c r="CZ48" s="765"/>
      <c r="DA48" s="765"/>
      <c r="DB48" s="765"/>
    </row>
    <row r="49" spans="1:112" ht="5.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>
      <c r="A58" s="19" t="s">
        <v>441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5.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15" customHeight="1">
      <c r="A62" s="764" t="s">
        <v>43</v>
      </c>
      <c r="B62" s="764"/>
      <c r="C62" s="764"/>
      <c r="D62" s="764"/>
      <c r="E62" s="764"/>
      <c r="F62" s="764"/>
      <c r="G62" s="764"/>
      <c r="H62" s="764"/>
      <c r="I62" s="764"/>
      <c r="J62" s="764"/>
      <c r="K62" s="764"/>
      <c r="L62" s="764"/>
      <c r="M62" s="764"/>
      <c r="N62" s="764"/>
      <c r="O62" s="764"/>
      <c r="P62" s="764"/>
      <c r="Q62" s="764"/>
      <c r="R62" s="764"/>
      <c r="S62" s="764"/>
      <c r="T62" s="764"/>
      <c r="U62" s="764"/>
      <c r="V62" s="764"/>
      <c r="W62" s="764"/>
      <c r="X62" s="764"/>
      <c r="Y62" s="764"/>
      <c r="Z62" s="764"/>
      <c r="AA62" s="764"/>
      <c r="AB62" s="764"/>
      <c r="AC62" s="764"/>
      <c r="AD62" s="764"/>
      <c r="AE62" s="764"/>
      <c r="AF62" s="764"/>
      <c r="AG62" s="764"/>
      <c r="AH62" s="764"/>
      <c r="AI62" s="764"/>
      <c r="AJ62" s="764"/>
      <c r="AK62" s="764"/>
      <c r="AL62" s="764"/>
      <c r="AM62" s="764"/>
      <c r="AN62" s="764"/>
      <c r="AO62" s="764"/>
      <c r="AP62" s="764"/>
      <c r="AQ62" s="764"/>
      <c r="AR62" s="764"/>
      <c r="AS62" s="764"/>
      <c r="AT62" s="764"/>
      <c r="AU62" s="764"/>
      <c r="AV62" s="764"/>
      <c r="AW62" s="764"/>
      <c r="AX62" s="764"/>
      <c r="AY62" s="764"/>
      <c r="AZ62" s="764"/>
      <c r="BA62" s="764"/>
      <c r="BB62" s="764"/>
      <c r="BC62" s="764"/>
      <c r="BD62" s="764"/>
      <c r="BE62" s="764"/>
      <c r="BF62" s="764"/>
      <c r="BG62" s="764"/>
      <c r="BH62" s="764"/>
      <c r="BI62" s="764"/>
      <c r="BJ62" s="764"/>
      <c r="BK62" s="764"/>
      <c r="BL62" s="764"/>
      <c r="BM62" s="764"/>
      <c r="BN62" s="764"/>
      <c r="BO62" s="764"/>
      <c r="BP62" s="764"/>
      <c r="BQ62" s="764"/>
      <c r="BR62" s="764"/>
      <c r="BS62" s="764"/>
      <c r="BT62" s="764"/>
      <c r="BU62" s="764"/>
      <c r="BV62" s="764"/>
      <c r="BW62" s="764"/>
      <c r="BX62" s="764"/>
      <c r="BY62" s="764"/>
      <c r="BZ62" s="764"/>
      <c r="CA62" s="764"/>
      <c r="CB62" s="764"/>
      <c r="CC62" s="764"/>
      <c r="CD62" s="764"/>
      <c r="CE62" s="764"/>
      <c r="CF62" s="764"/>
      <c r="CG62" s="764"/>
      <c r="CH62" s="764"/>
      <c r="CI62" s="764"/>
      <c r="CJ62" s="764"/>
      <c r="CK62" s="764"/>
      <c r="CL62" s="764"/>
      <c r="CM62" s="764"/>
      <c r="CN62" s="764"/>
      <c r="CO62" s="764"/>
      <c r="CP62" s="764"/>
      <c r="CQ62" s="764"/>
      <c r="CR62" s="764"/>
      <c r="CS62" s="764"/>
      <c r="CT62" s="764"/>
      <c r="CU62" s="764"/>
      <c r="CV62" s="764"/>
      <c r="CW62" s="764"/>
      <c r="CX62" s="764"/>
      <c r="CY62" s="764"/>
      <c r="CZ62" s="764"/>
      <c r="DA62" s="764"/>
      <c r="DB62" s="764"/>
    </row>
    <row r="63" spans="1:112" ht="5.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>
      <c r="A64" s="761" t="s">
        <v>53</v>
      </c>
      <c r="B64" s="761"/>
      <c r="C64" s="761"/>
      <c r="D64" s="761"/>
      <c r="E64" s="761"/>
      <c r="F64" s="761"/>
      <c r="G64" s="761"/>
      <c r="H64" s="761"/>
      <c r="I64" s="761"/>
      <c r="J64" s="761"/>
      <c r="K64" s="761"/>
      <c r="L64" s="761"/>
      <c r="M64" s="761"/>
      <c r="N64" s="761"/>
      <c r="O64" s="761"/>
      <c r="P64" s="761"/>
      <c r="Q64" s="761"/>
      <c r="R64" s="761"/>
      <c r="S64" s="761"/>
      <c r="T64" s="761"/>
      <c r="U64" s="761"/>
      <c r="V64" s="761"/>
      <c r="W64" s="761"/>
      <c r="X64" s="761"/>
      <c r="Y64" s="761"/>
      <c r="Z64" s="761"/>
      <c r="AA64" s="761"/>
      <c r="AB64" s="761"/>
      <c r="AC64" s="761"/>
      <c r="AD64" s="761"/>
      <c r="AE64" s="761"/>
      <c r="AF64" s="761"/>
      <c r="AG64" s="761"/>
      <c r="AH64" s="761"/>
      <c r="AI64" s="761"/>
      <c r="AJ64" s="761"/>
      <c r="AK64" s="761"/>
      <c r="AL64" s="761"/>
      <c r="AM64" s="761"/>
      <c r="AN64" s="761"/>
      <c r="AO64" s="761"/>
      <c r="AP64" s="761"/>
      <c r="AQ64" s="761"/>
      <c r="AR64" s="761"/>
      <c r="AS64" s="761"/>
      <c r="AT64" s="761"/>
      <c r="AU64" s="761"/>
      <c r="AV64" s="761"/>
      <c r="AW64" s="761"/>
      <c r="AX64" s="761"/>
      <c r="AY64" s="761"/>
      <c r="AZ64" s="761"/>
      <c r="BA64" s="761"/>
      <c r="BB64" s="761"/>
      <c r="BC64" s="761"/>
      <c r="BD64" s="761"/>
      <c r="BE64" s="761"/>
      <c r="BF64" s="761"/>
      <c r="BG64" s="761"/>
      <c r="BH64" s="761"/>
      <c r="BI64" s="761"/>
      <c r="BJ64" s="761"/>
      <c r="BK64" s="761"/>
      <c r="BL64" s="761"/>
      <c r="BM64" s="761"/>
      <c r="BN64" s="761"/>
      <c r="BO64" s="761"/>
      <c r="BP64" s="761"/>
      <c r="BQ64" s="761"/>
      <c r="BR64" s="761"/>
      <c r="BS64" s="761"/>
      <c r="BT64" s="761"/>
      <c r="BU64" s="761"/>
      <c r="BV64" s="761"/>
      <c r="BW64" s="761"/>
      <c r="BX64" s="761"/>
      <c r="BY64" s="761"/>
      <c r="BZ64" s="761"/>
      <c r="CA64" s="761"/>
      <c r="CB64" s="761"/>
      <c r="CC64" s="761"/>
      <c r="CD64" s="761"/>
      <c r="CE64" s="761"/>
      <c r="CF64" s="761"/>
      <c r="CG64" s="761"/>
      <c r="CH64" s="761"/>
      <c r="CI64" s="761"/>
      <c r="CJ64" s="761"/>
      <c r="CK64" s="761"/>
      <c r="CL64" s="761"/>
      <c r="CM64" s="761"/>
      <c r="CN64" s="761"/>
      <c r="CO64" s="761"/>
      <c r="CP64" s="761"/>
      <c r="CQ64" s="761"/>
      <c r="CR64" s="761"/>
      <c r="CS64" s="761"/>
      <c r="CT64" s="761"/>
      <c r="CU64" s="761"/>
      <c r="CV64" s="761"/>
      <c r="CW64" s="761"/>
      <c r="CX64" s="761"/>
      <c r="CY64" s="761"/>
      <c r="CZ64" s="761"/>
      <c r="DA64" s="761"/>
      <c r="DB64" s="761"/>
    </row>
    <row r="65" spans="1:112" ht="20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>
      <c r="A66" s="766" t="s">
        <v>710</v>
      </c>
      <c r="B66" s="767"/>
      <c r="C66" s="767"/>
      <c r="D66" s="767"/>
      <c r="E66" s="767"/>
      <c r="F66" s="767"/>
      <c r="G66" s="767"/>
      <c r="H66" s="767"/>
      <c r="I66" s="767"/>
      <c r="J66" s="767"/>
      <c r="K66" s="767"/>
      <c r="L66" s="767"/>
      <c r="M66" s="767"/>
      <c r="N66" s="767"/>
      <c r="O66" s="767"/>
      <c r="P66" s="767"/>
      <c r="Q66" s="767"/>
      <c r="R66" s="767"/>
      <c r="S66" s="767"/>
      <c r="T66" s="767"/>
      <c r="U66" s="767"/>
      <c r="V66" s="767"/>
      <c r="W66" s="767"/>
      <c r="X66" s="767"/>
      <c r="Y66" s="767"/>
      <c r="Z66" s="767"/>
      <c r="AA66" s="767"/>
      <c r="AB66" s="767"/>
      <c r="AC66" s="767"/>
      <c r="AD66" s="767"/>
      <c r="AE66" s="767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60"/>
      <c r="BJ66" s="760"/>
      <c r="BK66" s="760"/>
      <c r="BL66" s="760"/>
      <c r="BM66" s="760"/>
      <c r="BN66" s="760"/>
      <c r="BO66" s="760"/>
      <c r="BP66" s="760"/>
      <c r="BQ66" s="760"/>
      <c r="BR66" s="760"/>
      <c r="BS66" s="760"/>
      <c r="BT66" s="760"/>
      <c r="BU66" s="760"/>
      <c r="BV66" s="760"/>
      <c r="BW66" s="760"/>
      <c r="BX66" s="760"/>
      <c r="BY66" s="760"/>
      <c r="BZ66" s="760"/>
      <c r="CA66" s="760"/>
      <c r="CB66" s="760"/>
      <c r="CC66" s="760"/>
      <c r="CD66" s="760"/>
      <c r="CE66" s="760"/>
      <c r="CF66" s="760"/>
      <c r="CG66" s="19"/>
      <c r="CH66" s="19"/>
      <c r="CI66" s="19"/>
      <c r="CJ66" s="758" t="str">
        <f>ПОДПИСИ!E4</f>
        <v>С.В. Алексеев</v>
      </c>
      <c r="CK66" s="758"/>
      <c r="CL66" s="758"/>
      <c r="CM66" s="758"/>
      <c r="CN66" s="758"/>
      <c r="CO66" s="758"/>
      <c r="CP66" s="758"/>
      <c r="CQ66" s="758"/>
      <c r="CR66" s="758"/>
      <c r="CS66" s="758"/>
      <c r="CT66" s="758"/>
      <c r="CU66" s="758"/>
      <c r="CV66" s="758"/>
      <c r="CW66" s="758"/>
      <c r="CX66" s="758"/>
      <c r="CY66" s="758"/>
      <c r="CZ66" s="758"/>
      <c r="DA66" s="758"/>
      <c r="DB66" s="758"/>
      <c r="DH66" s="141"/>
    </row>
    <row r="67" spans="1:112" ht="20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36" t="s">
        <v>11</v>
      </c>
      <c r="BJ67" s="736"/>
      <c r="BK67" s="736"/>
      <c r="BL67" s="736"/>
      <c r="BM67" s="736"/>
      <c r="BN67" s="736"/>
      <c r="BO67" s="736"/>
      <c r="BP67" s="736"/>
      <c r="BQ67" s="736"/>
      <c r="BR67" s="736"/>
      <c r="BS67" s="736"/>
      <c r="BT67" s="736"/>
      <c r="BU67" s="736"/>
      <c r="BV67" s="736"/>
      <c r="BW67" s="736"/>
      <c r="BX67" s="736"/>
      <c r="BY67" s="736"/>
      <c r="BZ67" s="736"/>
      <c r="CA67" s="736"/>
      <c r="CB67" s="736"/>
      <c r="CC67" s="736"/>
      <c r="CD67" s="736"/>
      <c r="CE67" s="736"/>
      <c r="CF67" s="736"/>
      <c r="CG67" s="21"/>
      <c r="CH67" s="21"/>
      <c r="CI67" s="21"/>
      <c r="CJ67" s="736" t="s">
        <v>50</v>
      </c>
      <c r="CK67" s="736"/>
      <c r="CL67" s="736"/>
      <c r="CM67" s="736"/>
      <c r="CN67" s="736"/>
      <c r="CO67" s="736"/>
      <c r="CP67" s="736"/>
      <c r="CQ67" s="736"/>
      <c r="CR67" s="736"/>
      <c r="CS67" s="736"/>
      <c r="CT67" s="736"/>
      <c r="CU67" s="736"/>
      <c r="CV67" s="736"/>
      <c r="CW67" s="736"/>
      <c r="CX67" s="736"/>
      <c r="CY67" s="736"/>
      <c r="CZ67" s="736"/>
      <c r="DA67" s="736"/>
      <c r="DB67" s="736"/>
    </row>
    <row r="68" spans="1:112" ht="31.5" customHeight="1">
      <c r="A68" s="766" t="s">
        <v>719</v>
      </c>
      <c r="B68" s="767"/>
      <c r="C68" s="767"/>
      <c r="D68" s="767"/>
      <c r="E68" s="767"/>
      <c r="F68" s="767"/>
      <c r="G68" s="767"/>
      <c r="H68" s="767"/>
      <c r="I68" s="767"/>
      <c r="J68" s="767"/>
      <c r="K68" s="767"/>
      <c r="L68" s="767"/>
      <c r="M68" s="767"/>
      <c r="N68" s="767"/>
      <c r="O68" s="767"/>
      <c r="P68" s="767"/>
      <c r="Q68" s="767"/>
      <c r="R68" s="767"/>
      <c r="S68" s="767"/>
      <c r="T68" s="767"/>
      <c r="U68" s="767"/>
      <c r="V68" s="767"/>
      <c r="W68" s="767"/>
      <c r="X68" s="767"/>
      <c r="Y68" s="767"/>
      <c r="Z68" s="767"/>
      <c r="AA68" s="767"/>
      <c r="AB68" s="767"/>
      <c r="AC68" s="767"/>
      <c r="AD68" s="767"/>
      <c r="AE68" s="767"/>
      <c r="AF68" s="767"/>
      <c r="AG68" s="767"/>
      <c r="AH68" s="767"/>
      <c r="AI68" s="767"/>
      <c r="AJ68" s="767"/>
      <c r="AK68" s="767"/>
      <c r="AL68" s="767"/>
      <c r="AM68" s="767"/>
      <c r="AN68" s="767"/>
      <c r="AO68" s="767"/>
      <c r="AP68" s="767"/>
      <c r="AQ68" s="767"/>
      <c r="AR68" s="767"/>
      <c r="AS68" s="767"/>
      <c r="AT68" s="767"/>
      <c r="AU68" s="767"/>
      <c r="AV68" s="767"/>
      <c r="AW68" s="767"/>
      <c r="AX68" s="767"/>
      <c r="AY68" s="767"/>
      <c r="AZ68" s="19"/>
      <c r="BA68" s="19"/>
      <c r="BB68" s="19"/>
      <c r="BC68" s="19"/>
      <c r="BD68" s="19"/>
      <c r="BE68" s="19"/>
      <c r="BF68" s="19"/>
      <c r="BG68" s="19"/>
      <c r="BH68" s="19"/>
      <c r="BI68" s="760"/>
      <c r="BJ68" s="760"/>
      <c r="BK68" s="760"/>
      <c r="BL68" s="760"/>
      <c r="BM68" s="760"/>
      <c r="BN68" s="760"/>
      <c r="BO68" s="760"/>
      <c r="BP68" s="760"/>
      <c r="BQ68" s="760"/>
      <c r="BR68" s="760"/>
      <c r="BS68" s="760"/>
      <c r="BT68" s="760"/>
      <c r="BU68" s="760"/>
      <c r="BV68" s="760"/>
      <c r="BW68" s="760"/>
      <c r="BX68" s="760"/>
      <c r="BY68" s="760"/>
      <c r="BZ68" s="760"/>
      <c r="CA68" s="760"/>
      <c r="CB68" s="760"/>
      <c r="CC68" s="760"/>
      <c r="CD68" s="760"/>
      <c r="CE68" s="760"/>
      <c r="CF68" s="760"/>
      <c r="CG68" s="19"/>
      <c r="CH68" s="19"/>
      <c r="CI68" s="19"/>
      <c r="CJ68" s="758" t="str">
        <f>ПОДПИСИ!E2</f>
        <v>А.С. Матвеев</v>
      </c>
      <c r="CK68" s="758"/>
      <c r="CL68" s="758"/>
      <c r="CM68" s="758"/>
      <c r="CN68" s="758"/>
      <c r="CO68" s="758"/>
      <c r="CP68" s="758"/>
      <c r="CQ68" s="758"/>
      <c r="CR68" s="758"/>
      <c r="CS68" s="758"/>
      <c r="CT68" s="758"/>
      <c r="CU68" s="758"/>
      <c r="CV68" s="758"/>
      <c r="CW68" s="758"/>
      <c r="CX68" s="758"/>
      <c r="CY68" s="758"/>
      <c r="CZ68" s="758"/>
      <c r="DA68" s="758"/>
      <c r="DB68" s="758"/>
      <c r="DH68" s="141"/>
    </row>
    <row r="69" spans="1:112" ht="20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36" t="s">
        <v>11</v>
      </c>
      <c r="BJ69" s="736"/>
      <c r="BK69" s="736"/>
      <c r="BL69" s="736"/>
      <c r="BM69" s="736"/>
      <c r="BN69" s="736"/>
      <c r="BO69" s="736"/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21"/>
      <c r="CH69" s="21"/>
      <c r="CI69" s="21"/>
      <c r="CJ69" s="736" t="s">
        <v>50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H69" s="141"/>
    </row>
    <row r="70" spans="1:112" ht="33.75" customHeight="1">
      <c r="A70" s="766" t="s">
        <v>718</v>
      </c>
      <c r="B70" s="767"/>
      <c r="C70" s="767"/>
      <c r="D70" s="767"/>
      <c r="E70" s="767"/>
      <c r="F70" s="767"/>
      <c r="G70" s="767"/>
      <c r="H70" s="767"/>
      <c r="I70" s="767"/>
      <c r="J70" s="767"/>
      <c r="K70" s="767"/>
      <c r="L70" s="767"/>
      <c r="M70" s="767"/>
      <c r="N70" s="767"/>
      <c r="O70" s="767"/>
      <c r="P70" s="767"/>
      <c r="Q70" s="767"/>
      <c r="R70" s="767"/>
      <c r="S70" s="767"/>
      <c r="T70" s="767"/>
      <c r="U70" s="767"/>
      <c r="V70" s="767"/>
      <c r="W70" s="767"/>
      <c r="X70" s="767"/>
      <c r="Y70" s="767"/>
      <c r="Z70" s="767"/>
      <c r="AA70" s="767"/>
      <c r="AB70" s="767"/>
      <c r="AC70" s="767"/>
      <c r="AD70" s="767"/>
      <c r="AE70" s="767"/>
      <c r="AF70" s="767"/>
      <c r="AG70" s="767"/>
      <c r="AH70" s="767"/>
      <c r="AI70" s="767"/>
      <c r="AJ70" s="767"/>
      <c r="AK70" s="767"/>
      <c r="AL70" s="767"/>
      <c r="AM70" s="767"/>
      <c r="AN70" s="767"/>
      <c r="AO70" s="767"/>
      <c r="AP70" s="767"/>
      <c r="AQ70" s="767"/>
      <c r="AR70" s="767"/>
      <c r="AS70" s="767"/>
      <c r="AT70" s="767"/>
      <c r="AU70" s="767"/>
      <c r="AV70" s="767"/>
      <c r="AW70" s="767"/>
      <c r="AX70" s="767"/>
      <c r="AY70" s="767"/>
      <c r="AZ70" s="767"/>
      <c r="BA70" s="767"/>
      <c r="BB70" s="767"/>
      <c r="BC70" s="767"/>
      <c r="BD70" s="767"/>
      <c r="BE70" s="767"/>
      <c r="BF70" s="19"/>
      <c r="BG70" s="19"/>
      <c r="BH70" s="19"/>
      <c r="BI70" s="760"/>
      <c r="BJ70" s="760"/>
      <c r="BK70" s="760"/>
      <c r="BL70" s="760"/>
      <c r="BM70" s="760"/>
      <c r="BN70" s="760"/>
      <c r="BO70" s="760"/>
      <c r="BP70" s="760"/>
      <c r="BQ70" s="760"/>
      <c r="BR70" s="760"/>
      <c r="BS70" s="760"/>
      <c r="BT70" s="760"/>
      <c r="BU70" s="760"/>
      <c r="BV70" s="760"/>
      <c r="BW70" s="760"/>
      <c r="BX70" s="760"/>
      <c r="BY70" s="760"/>
      <c r="BZ70" s="760"/>
      <c r="CA70" s="760"/>
      <c r="CB70" s="760"/>
      <c r="CC70" s="760"/>
      <c r="CD70" s="760"/>
      <c r="CE70" s="760"/>
      <c r="CF70" s="760"/>
      <c r="CG70" s="23"/>
      <c r="CH70" s="23"/>
      <c r="CI70" s="23"/>
      <c r="CJ70" s="758" t="str">
        <f>IF(ПОДПИСИ!E12=0," ",ПОДПИСИ!E12)</f>
        <v>А.Р. Махмадов</v>
      </c>
      <c r="CK70" s="758"/>
      <c r="CL70" s="758"/>
      <c r="CM70" s="758"/>
      <c r="CN70" s="758"/>
      <c r="CO70" s="758"/>
      <c r="CP70" s="758"/>
      <c r="CQ70" s="758"/>
      <c r="CR70" s="758"/>
      <c r="CS70" s="758"/>
      <c r="CT70" s="758"/>
      <c r="CU70" s="758"/>
      <c r="CV70" s="758"/>
      <c r="CW70" s="758"/>
      <c r="CX70" s="758"/>
      <c r="CY70" s="758"/>
      <c r="CZ70" s="758"/>
      <c r="DA70" s="758"/>
      <c r="DB70" s="758"/>
      <c r="DH70" s="141"/>
    </row>
    <row r="71" spans="1:112" ht="20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36" t="s">
        <v>11</v>
      </c>
      <c r="BJ71" s="736"/>
      <c r="BK71" s="736"/>
      <c r="BL71" s="736"/>
      <c r="BM71" s="736"/>
      <c r="BN71" s="736"/>
      <c r="BO71" s="736"/>
      <c r="BP71" s="736"/>
      <c r="BQ71" s="736"/>
      <c r="BR71" s="736"/>
      <c r="BS71" s="736"/>
      <c r="BT71" s="736"/>
      <c r="BU71" s="736"/>
      <c r="BV71" s="736"/>
      <c r="BW71" s="736"/>
      <c r="BX71" s="736"/>
      <c r="BY71" s="736"/>
      <c r="BZ71" s="736"/>
      <c r="CA71" s="736"/>
      <c r="CB71" s="736"/>
      <c r="CC71" s="736"/>
      <c r="CD71" s="736"/>
      <c r="CE71" s="736"/>
      <c r="CF71" s="736"/>
      <c r="CG71" s="21"/>
      <c r="CH71" s="21"/>
      <c r="CI71" s="21"/>
      <c r="CJ71" s="736" t="s">
        <v>50</v>
      </c>
      <c r="CK71" s="736"/>
      <c r="CL71" s="736"/>
      <c r="CM71" s="736"/>
      <c r="CN71" s="736"/>
      <c r="CO71" s="736"/>
      <c r="CP71" s="736"/>
      <c r="CQ71" s="736"/>
      <c r="CR71" s="736"/>
      <c r="CS71" s="736"/>
      <c r="CT71" s="736"/>
      <c r="CU71" s="736"/>
      <c r="CV71" s="736"/>
      <c r="CW71" s="736"/>
      <c r="CX71" s="736"/>
      <c r="CY71" s="736"/>
      <c r="CZ71" s="736"/>
      <c r="DA71" s="736"/>
      <c r="DB71" s="736"/>
      <c r="DH71" s="141"/>
    </row>
    <row r="72" spans="1:11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5" customHeight="1">
      <c r="A73" s="767" t="s">
        <v>66</v>
      </c>
      <c r="B73" s="767"/>
      <c r="C73" s="767"/>
      <c r="D73" s="767"/>
      <c r="E73" s="767"/>
      <c r="F73" s="767"/>
      <c r="G73" s="767"/>
      <c r="H73" s="767"/>
      <c r="I73" s="767"/>
      <c r="J73" s="767"/>
      <c r="K73" s="767"/>
      <c r="L73" s="767"/>
      <c r="M73" s="767"/>
      <c r="N73" s="767"/>
      <c r="O73" s="767"/>
      <c r="P73" s="767"/>
      <c r="Q73" s="767"/>
      <c r="R73" s="767"/>
      <c r="S73" s="767"/>
      <c r="T73" s="767"/>
      <c r="U73" s="767"/>
      <c r="V73" s="767"/>
      <c r="W73" s="767"/>
      <c r="X73" s="767"/>
      <c r="Y73" s="767"/>
      <c r="Z73" s="767"/>
      <c r="AA73" s="767"/>
      <c r="AB73" s="767"/>
      <c r="AC73" s="767"/>
      <c r="AD73" s="767"/>
      <c r="AE73" s="767"/>
      <c r="AF73" s="767"/>
      <c r="AG73" s="767"/>
      <c r="AH73" s="767"/>
      <c r="AI73" s="767"/>
      <c r="AJ73" s="767"/>
      <c r="AK73" s="767"/>
      <c r="AL73" s="767"/>
      <c r="AM73" s="767"/>
      <c r="AN73" s="767"/>
      <c r="AO73" s="767"/>
      <c r="AP73" s="767"/>
      <c r="AQ73" s="767"/>
      <c r="AR73" s="767"/>
      <c r="AS73" s="767"/>
      <c r="AT73" s="767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67" t="s">
        <v>17</v>
      </c>
      <c r="BJ73" s="767"/>
      <c r="BK73" s="767"/>
      <c r="BL73" s="767"/>
      <c r="BM73" s="767"/>
      <c r="BN73" s="767"/>
      <c r="BO73" s="767"/>
      <c r="BP73" s="767"/>
      <c r="BQ73" s="767"/>
      <c r="BR73" s="767"/>
      <c r="BS73" s="767"/>
      <c r="BT73" s="767"/>
      <c r="BU73" s="767"/>
      <c r="BV73" s="767"/>
      <c r="BW73" s="767"/>
      <c r="BX73" s="767"/>
      <c r="BY73" s="767"/>
      <c r="BZ73" s="767"/>
      <c r="CA73" s="767"/>
      <c r="CB73" s="767"/>
      <c r="CC73" s="767"/>
      <c r="CD73" s="767"/>
      <c r="CE73" s="767"/>
      <c r="CF73" s="767"/>
      <c r="CG73" s="767"/>
      <c r="CH73" s="767"/>
      <c r="CI73" s="767"/>
      <c r="CJ73" s="767"/>
      <c r="CK73" s="767"/>
      <c r="CL73" s="767"/>
      <c r="CM73" s="767"/>
      <c r="CN73" s="767"/>
      <c r="CO73" s="767"/>
      <c r="CP73" s="767"/>
      <c r="CQ73" s="767"/>
      <c r="CR73" s="767"/>
      <c r="CS73" s="767"/>
      <c r="CT73" s="767"/>
      <c r="CU73" s="767"/>
      <c r="CV73" s="767"/>
      <c r="CW73" s="767"/>
      <c r="CX73" s="767"/>
      <c r="CY73" s="767"/>
      <c r="CZ73" s="767"/>
      <c r="DA73" s="767"/>
      <c r="DB73" s="767"/>
      <c r="DH73" s="141"/>
    </row>
    <row r="74" spans="1:112" ht="9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>
      <c r="A75" s="768"/>
      <c r="B75" s="768"/>
      <c r="C75" s="768"/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  <c r="X75" s="768"/>
      <c r="Y75" s="768"/>
      <c r="Z75" s="768"/>
      <c r="AA75" s="768"/>
      <c r="AB75" s="768"/>
      <c r="AC75" s="768"/>
      <c r="AD75" s="768"/>
      <c r="AE75" s="768"/>
      <c r="AF75" s="768"/>
      <c r="AG75" s="768"/>
      <c r="AH75" s="768"/>
      <c r="AI75" s="768"/>
      <c r="AJ75" s="768"/>
      <c r="AK75" s="768"/>
      <c r="AL75" s="768"/>
      <c r="AM75" s="768"/>
      <c r="AN75" s="768"/>
      <c r="AO75" s="768"/>
      <c r="AP75" s="768"/>
      <c r="AQ75" s="768"/>
      <c r="AR75" s="768"/>
      <c r="AS75" s="768"/>
      <c r="AT75" s="768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69"/>
      <c r="BJ75" s="769"/>
      <c r="BK75" s="769"/>
      <c r="BL75" s="769"/>
      <c r="BM75" s="769"/>
      <c r="BN75" s="769"/>
      <c r="BO75" s="769"/>
      <c r="BP75" s="769"/>
      <c r="BQ75" s="769"/>
      <c r="BR75" s="769"/>
      <c r="BS75" s="769"/>
      <c r="BT75" s="769"/>
      <c r="BU75" s="769"/>
      <c r="BV75" s="769"/>
      <c r="BW75" s="769"/>
      <c r="BX75" s="769"/>
      <c r="BY75" s="769"/>
      <c r="BZ75" s="769"/>
      <c r="CA75" s="769"/>
      <c r="CB75" s="769"/>
      <c r="CC75" s="769"/>
      <c r="CD75" s="769"/>
      <c r="CE75" s="769"/>
      <c r="CF75" s="769"/>
      <c r="CG75" s="769"/>
      <c r="CH75" s="769"/>
      <c r="CI75" s="769"/>
      <c r="CJ75" s="769"/>
      <c r="CK75" s="769"/>
      <c r="CL75" s="769"/>
      <c r="CM75" s="769"/>
      <c r="CN75" s="769"/>
      <c r="CO75" s="769"/>
      <c r="CP75" s="769"/>
      <c r="CQ75" s="769"/>
      <c r="CR75" s="769"/>
      <c r="CS75" s="769"/>
      <c r="CT75" s="769"/>
      <c r="CU75" s="769"/>
      <c r="CV75" s="769"/>
      <c r="CW75" s="769"/>
      <c r="CX75" s="769"/>
      <c r="CY75" s="769"/>
      <c r="CZ75" s="769"/>
      <c r="DA75" s="769"/>
      <c r="DB75" s="769"/>
      <c r="DH75" s="141"/>
    </row>
    <row r="76" spans="1:112" ht="12.75" customHeight="1">
      <c r="A76" s="760"/>
      <c r="B76" s="760"/>
      <c r="C76" s="760"/>
      <c r="D76" s="760"/>
      <c r="E76" s="760"/>
      <c r="F76" s="760"/>
      <c r="G76" s="760"/>
      <c r="H76" s="760"/>
      <c r="I76" s="760"/>
      <c r="J76" s="760"/>
      <c r="K76" s="760"/>
      <c r="L76" s="760"/>
      <c r="M76" s="760"/>
      <c r="N76" s="760"/>
      <c r="O76" s="760"/>
      <c r="P76" s="760"/>
      <c r="Q76" s="760"/>
      <c r="R76" s="760"/>
      <c r="S76" s="760"/>
      <c r="T76" s="760"/>
      <c r="U76" s="760"/>
      <c r="V76" s="760"/>
      <c r="W76" s="19"/>
      <c r="X76" s="19"/>
      <c r="Y76" s="19"/>
      <c r="Z76" s="758" t="str">
        <f>CJ68</f>
        <v>А.С. Матвеев</v>
      </c>
      <c r="AA76" s="758"/>
      <c r="AB76" s="758"/>
      <c r="AC76" s="758"/>
      <c r="AD76" s="758"/>
      <c r="AE76" s="758"/>
      <c r="AF76" s="758"/>
      <c r="AG76" s="758"/>
      <c r="AH76" s="758"/>
      <c r="AI76" s="758"/>
      <c r="AJ76" s="758"/>
      <c r="AK76" s="758"/>
      <c r="AL76" s="758"/>
      <c r="AM76" s="758"/>
      <c r="AN76" s="758"/>
      <c r="AO76" s="758"/>
      <c r="AP76" s="758"/>
      <c r="AQ76" s="758"/>
      <c r="AR76" s="758"/>
      <c r="AS76" s="758"/>
      <c r="AT76" s="75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60"/>
      <c r="BJ76" s="760"/>
      <c r="BK76" s="760"/>
      <c r="BL76" s="760"/>
      <c r="BM76" s="760"/>
      <c r="BN76" s="760"/>
      <c r="BO76" s="760"/>
      <c r="BP76" s="760"/>
      <c r="BQ76" s="760"/>
      <c r="BR76" s="760"/>
      <c r="BS76" s="760"/>
      <c r="BT76" s="760"/>
      <c r="BU76" s="760"/>
      <c r="BV76" s="760"/>
      <c r="BW76" s="760"/>
      <c r="BX76" s="760"/>
      <c r="BY76" s="760"/>
      <c r="BZ76" s="760"/>
      <c r="CA76" s="760"/>
      <c r="CB76" s="760"/>
      <c r="CC76" s="760"/>
      <c r="CD76" s="760"/>
      <c r="CE76" s="19"/>
      <c r="CF76" s="19"/>
      <c r="CG76" s="19"/>
      <c r="CH76" s="758" t="str">
        <f>CJ66</f>
        <v>С.В. Алексеев</v>
      </c>
      <c r="CI76" s="758"/>
      <c r="CJ76" s="758"/>
      <c r="CK76" s="758"/>
      <c r="CL76" s="758"/>
      <c r="CM76" s="758"/>
      <c r="CN76" s="758"/>
      <c r="CO76" s="758"/>
      <c r="CP76" s="758"/>
      <c r="CQ76" s="758"/>
      <c r="CR76" s="758"/>
      <c r="CS76" s="758"/>
      <c r="CT76" s="758"/>
      <c r="CU76" s="758"/>
      <c r="CV76" s="758"/>
      <c r="CW76" s="758"/>
      <c r="CX76" s="758"/>
      <c r="CY76" s="758"/>
      <c r="CZ76" s="758"/>
      <c r="DA76" s="758"/>
      <c r="DB76" s="758"/>
      <c r="DH76" s="141"/>
    </row>
    <row r="77" spans="1:112" ht="14.5" customHeight="1">
      <c r="A77" s="770" t="s">
        <v>11</v>
      </c>
      <c r="B77" s="770"/>
      <c r="C77" s="770"/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24"/>
      <c r="X77" s="24"/>
      <c r="Y77" s="24"/>
      <c r="Z77" s="736" t="s">
        <v>50</v>
      </c>
      <c r="AA77" s="736"/>
      <c r="AB77" s="736"/>
      <c r="AC77" s="736"/>
      <c r="AD77" s="736"/>
      <c r="AE77" s="736"/>
      <c r="AF77" s="736"/>
      <c r="AG77" s="736"/>
      <c r="AH77" s="736"/>
      <c r="AI77" s="736"/>
      <c r="AJ77" s="736"/>
      <c r="AK77" s="736"/>
      <c r="AL77" s="736"/>
      <c r="AM77" s="736"/>
      <c r="AN77" s="736"/>
      <c r="AO77" s="736"/>
      <c r="AP77" s="736"/>
      <c r="AQ77" s="736"/>
      <c r="AR77" s="736"/>
      <c r="AS77" s="736"/>
      <c r="AT77" s="736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70" t="s">
        <v>11</v>
      </c>
      <c r="BJ77" s="770"/>
      <c r="BK77" s="770"/>
      <c r="BL77" s="770"/>
      <c r="BM77" s="770"/>
      <c r="BN77" s="770"/>
      <c r="BO77" s="770"/>
      <c r="BP77" s="770"/>
      <c r="BQ77" s="770"/>
      <c r="BR77" s="770"/>
      <c r="BS77" s="770"/>
      <c r="BT77" s="770"/>
      <c r="BU77" s="770"/>
      <c r="BV77" s="770"/>
      <c r="BW77" s="770"/>
      <c r="BX77" s="770"/>
      <c r="BY77" s="770"/>
      <c r="BZ77" s="770"/>
      <c r="CA77" s="770"/>
      <c r="CB77" s="770"/>
      <c r="CC77" s="770"/>
      <c r="CD77" s="770"/>
      <c r="CE77" s="24"/>
      <c r="CF77" s="24"/>
      <c r="CG77" s="24"/>
      <c r="CH77" s="736" t="s">
        <v>50</v>
      </c>
      <c r="CI77" s="736"/>
      <c r="CJ77" s="736"/>
      <c r="CK77" s="736"/>
      <c r="CL77" s="736"/>
      <c r="CM77" s="736"/>
      <c r="CN77" s="736"/>
      <c r="CO77" s="736"/>
      <c r="CP77" s="736"/>
      <c r="CQ77" s="736"/>
      <c r="CR77" s="736"/>
      <c r="CS77" s="736"/>
      <c r="CT77" s="736"/>
      <c r="CU77" s="736"/>
      <c r="CV77" s="736"/>
      <c r="CW77" s="736"/>
      <c r="CX77" s="736"/>
      <c r="CY77" s="736"/>
      <c r="CZ77" s="736"/>
      <c r="DA77" s="736"/>
      <c r="DB77" s="736"/>
      <c r="DH77" s="141"/>
    </row>
    <row r="78" spans="1:112" ht="1.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70"/>
      <c r="CI78" s="770"/>
      <c r="CJ78" s="770"/>
      <c r="CK78" s="770"/>
      <c r="CL78" s="770"/>
      <c r="CM78" s="770"/>
      <c r="CN78" s="770"/>
      <c r="CO78" s="770"/>
      <c r="CP78" s="770"/>
      <c r="CQ78" s="770"/>
      <c r="CR78" s="770"/>
      <c r="CS78" s="770"/>
      <c r="CT78" s="770"/>
      <c r="CU78" s="770"/>
      <c r="CV78" s="770"/>
      <c r="CW78" s="770"/>
      <c r="CX78" s="770"/>
      <c r="CY78" s="770"/>
      <c r="CZ78" s="770"/>
      <c r="DA78" s="770"/>
      <c r="DB78" s="770"/>
      <c r="DH78" s="141"/>
    </row>
    <row r="79" spans="1:11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0"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</mergeCells>
  <conditionalFormatting sqref="AT2:BB7 A2:A9 AT8:BA9 BB9">
    <cfRule type="cellIs" dxfId="164" priority="5" operator="equal">
      <formula>0</formula>
    </cfRule>
  </conditionalFormatting>
  <conditionalFormatting sqref="DH2:DH7">
    <cfRule type="cellIs" dxfId="163" priority="2" operator="equal">
      <formula>0</formula>
    </cfRule>
  </conditionalFormatting>
  <conditionalFormatting sqref="DH9">
    <cfRule type="cellIs" dxfId="16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535"/>
  <sheetViews>
    <sheetView tabSelected="1" view="pageBreakPreview" topLeftCell="A6" zoomScale="60" zoomScaleNormal="100" workbookViewId="0">
      <selection sqref="A1:C1"/>
    </sheetView>
  </sheetViews>
  <sheetFormatPr defaultRowHeight="15.5" outlineLevelRow="1"/>
  <cols>
    <col min="1" max="1" width="7.1796875" style="548" customWidth="1"/>
    <col min="2" max="2" width="3.54296875" style="548" customWidth="1"/>
    <col min="3" max="3" width="5.81640625" style="548" customWidth="1"/>
    <col min="4" max="4" width="4.453125" style="548" customWidth="1"/>
    <col min="5" max="5" width="4.54296875" style="548" customWidth="1"/>
    <col min="6" max="6" width="2.7265625" style="548" customWidth="1"/>
    <col min="7" max="7" width="4" style="548" customWidth="1"/>
    <col min="8" max="8" width="4.81640625" style="548" customWidth="1"/>
    <col min="9" max="9" width="4.1796875" style="548" customWidth="1"/>
    <col min="10" max="10" width="4.81640625" style="548" customWidth="1"/>
    <col min="11" max="11" width="4.54296875" style="548" customWidth="1"/>
    <col min="12" max="12" width="6" style="548" customWidth="1"/>
    <col min="13" max="13" width="5.54296875" style="548" customWidth="1"/>
    <col min="14" max="14" width="6.26953125" style="548" customWidth="1"/>
    <col min="15" max="15" width="5.26953125" style="548" customWidth="1"/>
    <col min="16" max="16" width="4" style="548" customWidth="1"/>
    <col min="17" max="17" width="4.453125" style="548" customWidth="1"/>
    <col min="18" max="18" width="4.26953125" style="548" customWidth="1"/>
    <col min="19" max="20" width="5" style="548" customWidth="1"/>
    <col min="21" max="21" width="6.1796875" style="548" customWidth="1"/>
    <col min="22" max="27" width="8.81640625" style="548"/>
    <col min="28" max="28" width="62.1796875" style="558" customWidth="1"/>
    <col min="29" max="29" width="8.81640625" style="548"/>
    <col min="30" max="30" width="12.1796875" style="548" customWidth="1"/>
    <col min="31" max="31" width="17.26953125" style="548" customWidth="1"/>
    <col min="32" max="251" width="8.81640625" style="548"/>
    <col min="252" max="252" width="3.54296875" style="548" customWidth="1"/>
    <col min="253" max="253" width="5.81640625" style="548" customWidth="1"/>
    <col min="254" max="254" width="4.453125" style="548" customWidth="1"/>
    <col min="255" max="255" width="4.54296875" style="548" customWidth="1"/>
    <col min="256" max="256" width="2.7265625" style="548" customWidth="1"/>
    <col min="257" max="257" width="4" style="548" customWidth="1"/>
    <col min="258" max="258" width="4.81640625" style="548" customWidth="1"/>
    <col min="259" max="259" width="4.1796875" style="548" customWidth="1"/>
    <col min="260" max="260" width="4.81640625" style="548" customWidth="1"/>
    <col min="261" max="261" width="4.54296875" style="548" customWidth="1"/>
    <col min="262" max="262" width="6" style="548" customWidth="1"/>
    <col min="263" max="263" width="5.54296875" style="548" customWidth="1"/>
    <col min="264" max="264" width="0.26953125" style="548" customWidth="1"/>
    <col min="265" max="267" width="0" style="548" hidden="1" customWidth="1"/>
    <col min="268" max="268" width="5.54296875" style="548" customWidth="1"/>
    <col min="269" max="269" width="4.1796875" style="548" customWidth="1"/>
    <col min="270" max="270" width="3.7265625" style="548" customWidth="1"/>
    <col min="271" max="271" width="3.81640625" style="548" customWidth="1"/>
    <col min="272" max="272" width="0.453125" style="548" customWidth="1"/>
    <col min="273" max="273" width="4.26953125" style="548" customWidth="1"/>
    <col min="274" max="274" width="5" style="548" customWidth="1"/>
    <col min="275" max="276" width="3.81640625" style="548" customWidth="1"/>
    <col min="277" max="277" width="5.26953125" style="548" customWidth="1"/>
    <col min="278" max="278" width="3.26953125" style="548" customWidth="1"/>
    <col min="279" max="279" width="0" style="548" hidden="1" customWidth="1"/>
    <col min="280" max="280" width="3" style="548" customWidth="1"/>
    <col min="281" max="281" width="4" style="548" customWidth="1"/>
    <col min="282" max="282" width="8.54296875" style="548" customWidth="1"/>
    <col min="283" max="507" width="8.81640625" style="548"/>
    <col min="508" max="508" width="3.54296875" style="548" customWidth="1"/>
    <col min="509" max="509" width="5.81640625" style="548" customWidth="1"/>
    <col min="510" max="510" width="4.453125" style="548" customWidth="1"/>
    <col min="511" max="511" width="4.54296875" style="548" customWidth="1"/>
    <col min="512" max="512" width="2.7265625" style="548" customWidth="1"/>
    <col min="513" max="513" width="4" style="548" customWidth="1"/>
    <col min="514" max="514" width="4.81640625" style="548" customWidth="1"/>
    <col min="515" max="515" width="4.1796875" style="548" customWidth="1"/>
    <col min="516" max="516" width="4.81640625" style="548" customWidth="1"/>
    <col min="517" max="517" width="4.54296875" style="548" customWidth="1"/>
    <col min="518" max="518" width="6" style="548" customWidth="1"/>
    <col min="519" max="519" width="5.54296875" style="548" customWidth="1"/>
    <col min="520" max="520" width="0.26953125" style="548" customWidth="1"/>
    <col min="521" max="523" width="0" style="548" hidden="1" customWidth="1"/>
    <col min="524" max="524" width="5.54296875" style="548" customWidth="1"/>
    <col min="525" max="525" width="4.1796875" style="548" customWidth="1"/>
    <col min="526" max="526" width="3.7265625" style="548" customWidth="1"/>
    <col min="527" max="527" width="3.81640625" style="548" customWidth="1"/>
    <col min="528" max="528" width="0.453125" style="548" customWidth="1"/>
    <col min="529" max="529" width="4.26953125" style="548" customWidth="1"/>
    <col min="530" max="530" width="5" style="548" customWidth="1"/>
    <col min="531" max="532" width="3.81640625" style="548" customWidth="1"/>
    <col min="533" max="533" width="5.26953125" style="548" customWidth="1"/>
    <col min="534" max="534" width="3.26953125" style="548" customWidth="1"/>
    <col min="535" max="535" width="0" style="548" hidden="1" customWidth="1"/>
    <col min="536" max="536" width="3" style="548" customWidth="1"/>
    <col min="537" max="537" width="4" style="548" customWidth="1"/>
    <col min="538" max="538" width="8.54296875" style="548" customWidth="1"/>
    <col min="539" max="763" width="8.81640625" style="548"/>
    <col min="764" max="764" width="3.54296875" style="548" customWidth="1"/>
    <col min="765" max="765" width="5.81640625" style="548" customWidth="1"/>
    <col min="766" max="766" width="4.453125" style="548" customWidth="1"/>
    <col min="767" max="767" width="4.54296875" style="548" customWidth="1"/>
    <col min="768" max="768" width="2.7265625" style="548" customWidth="1"/>
    <col min="769" max="769" width="4" style="548" customWidth="1"/>
    <col min="770" max="770" width="4.81640625" style="548" customWidth="1"/>
    <col min="771" max="771" width="4.1796875" style="548" customWidth="1"/>
    <col min="772" max="772" width="4.81640625" style="548" customWidth="1"/>
    <col min="773" max="773" width="4.54296875" style="548" customWidth="1"/>
    <col min="774" max="774" width="6" style="548" customWidth="1"/>
    <col min="775" max="775" width="5.54296875" style="548" customWidth="1"/>
    <col min="776" max="776" width="0.26953125" style="548" customWidth="1"/>
    <col min="777" max="779" width="0" style="548" hidden="1" customWidth="1"/>
    <col min="780" max="780" width="5.54296875" style="548" customWidth="1"/>
    <col min="781" max="781" width="4.1796875" style="548" customWidth="1"/>
    <col min="782" max="782" width="3.7265625" style="548" customWidth="1"/>
    <col min="783" max="783" width="3.81640625" style="548" customWidth="1"/>
    <col min="784" max="784" width="0.453125" style="548" customWidth="1"/>
    <col min="785" max="785" width="4.26953125" style="548" customWidth="1"/>
    <col min="786" max="786" width="5" style="548" customWidth="1"/>
    <col min="787" max="788" width="3.81640625" style="548" customWidth="1"/>
    <col min="789" max="789" width="5.26953125" style="548" customWidth="1"/>
    <col min="790" max="790" width="3.26953125" style="548" customWidth="1"/>
    <col min="791" max="791" width="0" style="548" hidden="1" customWidth="1"/>
    <col min="792" max="792" width="3" style="548" customWidth="1"/>
    <col min="793" max="793" width="4" style="548" customWidth="1"/>
    <col min="794" max="794" width="8.54296875" style="548" customWidth="1"/>
    <col min="795" max="1019" width="8.81640625" style="548"/>
    <col min="1020" max="1020" width="3.54296875" style="548" customWidth="1"/>
    <col min="1021" max="1021" width="5.81640625" style="548" customWidth="1"/>
    <col min="1022" max="1022" width="4.453125" style="548" customWidth="1"/>
    <col min="1023" max="1023" width="4.54296875" style="548" customWidth="1"/>
    <col min="1024" max="1024" width="2.7265625" style="548" customWidth="1"/>
    <col min="1025" max="1025" width="4" style="548" customWidth="1"/>
    <col min="1026" max="1026" width="4.81640625" style="548" customWidth="1"/>
    <col min="1027" max="1027" width="4.1796875" style="548" customWidth="1"/>
    <col min="1028" max="1028" width="4.81640625" style="548" customWidth="1"/>
    <col min="1029" max="1029" width="4.54296875" style="548" customWidth="1"/>
    <col min="1030" max="1030" width="6" style="548" customWidth="1"/>
    <col min="1031" max="1031" width="5.54296875" style="548" customWidth="1"/>
    <col min="1032" max="1032" width="0.26953125" style="548" customWidth="1"/>
    <col min="1033" max="1035" width="0" style="548" hidden="1" customWidth="1"/>
    <col min="1036" max="1036" width="5.54296875" style="548" customWidth="1"/>
    <col min="1037" max="1037" width="4.1796875" style="548" customWidth="1"/>
    <col min="1038" max="1038" width="3.7265625" style="548" customWidth="1"/>
    <col min="1039" max="1039" width="3.81640625" style="548" customWidth="1"/>
    <col min="1040" max="1040" width="0.453125" style="548" customWidth="1"/>
    <col min="1041" max="1041" width="4.26953125" style="548" customWidth="1"/>
    <col min="1042" max="1042" width="5" style="548" customWidth="1"/>
    <col min="1043" max="1044" width="3.81640625" style="548" customWidth="1"/>
    <col min="1045" max="1045" width="5.26953125" style="548" customWidth="1"/>
    <col min="1046" max="1046" width="3.26953125" style="548" customWidth="1"/>
    <col min="1047" max="1047" width="0" style="548" hidden="1" customWidth="1"/>
    <col min="1048" max="1048" width="3" style="548" customWidth="1"/>
    <col min="1049" max="1049" width="4" style="548" customWidth="1"/>
    <col min="1050" max="1050" width="8.54296875" style="548" customWidth="1"/>
    <col min="1051" max="1275" width="8.81640625" style="548"/>
    <col min="1276" max="1276" width="3.54296875" style="548" customWidth="1"/>
    <col min="1277" max="1277" width="5.81640625" style="548" customWidth="1"/>
    <col min="1278" max="1278" width="4.453125" style="548" customWidth="1"/>
    <col min="1279" max="1279" width="4.54296875" style="548" customWidth="1"/>
    <col min="1280" max="1280" width="2.7265625" style="548" customWidth="1"/>
    <col min="1281" max="1281" width="4" style="548" customWidth="1"/>
    <col min="1282" max="1282" width="4.81640625" style="548" customWidth="1"/>
    <col min="1283" max="1283" width="4.1796875" style="548" customWidth="1"/>
    <col min="1284" max="1284" width="4.81640625" style="548" customWidth="1"/>
    <col min="1285" max="1285" width="4.54296875" style="548" customWidth="1"/>
    <col min="1286" max="1286" width="6" style="548" customWidth="1"/>
    <col min="1287" max="1287" width="5.54296875" style="548" customWidth="1"/>
    <col min="1288" max="1288" width="0.26953125" style="548" customWidth="1"/>
    <col min="1289" max="1291" width="0" style="548" hidden="1" customWidth="1"/>
    <col min="1292" max="1292" width="5.54296875" style="548" customWidth="1"/>
    <col min="1293" max="1293" width="4.1796875" style="548" customWidth="1"/>
    <col min="1294" max="1294" width="3.7265625" style="548" customWidth="1"/>
    <col min="1295" max="1295" width="3.81640625" style="548" customWidth="1"/>
    <col min="1296" max="1296" width="0.453125" style="548" customWidth="1"/>
    <col min="1297" max="1297" width="4.26953125" style="548" customWidth="1"/>
    <col min="1298" max="1298" width="5" style="548" customWidth="1"/>
    <col min="1299" max="1300" width="3.81640625" style="548" customWidth="1"/>
    <col min="1301" max="1301" width="5.26953125" style="548" customWidth="1"/>
    <col min="1302" max="1302" width="3.26953125" style="548" customWidth="1"/>
    <col min="1303" max="1303" width="0" style="548" hidden="1" customWidth="1"/>
    <col min="1304" max="1304" width="3" style="548" customWidth="1"/>
    <col min="1305" max="1305" width="4" style="548" customWidth="1"/>
    <col min="1306" max="1306" width="8.54296875" style="548" customWidth="1"/>
    <col min="1307" max="1531" width="8.81640625" style="548"/>
    <col min="1532" max="1532" width="3.54296875" style="548" customWidth="1"/>
    <col min="1533" max="1533" width="5.81640625" style="548" customWidth="1"/>
    <col min="1534" max="1534" width="4.453125" style="548" customWidth="1"/>
    <col min="1535" max="1535" width="4.54296875" style="548" customWidth="1"/>
    <col min="1536" max="1536" width="2.7265625" style="548" customWidth="1"/>
    <col min="1537" max="1537" width="4" style="548" customWidth="1"/>
    <col min="1538" max="1538" width="4.81640625" style="548" customWidth="1"/>
    <col min="1539" max="1539" width="4.1796875" style="548" customWidth="1"/>
    <col min="1540" max="1540" width="4.81640625" style="548" customWidth="1"/>
    <col min="1541" max="1541" width="4.54296875" style="548" customWidth="1"/>
    <col min="1542" max="1542" width="6" style="548" customWidth="1"/>
    <col min="1543" max="1543" width="5.54296875" style="548" customWidth="1"/>
    <col min="1544" max="1544" width="0.26953125" style="548" customWidth="1"/>
    <col min="1545" max="1547" width="0" style="548" hidden="1" customWidth="1"/>
    <col min="1548" max="1548" width="5.54296875" style="548" customWidth="1"/>
    <col min="1549" max="1549" width="4.1796875" style="548" customWidth="1"/>
    <col min="1550" max="1550" width="3.7265625" style="548" customWidth="1"/>
    <col min="1551" max="1551" width="3.81640625" style="548" customWidth="1"/>
    <col min="1552" max="1552" width="0.453125" style="548" customWidth="1"/>
    <col min="1553" max="1553" width="4.26953125" style="548" customWidth="1"/>
    <col min="1554" max="1554" width="5" style="548" customWidth="1"/>
    <col min="1555" max="1556" width="3.81640625" style="548" customWidth="1"/>
    <col min="1557" max="1557" width="5.26953125" style="548" customWidth="1"/>
    <col min="1558" max="1558" width="3.26953125" style="548" customWidth="1"/>
    <col min="1559" max="1559" width="0" style="548" hidden="1" customWidth="1"/>
    <col min="1560" max="1560" width="3" style="548" customWidth="1"/>
    <col min="1561" max="1561" width="4" style="548" customWidth="1"/>
    <col min="1562" max="1562" width="8.54296875" style="548" customWidth="1"/>
    <col min="1563" max="1787" width="8.81640625" style="548"/>
    <col min="1788" max="1788" width="3.54296875" style="548" customWidth="1"/>
    <col min="1789" max="1789" width="5.81640625" style="548" customWidth="1"/>
    <col min="1790" max="1790" width="4.453125" style="548" customWidth="1"/>
    <col min="1791" max="1791" width="4.54296875" style="548" customWidth="1"/>
    <col min="1792" max="1792" width="2.7265625" style="548" customWidth="1"/>
    <col min="1793" max="1793" width="4" style="548" customWidth="1"/>
    <col min="1794" max="1794" width="4.81640625" style="548" customWidth="1"/>
    <col min="1795" max="1795" width="4.1796875" style="548" customWidth="1"/>
    <col min="1796" max="1796" width="4.81640625" style="548" customWidth="1"/>
    <col min="1797" max="1797" width="4.54296875" style="548" customWidth="1"/>
    <col min="1798" max="1798" width="6" style="548" customWidth="1"/>
    <col min="1799" max="1799" width="5.54296875" style="548" customWidth="1"/>
    <col min="1800" max="1800" width="0.26953125" style="548" customWidth="1"/>
    <col min="1801" max="1803" width="0" style="548" hidden="1" customWidth="1"/>
    <col min="1804" max="1804" width="5.54296875" style="548" customWidth="1"/>
    <col min="1805" max="1805" width="4.1796875" style="548" customWidth="1"/>
    <col min="1806" max="1806" width="3.7265625" style="548" customWidth="1"/>
    <col min="1807" max="1807" width="3.81640625" style="548" customWidth="1"/>
    <col min="1808" max="1808" width="0.453125" style="548" customWidth="1"/>
    <col min="1809" max="1809" width="4.26953125" style="548" customWidth="1"/>
    <col min="1810" max="1810" width="5" style="548" customWidth="1"/>
    <col min="1811" max="1812" width="3.81640625" style="548" customWidth="1"/>
    <col min="1813" max="1813" width="5.26953125" style="548" customWidth="1"/>
    <col min="1814" max="1814" width="3.26953125" style="548" customWidth="1"/>
    <col min="1815" max="1815" width="0" style="548" hidden="1" customWidth="1"/>
    <col min="1816" max="1816" width="3" style="548" customWidth="1"/>
    <col min="1817" max="1817" width="4" style="548" customWidth="1"/>
    <col min="1818" max="1818" width="8.54296875" style="548" customWidth="1"/>
    <col min="1819" max="2043" width="8.81640625" style="548"/>
    <col min="2044" max="2044" width="3.54296875" style="548" customWidth="1"/>
    <col min="2045" max="2045" width="5.81640625" style="548" customWidth="1"/>
    <col min="2046" max="2046" width="4.453125" style="548" customWidth="1"/>
    <col min="2047" max="2047" width="4.54296875" style="548" customWidth="1"/>
    <col min="2048" max="2048" width="2.7265625" style="548" customWidth="1"/>
    <col min="2049" max="2049" width="4" style="548" customWidth="1"/>
    <col min="2050" max="2050" width="4.81640625" style="548" customWidth="1"/>
    <col min="2051" max="2051" width="4.1796875" style="548" customWidth="1"/>
    <col min="2052" max="2052" width="4.81640625" style="548" customWidth="1"/>
    <col min="2053" max="2053" width="4.54296875" style="548" customWidth="1"/>
    <col min="2054" max="2054" width="6" style="548" customWidth="1"/>
    <col min="2055" max="2055" width="5.54296875" style="548" customWidth="1"/>
    <col min="2056" max="2056" width="0.26953125" style="548" customWidth="1"/>
    <col min="2057" max="2059" width="0" style="548" hidden="1" customWidth="1"/>
    <col min="2060" max="2060" width="5.54296875" style="548" customWidth="1"/>
    <col min="2061" max="2061" width="4.1796875" style="548" customWidth="1"/>
    <col min="2062" max="2062" width="3.7265625" style="548" customWidth="1"/>
    <col min="2063" max="2063" width="3.81640625" style="548" customWidth="1"/>
    <col min="2064" max="2064" width="0.453125" style="548" customWidth="1"/>
    <col min="2065" max="2065" width="4.26953125" style="548" customWidth="1"/>
    <col min="2066" max="2066" width="5" style="548" customWidth="1"/>
    <col min="2067" max="2068" width="3.81640625" style="548" customWidth="1"/>
    <col min="2069" max="2069" width="5.26953125" style="548" customWidth="1"/>
    <col min="2070" max="2070" width="3.26953125" style="548" customWidth="1"/>
    <col min="2071" max="2071" width="0" style="548" hidden="1" customWidth="1"/>
    <col min="2072" max="2072" width="3" style="548" customWidth="1"/>
    <col min="2073" max="2073" width="4" style="548" customWidth="1"/>
    <col min="2074" max="2074" width="8.54296875" style="548" customWidth="1"/>
    <col min="2075" max="2299" width="8.81640625" style="548"/>
    <col min="2300" max="2300" width="3.54296875" style="548" customWidth="1"/>
    <col min="2301" max="2301" width="5.81640625" style="548" customWidth="1"/>
    <col min="2302" max="2302" width="4.453125" style="548" customWidth="1"/>
    <col min="2303" max="2303" width="4.54296875" style="548" customWidth="1"/>
    <col min="2304" max="2304" width="2.7265625" style="548" customWidth="1"/>
    <col min="2305" max="2305" width="4" style="548" customWidth="1"/>
    <col min="2306" max="2306" width="4.81640625" style="548" customWidth="1"/>
    <col min="2307" max="2307" width="4.1796875" style="548" customWidth="1"/>
    <col min="2308" max="2308" width="4.81640625" style="548" customWidth="1"/>
    <col min="2309" max="2309" width="4.54296875" style="548" customWidth="1"/>
    <col min="2310" max="2310" width="6" style="548" customWidth="1"/>
    <col min="2311" max="2311" width="5.54296875" style="548" customWidth="1"/>
    <col min="2312" max="2312" width="0.26953125" style="548" customWidth="1"/>
    <col min="2313" max="2315" width="0" style="548" hidden="1" customWidth="1"/>
    <col min="2316" max="2316" width="5.54296875" style="548" customWidth="1"/>
    <col min="2317" max="2317" width="4.1796875" style="548" customWidth="1"/>
    <col min="2318" max="2318" width="3.7265625" style="548" customWidth="1"/>
    <col min="2319" max="2319" width="3.81640625" style="548" customWidth="1"/>
    <col min="2320" max="2320" width="0.453125" style="548" customWidth="1"/>
    <col min="2321" max="2321" width="4.26953125" style="548" customWidth="1"/>
    <col min="2322" max="2322" width="5" style="548" customWidth="1"/>
    <col min="2323" max="2324" width="3.81640625" style="548" customWidth="1"/>
    <col min="2325" max="2325" width="5.26953125" style="548" customWidth="1"/>
    <col min="2326" max="2326" width="3.26953125" style="548" customWidth="1"/>
    <col min="2327" max="2327" width="0" style="548" hidden="1" customWidth="1"/>
    <col min="2328" max="2328" width="3" style="548" customWidth="1"/>
    <col min="2329" max="2329" width="4" style="548" customWidth="1"/>
    <col min="2330" max="2330" width="8.54296875" style="548" customWidth="1"/>
    <col min="2331" max="2555" width="8.81640625" style="548"/>
    <col min="2556" max="2556" width="3.54296875" style="548" customWidth="1"/>
    <col min="2557" max="2557" width="5.81640625" style="548" customWidth="1"/>
    <col min="2558" max="2558" width="4.453125" style="548" customWidth="1"/>
    <col min="2559" max="2559" width="4.54296875" style="548" customWidth="1"/>
    <col min="2560" max="2560" width="2.7265625" style="548" customWidth="1"/>
    <col min="2561" max="2561" width="4" style="548" customWidth="1"/>
    <col min="2562" max="2562" width="4.81640625" style="548" customWidth="1"/>
    <col min="2563" max="2563" width="4.1796875" style="548" customWidth="1"/>
    <col min="2564" max="2564" width="4.81640625" style="548" customWidth="1"/>
    <col min="2565" max="2565" width="4.54296875" style="548" customWidth="1"/>
    <col min="2566" max="2566" width="6" style="548" customWidth="1"/>
    <col min="2567" max="2567" width="5.54296875" style="548" customWidth="1"/>
    <col min="2568" max="2568" width="0.26953125" style="548" customWidth="1"/>
    <col min="2569" max="2571" width="0" style="548" hidden="1" customWidth="1"/>
    <col min="2572" max="2572" width="5.54296875" style="548" customWidth="1"/>
    <col min="2573" max="2573" width="4.1796875" style="548" customWidth="1"/>
    <col min="2574" max="2574" width="3.7265625" style="548" customWidth="1"/>
    <col min="2575" max="2575" width="3.81640625" style="548" customWidth="1"/>
    <col min="2576" max="2576" width="0.453125" style="548" customWidth="1"/>
    <col min="2577" max="2577" width="4.26953125" style="548" customWidth="1"/>
    <col min="2578" max="2578" width="5" style="548" customWidth="1"/>
    <col min="2579" max="2580" width="3.81640625" style="548" customWidth="1"/>
    <col min="2581" max="2581" width="5.26953125" style="548" customWidth="1"/>
    <col min="2582" max="2582" width="3.26953125" style="548" customWidth="1"/>
    <col min="2583" max="2583" width="0" style="548" hidden="1" customWidth="1"/>
    <col min="2584" max="2584" width="3" style="548" customWidth="1"/>
    <col min="2585" max="2585" width="4" style="548" customWidth="1"/>
    <col min="2586" max="2586" width="8.54296875" style="548" customWidth="1"/>
    <col min="2587" max="2811" width="8.81640625" style="548"/>
    <col min="2812" max="2812" width="3.54296875" style="548" customWidth="1"/>
    <col min="2813" max="2813" width="5.81640625" style="548" customWidth="1"/>
    <col min="2814" max="2814" width="4.453125" style="548" customWidth="1"/>
    <col min="2815" max="2815" width="4.54296875" style="548" customWidth="1"/>
    <col min="2816" max="2816" width="2.7265625" style="548" customWidth="1"/>
    <col min="2817" max="2817" width="4" style="548" customWidth="1"/>
    <col min="2818" max="2818" width="4.81640625" style="548" customWidth="1"/>
    <col min="2819" max="2819" width="4.1796875" style="548" customWidth="1"/>
    <col min="2820" max="2820" width="4.81640625" style="548" customWidth="1"/>
    <col min="2821" max="2821" width="4.54296875" style="548" customWidth="1"/>
    <col min="2822" max="2822" width="6" style="548" customWidth="1"/>
    <col min="2823" max="2823" width="5.54296875" style="548" customWidth="1"/>
    <col min="2824" max="2824" width="0.26953125" style="548" customWidth="1"/>
    <col min="2825" max="2827" width="0" style="548" hidden="1" customWidth="1"/>
    <col min="2828" max="2828" width="5.54296875" style="548" customWidth="1"/>
    <col min="2829" max="2829" width="4.1796875" style="548" customWidth="1"/>
    <col min="2830" max="2830" width="3.7265625" style="548" customWidth="1"/>
    <col min="2831" max="2831" width="3.81640625" style="548" customWidth="1"/>
    <col min="2832" max="2832" width="0.453125" style="548" customWidth="1"/>
    <col min="2833" max="2833" width="4.26953125" style="548" customWidth="1"/>
    <col min="2834" max="2834" width="5" style="548" customWidth="1"/>
    <col min="2835" max="2836" width="3.81640625" style="548" customWidth="1"/>
    <col min="2837" max="2837" width="5.26953125" style="548" customWidth="1"/>
    <col min="2838" max="2838" width="3.26953125" style="548" customWidth="1"/>
    <col min="2839" max="2839" width="0" style="548" hidden="1" customWidth="1"/>
    <col min="2840" max="2840" width="3" style="548" customWidth="1"/>
    <col min="2841" max="2841" width="4" style="548" customWidth="1"/>
    <col min="2842" max="2842" width="8.54296875" style="548" customWidth="1"/>
    <col min="2843" max="3067" width="8.81640625" style="548"/>
    <col min="3068" max="3068" width="3.54296875" style="548" customWidth="1"/>
    <col min="3069" max="3069" width="5.81640625" style="548" customWidth="1"/>
    <col min="3070" max="3070" width="4.453125" style="548" customWidth="1"/>
    <col min="3071" max="3071" width="4.54296875" style="548" customWidth="1"/>
    <col min="3072" max="3072" width="2.7265625" style="548" customWidth="1"/>
    <col min="3073" max="3073" width="4" style="548" customWidth="1"/>
    <col min="3074" max="3074" width="4.81640625" style="548" customWidth="1"/>
    <col min="3075" max="3075" width="4.1796875" style="548" customWidth="1"/>
    <col min="3076" max="3076" width="4.81640625" style="548" customWidth="1"/>
    <col min="3077" max="3077" width="4.54296875" style="548" customWidth="1"/>
    <col min="3078" max="3078" width="6" style="548" customWidth="1"/>
    <col min="3079" max="3079" width="5.54296875" style="548" customWidth="1"/>
    <col min="3080" max="3080" width="0.26953125" style="548" customWidth="1"/>
    <col min="3081" max="3083" width="0" style="548" hidden="1" customWidth="1"/>
    <col min="3084" max="3084" width="5.54296875" style="548" customWidth="1"/>
    <col min="3085" max="3085" width="4.1796875" style="548" customWidth="1"/>
    <col min="3086" max="3086" width="3.7265625" style="548" customWidth="1"/>
    <col min="3087" max="3087" width="3.81640625" style="548" customWidth="1"/>
    <col min="3088" max="3088" width="0.453125" style="548" customWidth="1"/>
    <col min="3089" max="3089" width="4.26953125" style="548" customWidth="1"/>
    <col min="3090" max="3090" width="5" style="548" customWidth="1"/>
    <col min="3091" max="3092" width="3.81640625" style="548" customWidth="1"/>
    <col min="3093" max="3093" width="5.26953125" style="548" customWidth="1"/>
    <col min="3094" max="3094" width="3.26953125" style="548" customWidth="1"/>
    <col min="3095" max="3095" width="0" style="548" hidden="1" customWidth="1"/>
    <col min="3096" max="3096" width="3" style="548" customWidth="1"/>
    <col min="3097" max="3097" width="4" style="548" customWidth="1"/>
    <col min="3098" max="3098" width="8.54296875" style="548" customWidth="1"/>
    <col min="3099" max="3323" width="8.81640625" style="548"/>
    <col min="3324" max="3324" width="3.54296875" style="548" customWidth="1"/>
    <col min="3325" max="3325" width="5.81640625" style="548" customWidth="1"/>
    <col min="3326" max="3326" width="4.453125" style="548" customWidth="1"/>
    <col min="3327" max="3327" width="4.54296875" style="548" customWidth="1"/>
    <col min="3328" max="3328" width="2.7265625" style="548" customWidth="1"/>
    <col min="3329" max="3329" width="4" style="548" customWidth="1"/>
    <col min="3330" max="3330" width="4.81640625" style="548" customWidth="1"/>
    <col min="3331" max="3331" width="4.1796875" style="548" customWidth="1"/>
    <col min="3332" max="3332" width="4.81640625" style="548" customWidth="1"/>
    <col min="3333" max="3333" width="4.54296875" style="548" customWidth="1"/>
    <col min="3334" max="3334" width="6" style="548" customWidth="1"/>
    <col min="3335" max="3335" width="5.54296875" style="548" customWidth="1"/>
    <col min="3336" max="3336" width="0.26953125" style="548" customWidth="1"/>
    <col min="3337" max="3339" width="0" style="548" hidden="1" customWidth="1"/>
    <col min="3340" max="3340" width="5.54296875" style="548" customWidth="1"/>
    <col min="3341" max="3341" width="4.1796875" style="548" customWidth="1"/>
    <col min="3342" max="3342" width="3.7265625" style="548" customWidth="1"/>
    <col min="3343" max="3343" width="3.81640625" style="548" customWidth="1"/>
    <col min="3344" max="3344" width="0.453125" style="548" customWidth="1"/>
    <col min="3345" max="3345" width="4.26953125" style="548" customWidth="1"/>
    <col min="3346" max="3346" width="5" style="548" customWidth="1"/>
    <col min="3347" max="3348" width="3.81640625" style="548" customWidth="1"/>
    <col min="3349" max="3349" width="5.26953125" style="548" customWidth="1"/>
    <col min="3350" max="3350" width="3.26953125" style="548" customWidth="1"/>
    <col min="3351" max="3351" width="0" style="548" hidden="1" customWidth="1"/>
    <col min="3352" max="3352" width="3" style="548" customWidth="1"/>
    <col min="3353" max="3353" width="4" style="548" customWidth="1"/>
    <col min="3354" max="3354" width="8.54296875" style="548" customWidth="1"/>
    <col min="3355" max="3579" width="8.81640625" style="548"/>
    <col min="3580" max="3580" width="3.54296875" style="548" customWidth="1"/>
    <col min="3581" max="3581" width="5.81640625" style="548" customWidth="1"/>
    <col min="3582" max="3582" width="4.453125" style="548" customWidth="1"/>
    <col min="3583" max="3583" width="4.54296875" style="548" customWidth="1"/>
    <col min="3584" max="3584" width="2.7265625" style="548" customWidth="1"/>
    <col min="3585" max="3585" width="4" style="548" customWidth="1"/>
    <col min="3586" max="3586" width="4.81640625" style="548" customWidth="1"/>
    <col min="3587" max="3587" width="4.1796875" style="548" customWidth="1"/>
    <col min="3588" max="3588" width="4.81640625" style="548" customWidth="1"/>
    <col min="3589" max="3589" width="4.54296875" style="548" customWidth="1"/>
    <col min="3590" max="3590" width="6" style="548" customWidth="1"/>
    <col min="3591" max="3591" width="5.54296875" style="548" customWidth="1"/>
    <col min="3592" max="3592" width="0.26953125" style="548" customWidth="1"/>
    <col min="3593" max="3595" width="0" style="548" hidden="1" customWidth="1"/>
    <col min="3596" max="3596" width="5.54296875" style="548" customWidth="1"/>
    <col min="3597" max="3597" width="4.1796875" style="548" customWidth="1"/>
    <col min="3598" max="3598" width="3.7265625" style="548" customWidth="1"/>
    <col min="3599" max="3599" width="3.81640625" style="548" customWidth="1"/>
    <col min="3600" max="3600" width="0.453125" style="548" customWidth="1"/>
    <col min="3601" max="3601" width="4.26953125" style="548" customWidth="1"/>
    <col min="3602" max="3602" width="5" style="548" customWidth="1"/>
    <col min="3603" max="3604" width="3.81640625" style="548" customWidth="1"/>
    <col min="3605" max="3605" width="5.26953125" style="548" customWidth="1"/>
    <col min="3606" max="3606" width="3.26953125" style="548" customWidth="1"/>
    <col min="3607" max="3607" width="0" style="548" hidden="1" customWidth="1"/>
    <col min="3608" max="3608" width="3" style="548" customWidth="1"/>
    <col min="3609" max="3609" width="4" style="548" customWidth="1"/>
    <col min="3610" max="3610" width="8.54296875" style="548" customWidth="1"/>
    <col min="3611" max="3835" width="8.81640625" style="548"/>
    <col min="3836" max="3836" width="3.54296875" style="548" customWidth="1"/>
    <col min="3837" max="3837" width="5.81640625" style="548" customWidth="1"/>
    <col min="3838" max="3838" width="4.453125" style="548" customWidth="1"/>
    <col min="3839" max="3839" width="4.54296875" style="548" customWidth="1"/>
    <col min="3840" max="3840" width="2.7265625" style="548" customWidth="1"/>
    <col min="3841" max="3841" width="4" style="548" customWidth="1"/>
    <col min="3842" max="3842" width="4.81640625" style="548" customWidth="1"/>
    <col min="3843" max="3843" width="4.1796875" style="548" customWidth="1"/>
    <col min="3844" max="3844" width="4.81640625" style="548" customWidth="1"/>
    <col min="3845" max="3845" width="4.54296875" style="548" customWidth="1"/>
    <col min="3846" max="3846" width="6" style="548" customWidth="1"/>
    <col min="3847" max="3847" width="5.54296875" style="548" customWidth="1"/>
    <col min="3848" max="3848" width="0.26953125" style="548" customWidth="1"/>
    <col min="3849" max="3851" width="0" style="548" hidden="1" customWidth="1"/>
    <col min="3852" max="3852" width="5.54296875" style="548" customWidth="1"/>
    <col min="3853" max="3853" width="4.1796875" style="548" customWidth="1"/>
    <col min="3854" max="3854" width="3.7265625" style="548" customWidth="1"/>
    <col min="3855" max="3855" width="3.81640625" style="548" customWidth="1"/>
    <col min="3856" max="3856" width="0.453125" style="548" customWidth="1"/>
    <col min="3857" max="3857" width="4.26953125" style="548" customWidth="1"/>
    <col min="3858" max="3858" width="5" style="548" customWidth="1"/>
    <col min="3859" max="3860" width="3.81640625" style="548" customWidth="1"/>
    <col min="3861" max="3861" width="5.26953125" style="548" customWidth="1"/>
    <col min="3862" max="3862" width="3.26953125" style="548" customWidth="1"/>
    <col min="3863" max="3863" width="0" style="548" hidden="1" customWidth="1"/>
    <col min="3864" max="3864" width="3" style="548" customWidth="1"/>
    <col min="3865" max="3865" width="4" style="548" customWidth="1"/>
    <col min="3866" max="3866" width="8.54296875" style="548" customWidth="1"/>
    <col min="3867" max="4091" width="8.81640625" style="548"/>
    <col min="4092" max="4092" width="3.54296875" style="548" customWidth="1"/>
    <col min="4093" max="4093" width="5.81640625" style="548" customWidth="1"/>
    <col min="4094" max="4094" width="4.453125" style="548" customWidth="1"/>
    <col min="4095" max="4095" width="4.54296875" style="548" customWidth="1"/>
    <col min="4096" max="4096" width="2.7265625" style="548" customWidth="1"/>
    <col min="4097" max="4097" width="4" style="548" customWidth="1"/>
    <col min="4098" max="4098" width="4.81640625" style="548" customWidth="1"/>
    <col min="4099" max="4099" width="4.1796875" style="548" customWidth="1"/>
    <col min="4100" max="4100" width="4.81640625" style="548" customWidth="1"/>
    <col min="4101" max="4101" width="4.54296875" style="548" customWidth="1"/>
    <col min="4102" max="4102" width="6" style="548" customWidth="1"/>
    <col min="4103" max="4103" width="5.54296875" style="548" customWidth="1"/>
    <col min="4104" max="4104" width="0.26953125" style="548" customWidth="1"/>
    <col min="4105" max="4107" width="0" style="548" hidden="1" customWidth="1"/>
    <col min="4108" max="4108" width="5.54296875" style="548" customWidth="1"/>
    <col min="4109" max="4109" width="4.1796875" style="548" customWidth="1"/>
    <col min="4110" max="4110" width="3.7265625" style="548" customWidth="1"/>
    <col min="4111" max="4111" width="3.81640625" style="548" customWidth="1"/>
    <col min="4112" max="4112" width="0.453125" style="548" customWidth="1"/>
    <col min="4113" max="4113" width="4.26953125" style="548" customWidth="1"/>
    <col min="4114" max="4114" width="5" style="548" customWidth="1"/>
    <col min="4115" max="4116" width="3.81640625" style="548" customWidth="1"/>
    <col min="4117" max="4117" width="5.26953125" style="548" customWidth="1"/>
    <col min="4118" max="4118" width="3.26953125" style="548" customWidth="1"/>
    <col min="4119" max="4119" width="0" style="548" hidden="1" customWidth="1"/>
    <col min="4120" max="4120" width="3" style="548" customWidth="1"/>
    <col min="4121" max="4121" width="4" style="548" customWidth="1"/>
    <col min="4122" max="4122" width="8.54296875" style="548" customWidth="1"/>
    <col min="4123" max="4347" width="8.81640625" style="548"/>
    <col min="4348" max="4348" width="3.54296875" style="548" customWidth="1"/>
    <col min="4349" max="4349" width="5.81640625" style="548" customWidth="1"/>
    <col min="4350" max="4350" width="4.453125" style="548" customWidth="1"/>
    <col min="4351" max="4351" width="4.54296875" style="548" customWidth="1"/>
    <col min="4352" max="4352" width="2.7265625" style="548" customWidth="1"/>
    <col min="4353" max="4353" width="4" style="548" customWidth="1"/>
    <col min="4354" max="4354" width="4.81640625" style="548" customWidth="1"/>
    <col min="4355" max="4355" width="4.1796875" style="548" customWidth="1"/>
    <col min="4356" max="4356" width="4.81640625" style="548" customWidth="1"/>
    <col min="4357" max="4357" width="4.54296875" style="548" customWidth="1"/>
    <col min="4358" max="4358" width="6" style="548" customWidth="1"/>
    <col min="4359" max="4359" width="5.54296875" style="548" customWidth="1"/>
    <col min="4360" max="4360" width="0.26953125" style="548" customWidth="1"/>
    <col min="4361" max="4363" width="0" style="548" hidden="1" customWidth="1"/>
    <col min="4364" max="4364" width="5.54296875" style="548" customWidth="1"/>
    <col min="4365" max="4365" width="4.1796875" style="548" customWidth="1"/>
    <col min="4366" max="4366" width="3.7265625" style="548" customWidth="1"/>
    <col min="4367" max="4367" width="3.81640625" style="548" customWidth="1"/>
    <col min="4368" max="4368" width="0.453125" style="548" customWidth="1"/>
    <col min="4369" max="4369" width="4.26953125" style="548" customWidth="1"/>
    <col min="4370" max="4370" width="5" style="548" customWidth="1"/>
    <col min="4371" max="4372" width="3.81640625" style="548" customWidth="1"/>
    <col min="4373" max="4373" width="5.26953125" style="548" customWidth="1"/>
    <col min="4374" max="4374" width="3.26953125" style="548" customWidth="1"/>
    <col min="4375" max="4375" width="0" style="548" hidden="1" customWidth="1"/>
    <col min="4376" max="4376" width="3" style="548" customWidth="1"/>
    <col min="4377" max="4377" width="4" style="548" customWidth="1"/>
    <col min="4378" max="4378" width="8.54296875" style="548" customWidth="1"/>
    <col min="4379" max="4603" width="8.81640625" style="548"/>
    <col min="4604" max="4604" width="3.54296875" style="548" customWidth="1"/>
    <col min="4605" max="4605" width="5.81640625" style="548" customWidth="1"/>
    <col min="4606" max="4606" width="4.453125" style="548" customWidth="1"/>
    <col min="4607" max="4607" width="4.54296875" style="548" customWidth="1"/>
    <col min="4608" max="4608" width="2.7265625" style="548" customWidth="1"/>
    <col min="4609" max="4609" width="4" style="548" customWidth="1"/>
    <col min="4610" max="4610" width="4.81640625" style="548" customWidth="1"/>
    <col min="4611" max="4611" width="4.1796875" style="548" customWidth="1"/>
    <col min="4612" max="4612" width="4.81640625" style="548" customWidth="1"/>
    <col min="4613" max="4613" width="4.54296875" style="548" customWidth="1"/>
    <col min="4614" max="4614" width="6" style="548" customWidth="1"/>
    <col min="4615" max="4615" width="5.54296875" style="548" customWidth="1"/>
    <col min="4616" max="4616" width="0.26953125" style="548" customWidth="1"/>
    <col min="4617" max="4619" width="0" style="548" hidden="1" customWidth="1"/>
    <col min="4620" max="4620" width="5.54296875" style="548" customWidth="1"/>
    <col min="4621" max="4621" width="4.1796875" style="548" customWidth="1"/>
    <col min="4622" max="4622" width="3.7265625" style="548" customWidth="1"/>
    <col min="4623" max="4623" width="3.81640625" style="548" customWidth="1"/>
    <col min="4624" max="4624" width="0.453125" style="548" customWidth="1"/>
    <col min="4625" max="4625" width="4.26953125" style="548" customWidth="1"/>
    <col min="4626" max="4626" width="5" style="548" customWidth="1"/>
    <col min="4627" max="4628" width="3.81640625" style="548" customWidth="1"/>
    <col min="4629" max="4629" width="5.26953125" style="548" customWidth="1"/>
    <col min="4630" max="4630" width="3.26953125" style="548" customWidth="1"/>
    <col min="4631" max="4631" width="0" style="548" hidden="1" customWidth="1"/>
    <col min="4632" max="4632" width="3" style="548" customWidth="1"/>
    <col min="4633" max="4633" width="4" style="548" customWidth="1"/>
    <col min="4634" max="4634" width="8.54296875" style="548" customWidth="1"/>
    <col min="4635" max="4859" width="8.81640625" style="548"/>
    <col min="4860" max="4860" width="3.54296875" style="548" customWidth="1"/>
    <col min="4861" max="4861" width="5.81640625" style="548" customWidth="1"/>
    <col min="4862" max="4862" width="4.453125" style="548" customWidth="1"/>
    <col min="4863" max="4863" width="4.54296875" style="548" customWidth="1"/>
    <col min="4864" max="4864" width="2.7265625" style="548" customWidth="1"/>
    <col min="4865" max="4865" width="4" style="548" customWidth="1"/>
    <col min="4866" max="4866" width="4.81640625" style="548" customWidth="1"/>
    <col min="4867" max="4867" width="4.1796875" style="548" customWidth="1"/>
    <col min="4868" max="4868" width="4.81640625" style="548" customWidth="1"/>
    <col min="4869" max="4869" width="4.54296875" style="548" customWidth="1"/>
    <col min="4870" max="4870" width="6" style="548" customWidth="1"/>
    <col min="4871" max="4871" width="5.54296875" style="548" customWidth="1"/>
    <col min="4872" max="4872" width="0.26953125" style="548" customWidth="1"/>
    <col min="4873" max="4875" width="0" style="548" hidden="1" customWidth="1"/>
    <col min="4876" max="4876" width="5.54296875" style="548" customWidth="1"/>
    <col min="4877" max="4877" width="4.1796875" style="548" customWidth="1"/>
    <col min="4878" max="4878" width="3.7265625" style="548" customWidth="1"/>
    <col min="4879" max="4879" width="3.81640625" style="548" customWidth="1"/>
    <col min="4880" max="4880" width="0.453125" style="548" customWidth="1"/>
    <col min="4881" max="4881" width="4.26953125" style="548" customWidth="1"/>
    <col min="4882" max="4882" width="5" style="548" customWidth="1"/>
    <col min="4883" max="4884" width="3.81640625" style="548" customWidth="1"/>
    <col min="4885" max="4885" width="5.26953125" style="548" customWidth="1"/>
    <col min="4886" max="4886" width="3.26953125" style="548" customWidth="1"/>
    <col min="4887" max="4887" width="0" style="548" hidden="1" customWidth="1"/>
    <col min="4888" max="4888" width="3" style="548" customWidth="1"/>
    <col min="4889" max="4889" width="4" style="548" customWidth="1"/>
    <col min="4890" max="4890" width="8.54296875" style="548" customWidth="1"/>
    <col min="4891" max="5115" width="8.81640625" style="548"/>
    <col min="5116" max="5116" width="3.54296875" style="548" customWidth="1"/>
    <col min="5117" max="5117" width="5.81640625" style="548" customWidth="1"/>
    <col min="5118" max="5118" width="4.453125" style="548" customWidth="1"/>
    <col min="5119" max="5119" width="4.54296875" style="548" customWidth="1"/>
    <col min="5120" max="5120" width="2.7265625" style="548" customWidth="1"/>
    <col min="5121" max="5121" width="4" style="548" customWidth="1"/>
    <col min="5122" max="5122" width="4.81640625" style="548" customWidth="1"/>
    <col min="5123" max="5123" width="4.1796875" style="548" customWidth="1"/>
    <col min="5124" max="5124" width="4.81640625" style="548" customWidth="1"/>
    <col min="5125" max="5125" width="4.54296875" style="548" customWidth="1"/>
    <col min="5126" max="5126" width="6" style="548" customWidth="1"/>
    <col min="5127" max="5127" width="5.54296875" style="548" customWidth="1"/>
    <col min="5128" max="5128" width="0.26953125" style="548" customWidth="1"/>
    <col min="5129" max="5131" width="0" style="548" hidden="1" customWidth="1"/>
    <col min="5132" max="5132" width="5.54296875" style="548" customWidth="1"/>
    <col min="5133" max="5133" width="4.1796875" style="548" customWidth="1"/>
    <col min="5134" max="5134" width="3.7265625" style="548" customWidth="1"/>
    <col min="5135" max="5135" width="3.81640625" style="548" customWidth="1"/>
    <col min="5136" max="5136" width="0.453125" style="548" customWidth="1"/>
    <col min="5137" max="5137" width="4.26953125" style="548" customWidth="1"/>
    <col min="5138" max="5138" width="5" style="548" customWidth="1"/>
    <col min="5139" max="5140" width="3.81640625" style="548" customWidth="1"/>
    <col min="5141" max="5141" width="5.26953125" style="548" customWidth="1"/>
    <col min="5142" max="5142" width="3.26953125" style="548" customWidth="1"/>
    <col min="5143" max="5143" width="0" style="548" hidden="1" customWidth="1"/>
    <col min="5144" max="5144" width="3" style="548" customWidth="1"/>
    <col min="5145" max="5145" width="4" style="548" customWidth="1"/>
    <col min="5146" max="5146" width="8.54296875" style="548" customWidth="1"/>
    <col min="5147" max="5371" width="8.81640625" style="548"/>
    <col min="5372" max="5372" width="3.54296875" style="548" customWidth="1"/>
    <col min="5373" max="5373" width="5.81640625" style="548" customWidth="1"/>
    <col min="5374" max="5374" width="4.453125" style="548" customWidth="1"/>
    <col min="5375" max="5375" width="4.54296875" style="548" customWidth="1"/>
    <col min="5376" max="5376" width="2.7265625" style="548" customWidth="1"/>
    <col min="5377" max="5377" width="4" style="548" customWidth="1"/>
    <col min="5378" max="5378" width="4.81640625" style="548" customWidth="1"/>
    <col min="5379" max="5379" width="4.1796875" style="548" customWidth="1"/>
    <col min="5380" max="5380" width="4.81640625" style="548" customWidth="1"/>
    <col min="5381" max="5381" width="4.54296875" style="548" customWidth="1"/>
    <col min="5382" max="5382" width="6" style="548" customWidth="1"/>
    <col min="5383" max="5383" width="5.54296875" style="548" customWidth="1"/>
    <col min="5384" max="5384" width="0.26953125" style="548" customWidth="1"/>
    <col min="5385" max="5387" width="0" style="548" hidden="1" customWidth="1"/>
    <col min="5388" max="5388" width="5.54296875" style="548" customWidth="1"/>
    <col min="5389" max="5389" width="4.1796875" style="548" customWidth="1"/>
    <col min="5390" max="5390" width="3.7265625" style="548" customWidth="1"/>
    <col min="5391" max="5391" width="3.81640625" style="548" customWidth="1"/>
    <col min="5392" max="5392" width="0.453125" style="548" customWidth="1"/>
    <col min="5393" max="5393" width="4.26953125" style="548" customWidth="1"/>
    <col min="5394" max="5394" width="5" style="548" customWidth="1"/>
    <col min="5395" max="5396" width="3.81640625" style="548" customWidth="1"/>
    <col min="5397" max="5397" width="5.26953125" style="548" customWidth="1"/>
    <col min="5398" max="5398" width="3.26953125" style="548" customWidth="1"/>
    <col min="5399" max="5399" width="0" style="548" hidden="1" customWidth="1"/>
    <col min="5400" max="5400" width="3" style="548" customWidth="1"/>
    <col min="5401" max="5401" width="4" style="548" customWidth="1"/>
    <col min="5402" max="5402" width="8.54296875" style="548" customWidth="1"/>
    <col min="5403" max="5627" width="8.81640625" style="548"/>
    <col min="5628" max="5628" width="3.54296875" style="548" customWidth="1"/>
    <col min="5629" max="5629" width="5.81640625" style="548" customWidth="1"/>
    <col min="5630" max="5630" width="4.453125" style="548" customWidth="1"/>
    <col min="5631" max="5631" width="4.54296875" style="548" customWidth="1"/>
    <col min="5632" max="5632" width="2.7265625" style="548" customWidth="1"/>
    <col min="5633" max="5633" width="4" style="548" customWidth="1"/>
    <col min="5634" max="5634" width="4.81640625" style="548" customWidth="1"/>
    <col min="5635" max="5635" width="4.1796875" style="548" customWidth="1"/>
    <col min="5636" max="5636" width="4.81640625" style="548" customWidth="1"/>
    <col min="5637" max="5637" width="4.54296875" style="548" customWidth="1"/>
    <col min="5638" max="5638" width="6" style="548" customWidth="1"/>
    <col min="5639" max="5639" width="5.54296875" style="548" customWidth="1"/>
    <col min="5640" max="5640" width="0.26953125" style="548" customWidth="1"/>
    <col min="5641" max="5643" width="0" style="548" hidden="1" customWidth="1"/>
    <col min="5644" max="5644" width="5.54296875" style="548" customWidth="1"/>
    <col min="5645" max="5645" width="4.1796875" style="548" customWidth="1"/>
    <col min="5646" max="5646" width="3.7265625" style="548" customWidth="1"/>
    <col min="5647" max="5647" width="3.81640625" style="548" customWidth="1"/>
    <col min="5648" max="5648" width="0.453125" style="548" customWidth="1"/>
    <col min="5649" max="5649" width="4.26953125" style="548" customWidth="1"/>
    <col min="5650" max="5650" width="5" style="548" customWidth="1"/>
    <col min="5651" max="5652" width="3.81640625" style="548" customWidth="1"/>
    <col min="5653" max="5653" width="5.26953125" style="548" customWidth="1"/>
    <col min="5654" max="5654" width="3.26953125" style="548" customWidth="1"/>
    <col min="5655" max="5655" width="0" style="548" hidden="1" customWidth="1"/>
    <col min="5656" max="5656" width="3" style="548" customWidth="1"/>
    <col min="5657" max="5657" width="4" style="548" customWidth="1"/>
    <col min="5658" max="5658" width="8.54296875" style="548" customWidth="1"/>
    <col min="5659" max="5883" width="8.81640625" style="548"/>
    <col min="5884" max="5884" width="3.54296875" style="548" customWidth="1"/>
    <col min="5885" max="5885" width="5.81640625" style="548" customWidth="1"/>
    <col min="5886" max="5886" width="4.453125" style="548" customWidth="1"/>
    <col min="5887" max="5887" width="4.54296875" style="548" customWidth="1"/>
    <col min="5888" max="5888" width="2.7265625" style="548" customWidth="1"/>
    <col min="5889" max="5889" width="4" style="548" customWidth="1"/>
    <col min="5890" max="5890" width="4.81640625" style="548" customWidth="1"/>
    <col min="5891" max="5891" width="4.1796875" style="548" customWidth="1"/>
    <col min="5892" max="5892" width="4.81640625" style="548" customWidth="1"/>
    <col min="5893" max="5893" width="4.54296875" style="548" customWidth="1"/>
    <col min="5894" max="5894" width="6" style="548" customWidth="1"/>
    <col min="5895" max="5895" width="5.54296875" style="548" customWidth="1"/>
    <col min="5896" max="5896" width="0.26953125" style="548" customWidth="1"/>
    <col min="5897" max="5899" width="0" style="548" hidden="1" customWidth="1"/>
    <col min="5900" max="5900" width="5.54296875" style="548" customWidth="1"/>
    <col min="5901" max="5901" width="4.1796875" style="548" customWidth="1"/>
    <col min="5902" max="5902" width="3.7265625" style="548" customWidth="1"/>
    <col min="5903" max="5903" width="3.81640625" style="548" customWidth="1"/>
    <col min="5904" max="5904" width="0.453125" style="548" customWidth="1"/>
    <col min="5905" max="5905" width="4.26953125" style="548" customWidth="1"/>
    <col min="5906" max="5906" width="5" style="548" customWidth="1"/>
    <col min="5907" max="5908" width="3.81640625" style="548" customWidth="1"/>
    <col min="5909" max="5909" width="5.26953125" style="548" customWidth="1"/>
    <col min="5910" max="5910" width="3.26953125" style="548" customWidth="1"/>
    <col min="5911" max="5911" width="0" style="548" hidden="1" customWidth="1"/>
    <col min="5912" max="5912" width="3" style="548" customWidth="1"/>
    <col min="5913" max="5913" width="4" style="548" customWidth="1"/>
    <col min="5914" max="5914" width="8.54296875" style="548" customWidth="1"/>
    <col min="5915" max="6139" width="8.81640625" style="548"/>
    <col min="6140" max="6140" width="3.54296875" style="548" customWidth="1"/>
    <col min="6141" max="6141" width="5.81640625" style="548" customWidth="1"/>
    <col min="6142" max="6142" width="4.453125" style="548" customWidth="1"/>
    <col min="6143" max="6143" width="4.54296875" style="548" customWidth="1"/>
    <col min="6144" max="6144" width="2.7265625" style="548" customWidth="1"/>
    <col min="6145" max="6145" width="4" style="548" customWidth="1"/>
    <col min="6146" max="6146" width="4.81640625" style="548" customWidth="1"/>
    <col min="6147" max="6147" width="4.1796875" style="548" customWidth="1"/>
    <col min="6148" max="6148" width="4.81640625" style="548" customWidth="1"/>
    <col min="6149" max="6149" width="4.54296875" style="548" customWidth="1"/>
    <col min="6150" max="6150" width="6" style="548" customWidth="1"/>
    <col min="6151" max="6151" width="5.54296875" style="548" customWidth="1"/>
    <col min="6152" max="6152" width="0.26953125" style="548" customWidth="1"/>
    <col min="6153" max="6155" width="0" style="548" hidden="1" customWidth="1"/>
    <col min="6156" max="6156" width="5.54296875" style="548" customWidth="1"/>
    <col min="6157" max="6157" width="4.1796875" style="548" customWidth="1"/>
    <col min="6158" max="6158" width="3.7265625" style="548" customWidth="1"/>
    <col min="6159" max="6159" width="3.81640625" style="548" customWidth="1"/>
    <col min="6160" max="6160" width="0.453125" style="548" customWidth="1"/>
    <col min="6161" max="6161" width="4.26953125" style="548" customWidth="1"/>
    <col min="6162" max="6162" width="5" style="548" customWidth="1"/>
    <col min="6163" max="6164" width="3.81640625" style="548" customWidth="1"/>
    <col min="6165" max="6165" width="5.26953125" style="548" customWidth="1"/>
    <col min="6166" max="6166" width="3.26953125" style="548" customWidth="1"/>
    <col min="6167" max="6167" width="0" style="548" hidden="1" customWidth="1"/>
    <col min="6168" max="6168" width="3" style="548" customWidth="1"/>
    <col min="6169" max="6169" width="4" style="548" customWidth="1"/>
    <col min="6170" max="6170" width="8.54296875" style="548" customWidth="1"/>
    <col min="6171" max="6395" width="8.81640625" style="548"/>
    <col min="6396" max="6396" width="3.54296875" style="548" customWidth="1"/>
    <col min="6397" max="6397" width="5.81640625" style="548" customWidth="1"/>
    <col min="6398" max="6398" width="4.453125" style="548" customWidth="1"/>
    <col min="6399" max="6399" width="4.54296875" style="548" customWidth="1"/>
    <col min="6400" max="6400" width="2.7265625" style="548" customWidth="1"/>
    <col min="6401" max="6401" width="4" style="548" customWidth="1"/>
    <col min="6402" max="6402" width="4.81640625" style="548" customWidth="1"/>
    <col min="6403" max="6403" width="4.1796875" style="548" customWidth="1"/>
    <col min="6404" max="6404" width="4.81640625" style="548" customWidth="1"/>
    <col min="6405" max="6405" width="4.54296875" style="548" customWidth="1"/>
    <col min="6406" max="6406" width="6" style="548" customWidth="1"/>
    <col min="6407" max="6407" width="5.54296875" style="548" customWidth="1"/>
    <col min="6408" max="6408" width="0.26953125" style="548" customWidth="1"/>
    <col min="6409" max="6411" width="0" style="548" hidden="1" customWidth="1"/>
    <col min="6412" max="6412" width="5.54296875" style="548" customWidth="1"/>
    <col min="6413" max="6413" width="4.1796875" style="548" customWidth="1"/>
    <col min="6414" max="6414" width="3.7265625" style="548" customWidth="1"/>
    <col min="6415" max="6415" width="3.81640625" style="548" customWidth="1"/>
    <col min="6416" max="6416" width="0.453125" style="548" customWidth="1"/>
    <col min="6417" max="6417" width="4.26953125" style="548" customWidth="1"/>
    <col min="6418" max="6418" width="5" style="548" customWidth="1"/>
    <col min="6419" max="6420" width="3.81640625" style="548" customWidth="1"/>
    <col min="6421" max="6421" width="5.26953125" style="548" customWidth="1"/>
    <col min="6422" max="6422" width="3.26953125" style="548" customWidth="1"/>
    <col min="6423" max="6423" width="0" style="548" hidden="1" customWidth="1"/>
    <col min="6424" max="6424" width="3" style="548" customWidth="1"/>
    <col min="6425" max="6425" width="4" style="548" customWidth="1"/>
    <col min="6426" max="6426" width="8.54296875" style="548" customWidth="1"/>
    <col min="6427" max="6651" width="8.81640625" style="548"/>
    <col min="6652" max="6652" width="3.54296875" style="548" customWidth="1"/>
    <col min="6653" max="6653" width="5.81640625" style="548" customWidth="1"/>
    <col min="6654" max="6654" width="4.453125" style="548" customWidth="1"/>
    <col min="6655" max="6655" width="4.54296875" style="548" customWidth="1"/>
    <col min="6656" max="6656" width="2.7265625" style="548" customWidth="1"/>
    <col min="6657" max="6657" width="4" style="548" customWidth="1"/>
    <col min="6658" max="6658" width="4.81640625" style="548" customWidth="1"/>
    <col min="6659" max="6659" width="4.1796875" style="548" customWidth="1"/>
    <col min="6660" max="6660" width="4.81640625" style="548" customWidth="1"/>
    <col min="6661" max="6661" width="4.54296875" style="548" customWidth="1"/>
    <col min="6662" max="6662" width="6" style="548" customWidth="1"/>
    <col min="6663" max="6663" width="5.54296875" style="548" customWidth="1"/>
    <col min="6664" max="6664" width="0.26953125" style="548" customWidth="1"/>
    <col min="6665" max="6667" width="0" style="548" hidden="1" customWidth="1"/>
    <col min="6668" max="6668" width="5.54296875" style="548" customWidth="1"/>
    <col min="6669" max="6669" width="4.1796875" style="548" customWidth="1"/>
    <col min="6670" max="6670" width="3.7265625" style="548" customWidth="1"/>
    <col min="6671" max="6671" width="3.81640625" style="548" customWidth="1"/>
    <col min="6672" max="6672" width="0.453125" style="548" customWidth="1"/>
    <col min="6673" max="6673" width="4.26953125" style="548" customWidth="1"/>
    <col min="6674" max="6674" width="5" style="548" customWidth="1"/>
    <col min="6675" max="6676" width="3.81640625" style="548" customWidth="1"/>
    <col min="6677" max="6677" width="5.26953125" style="548" customWidth="1"/>
    <col min="6678" max="6678" width="3.26953125" style="548" customWidth="1"/>
    <col min="6679" max="6679" width="0" style="548" hidden="1" customWidth="1"/>
    <col min="6680" max="6680" width="3" style="548" customWidth="1"/>
    <col min="6681" max="6681" width="4" style="548" customWidth="1"/>
    <col min="6682" max="6682" width="8.54296875" style="548" customWidth="1"/>
    <col min="6683" max="6907" width="8.81640625" style="548"/>
    <col min="6908" max="6908" width="3.54296875" style="548" customWidth="1"/>
    <col min="6909" max="6909" width="5.81640625" style="548" customWidth="1"/>
    <col min="6910" max="6910" width="4.453125" style="548" customWidth="1"/>
    <col min="6911" max="6911" width="4.54296875" style="548" customWidth="1"/>
    <col min="6912" max="6912" width="2.7265625" style="548" customWidth="1"/>
    <col min="6913" max="6913" width="4" style="548" customWidth="1"/>
    <col min="6914" max="6914" width="4.81640625" style="548" customWidth="1"/>
    <col min="6915" max="6915" width="4.1796875" style="548" customWidth="1"/>
    <col min="6916" max="6916" width="4.81640625" style="548" customWidth="1"/>
    <col min="6917" max="6917" width="4.54296875" style="548" customWidth="1"/>
    <col min="6918" max="6918" width="6" style="548" customWidth="1"/>
    <col min="6919" max="6919" width="5.54296875" style="548" customWidth="1"/>
    <col min="6920" max="6920" width="0.26953125" style="548" customWidth="1"/>
    <col min="6921" max="6923" width="0" style="548" hidden="1" customWidth="1"/>
    <col min="6924" max="6924" width="5.54296875" style="548" customWidth="1"/>
    <col min="6925" max="6925" width="4.1796875" style="548" customWidth="1"/>
    <col min="6926" max="6926" width="3.7265625" style="548" customWidth="1"/>
    <col min="6927" max="6927" width="3.81640625" style="548" customWidth="1"/>
    <col min="6928" max="6928" width="0.453125" style="548" customWidth="1"/>
    <col min="6929" max="6929" width="4.26953125" style="548" customWidth="1"/>
    <col min="6930" max="6930" width="5" style="548" customWidth="1"/>
    <col min="6931" max="6932" width="3.81640625" style="548" customWidth="1"/>
    <col min="6933" max="6933" width="5.26953125" style="548" customWidth="1"/>
    <col min="6934" max="6934" width="3.26953125" style="548" customWidth="1"/>
    <col min="6935" max="6935" width="0" style="548" hidden="1" customWidth="1"/>
    <col min="6936" max="6936" width="3" style="548" customWidth="1"/>
    <col min="6937" max="6937" width="4" style="548" customWidth="1"/>
    <col min="6938" max="6938" width="8.54296875" style="548" customWidth="1"/>
    <col min="6939" max="7163" width="8.81640625" style="548"/>
    <col min="7164" max="7164" width="3.54296875" style="548" customWidth="1"/>
    <col min="7165" max="7165" width="5.81640625" style="548" customWidth="1"/>
    <col min="7166" max="7166" width="4.453125" style="548" customWidth="1"/>
    <col min="7167" max="7167" width="4.54296875" style="548" customWidth="1"/>
    <col min="7168" max="7168" width="2.7265625" style="548" customWidth="1"/>
    <col min="7169" max="7169" width="4" style="548" customWidth="1"/>
    <col min="7170" max="7170" width="4.81640625" style="548" customWidth="1"/>
    <col min="7171" max="7171" width="4.1796875" style="548" customWidth="1"/>
    <col min="7172" max="7172" width="4.81640625" style="548" customWidth="1"/>
    <col min="7173" max="7173" width="4.54296875" style="548" customWidth="1"/>
    <col min="7174" max="7174" width="6" style="548" customWidth="1"/>
    <col min="7175" max="7175" width="5.54296875" style="548" customWidth="1"/>
    <col min="7176" max="7176" width="0.26953125" style="548" customWidth="1"/>
    <col min="7177" max="7179" width="0" style="548" hidden="1" customWidth="1"/>
    <col min="7180" max="7180" width="5.54296875" style="548" customWidth="1"/>
    <col min="7181" max="7181" width="4.1796875" style="548" customWidth="1"/>
    <col min="7182" max="7182" width="3.7265625" style="548" customWidth="1"/>
    <col min="7183" max="7183" width="3.81640625" style="548" customWidth="1"/>
    <col min="7184" max="7184" width="0.453125" style="548" customWidth="1"/>
    <col min="7185" max="7185" width="4.26953125" style="548" customWidth="1"/>
    <col min="7186" max="7186" width="5" style="548" customWidth="1"/>
    <col min="7187" max="7188" width="3.81640625" style="548" customWidth="1"/>
    <col min="7189" max="7189" width="5.26953125" style="548" customWidth="1"/>
    <col min="7190" max="7190" width="3.26953125" style="548" customWidth="1"/>
    <col min="7191" max="7191" width="0" style="548" hidden="1" customWidth="1"/>
    <col min="7192" max="7192" width="3" style="548" customWidth="1"/>
    <col min="7193" max="7193" width="4" style="548" customWidth="1"/>
    <col min="7194" max="7194" width="8.54296875" style="548" customWidth="1"/>
    <col min="7195" max="7419" width="8.81640625" style="548"/>
    <col min="7420" max="7420" width="3.54296875" style="548" customWidth="1"/>
    <col min="7421" max="7421" width="5.81640625" style="548" customWidth="1"/>
    <col min="7422" max="7422" width="4.453125" style="548" customWidth="1"/>
    <col min="7423" max="7423" width="4.54296875" style="548" customWidth="1"/>
    <col min="7424" max="7424" width="2.7265625" style="548" customWidth="1"/>
    <col min="7425" max="7425" width="4" style="548" customWidth="1"/>
    <col min="7426" max="7426" width="4.81640625" style="548" customWidth="1"/>
    <col min="7427" max="7427" width="4.1796875" style="548" customWidth="1"/>
    <col min="7428" max="7428" width="4.81640625" style="548" customWidth="1"/>
    <col min="7429" max="7429" width="4.54296875" style="548" customWidth="1"/>
    <col min="7430" max="7430" width="6" style="548" customWidth="1"/>
    <col min="7431" max="7431" width="5.54296875" style="548" customWidth="1"/>
    <col min="7432" max="7432" width="0.26953125" style="548" customWidth="1"/>
    <col min="7433" max="7435" width="0" style="548" hidden="1" customWidth="1"/>
    <col min="7436" max="7436" width="5.54296875" style="548" customWidth="1"/>
    <col min="7437" max="7437" width="4.1796875" style="548" customWidth="1"/>
    <col min="7438" max="7438" width="3.7265625" style="548" customWidth="1"/>
    <col min="7439" max="7439" width="3.81640625" style="548" customWidth="1"/>
    <col min="7440" max="7440" width="0.453125" style="548" customWidth="1"/>
    <col min="7441" max="7441" width="4.26953125" style="548" customWidth="1"/>
    <col min="7442" max="7442" width="5" style="548" customWidth="1"/>
    <col min="7443" max="7444" width="3.81640625" style="548" customWidth="1"/>
    <col min="7445" max="7445" width="5.26953125" style="548" customWidth="1"/>
    <col min="7446" max="7446" width="3.26953125" style="548" customWidth="1"/>
    <col min="7447" max="7447" width="0" style="548" hidden="1" customWidth="1"/>
    <col min="7448" max="7448" width="3" style="548" customWidth="1"/>
    <col min="7449" max="7449" width="4" style="548" customWidth="1"/>
    <col min="7450" max="7450" width="8.54296875" style="548" customWidth="1"/>
    <col min="7451" max="7675" width="8.81640625" style="548"/>
    <col min="7676" max="7676" width="3.54296875" style="548" customWidth="1"/>
    <col min="7677" max="7677" width="5.81640625" style="548" customWidth="1"/>
    <col min="7678" max="7678" width="4.453125" style="548" customWidth="1"/>
    <col min="7679" max="7679" width="4.54296875" style="548" customWidth="1"/>
    <col min="7680" max="7680" width="2.7265625" style="548" customWidth="1"/>
    <col min="7681" max="7681" width="4" style="548" customWidth="1"/>
    <col min="7682" max="7682" width="4.81640625" style="548" customWidth="1"/>
    <col min="7683" max="7683" width="4.1796875" style="548" customWidth="1"/>
    <col min="7684" max="7684" width="4.81640625" style="548" customWidth="1"/>
    <col min="7685" max="7685" width="4.54296875" style="548" customWidth="1"/>
    <col min="7686" max="7686" width="6" style="548" customWidth="1"/>
    <col min="7687" max="7687" width="5.54296875" style="548" customWidth="1"/>
    <col min="7688" max="7688" width="0.26953125" style="548" customWidth="1"/>
    <col min="7689" max="7691" width="0" style="548" hidden="1" customWidth="1"/>
    <col min="7692" max="7692" width="5.54296875" style="548" customWidth="1"/>
    <col min="7693" max="7693" width="4.1796875" style="548" customWidth="1"/>
    <col min="7694" max="7694" width="3.7265625" style="548" customWidth="1"/>
    <col min="7695" max="7695" width="3.81640625" style="548" customWidth="1"/>
    <col min="7696" max="7696" width="0.453125" style="548" customWidth="1"/>
    <col min="7697" max="7697" width="4.26953125" style="548" customWidth="1"/>
    <col min="7698" max="7698" width="5" style="548" customWidth="1"/>
    <col min="7699" max="7700" width="3.81640625" style="548" customWidth="1"/>
    <col min="7701" max="7701" width="5.26953125" style="548" customWidth="1"/>
    <col min="7702" max="7702" width="3.26953125" style="548" customWidth="1"/>
    <col min="7703" max="7703" width="0" style="548" hidden="1" customWidth="1"/>
    <col min="7704" max="7704" width="3" style="548" customWidth="1"/>
    <col min="7705" max="7705" width="4" style="548" customWidth="1"/>
    <col min="7706" max="7706" width="8.54296875" style="548" customWidth="1"/>
    <col min="7707" max="7931" width="8.81640625" style="548"/>
    <col min="7932" max="7932" width="3.54296875" style="548" customWidth="1"/>
    <col min="7933" max="7933" width="5.81640625" style="548" customWidth="1"/>
    <col min="7934" max="7934" width="4.453125" style="548" customWidth="1"/>
    <col min="7935" max="7935" width="4.54296875" style="548" customWidth="1"/>
    <col min="7936" max="7936" width="2.7265625" style="548" customWidth="1"/>
    <col min="7937" max="7937" width="4" style="548" customWidth="1"/>
    <col min="7938" max="7938" width="4.81640625" style="548" customWidth="1"/>
    <col min="7939" max="7939" width="4.1796875" style="548" customWidth="1"/>
    <col min="7940" max="7940" width="4.81640625" style="548" customWidth="1"/>
    <col min="7941" max="7941" width="4.54296875" style="548" customWidth="1"/>
    <col min="7942" max="7942" width="6" style="548" customWidth="1"/>
    <col min="7943" max="7943" width="5.54296875" style="548" customWidth="1"/>
    <col min="7944" max="7944" width="0.26953125" style="548" customWidth="1"/>
    <col min="7945" max="7947" width="0" style="548" hidden="1" customWidth="1"/>
    <col min="7948" max="7948" width="5.54296875" style="548" customWidth="1"/>
    <col min="7949" max="7949" width="4.1796875" style="548" customWidth="1"/>
    <col min="7950" max="7950" width="3.7265625" style="548" customWidth="1"/>
    <col min="7951" max="7951" width="3.81640625" style="548" customWidth="1"/>
    <col min="7952" max="7952" width="0.453125" style="548" customWidth="1"/>
    <col min="7953" max="7953" width="4.26953125" style="548" customWidth="1"/>
    <col min="7954" max="7954" width="5" style="548" customWidth="1"/>
    <col min="7955" max="7956" width="3.81640625" style="548" customWidth="1"/>
    <col min="7957" max="7957" width="5.26953125" style="548" customWidth="1"/>
    <col min="7958" max="7958" width="3.26953125" style="548" customWidth="1"/>
    <col min="7959" max="7959" width="0" style="548" hidden="1" customWidth="1"/>
    <col min="7960" max="7960" width="3" style="548" customWidth="1"/>
    <col min="7961" max="7961" width="4" style="548" customWidth="1"/>
    <col min="7962" max="7962" width="8.54296875" style="548" customWidth="1"/>
    <col min="7963" max="8187" width="8.81640625" style="548"/>
    <col min="8188" max="8188" width="3.54296875" style="548" customWidth="1"/>
    <col min="8189" max="8189" width="5.81640625" style="548" customWidth="1"/>
    <col min="8190" max="8190" width="4.453125" style="548" customWidth="1"/>
    <col min="8191" max="8191" width="4.54296875" style="548" customWidth="1"/>
    <col min="8192" max="8192" width="2.7265625" style="548" customWidth="1"/>
    <col min="8193" max="8193" width="4" style="548" customWidth="1"/>
    <col min="8194" max="8194" width="4.81640625" style="548" customWidth="1"/>
    <col min="8195" max="8195" width="4.1796875" style="548" customWidth="1"/>
    <col min="8196" max="8196" width="4.81640625" style="548" customWidth="1"/>
    <col min="8197" max="8197" width="4.54296875" style="548" customWidth="1"/>
    <col min="8198" max="8198" width="6" style="548" customWidth="1"/>
    <col min="8199" max="8199" width="5.54296875" style="548" customWidth="1"/>
    <col min="8200" max="8200" width="0.26953125" style="548" customWidth="1"/>
    <col min="8201" max="8203" width="0" style="548" hidden="1" customWidth="1"/>
    <col min="8204" max="8204" width="5.54296875" style="548" customWidth="1"/>
    <col min="8205" max="8205" width="4.1796875" style="548" customWidth="1"/>
    <col min="8206" max="8206" width="3.7265625" style="548" customWidth="1"/>
    <col min="8207" max="8207" width="3.81640625" style="548" customWidth="1"/>
    <col min="8208" max="8208" width="0.453125" style="548" customWidth="1"/>
    <col min="8209" max="8209" width="4.26953125" style="548" customWidth="1"/>
    <col min="8210" max="8210" width="5" style="548" customWidth="1"/>
    <col min="8211" max="8212" width="3.81640625" style="548" customWidth="1"/>
    <col min="8213" max="8213" width="5.26953125" style="548" customWidth="1"/>
    <col min="8214" max="8214" width="3.26953125" style="548" customWidth="1"/>
    <col min="8215" max="8215" width="0" style="548" hidden="1" customWidth="1"/>
    <col min="8216" max="8216" width="3" style="548" customWidth="1"/>
    <col min="8217" max="8217" width="4" style="548" customWidth="1"/>
    <col min="8218" max="8218" width="8.54296875" style="548" customWidth="1"/>
    <col min="8219" max="8443" width="8.81640625" style="548"/>
    <col min="8444" max="8444" width="3.54296875" style="548" customWidth="1"/>
    <col min="8445" max="8445" width="5.81640625" style="548" customWidth="1"/>
    <col min="8446" max="8446" width="4.453125" style="548" customWidth="1"/>
    <col min="8447" max="8447" width="4.54296875" style="548" customWidth="1"/>
    <col min="8448" max="8448" width="2.7265625" style="548" customWidth="1"/>
    <col min="8449" max="8449" width="4" style="548" customWidth="1"/>
    <col min="8450" max="8450" width="4.81640625" style="548" customWidth="1"/>
    <col min="8451" max="8451" width="4.1796875" style="548" customWidth="1"/>
    <col min="8452" max="8452" width="4.81640625" style="548" customWidth="1"/>
    <col min="8453" max="8453" width="4.54296875" style="548" customWidth="1"/>
    <col min="8454" max="8454" width="6" style="548" customWidth="1"/>
    <col min="8455" max="8455" width="5.54296875" style="548" customWidth="1"/>
    <col min="8456" max="8456" width="0.26953125" style="548" customWidth="1"/>
    <col min="8457" max="8459" width="0" style="548" hidden="1" customWidth="1"/>
    <col min="8460" max="8460" width="5.54296875" style="548" customWidth="1"/>
    <col min="8461" max="8461" width="4.1796875" style="548" customWidth="1"/>
    <col min="8462" max="8462" width="3.7265625" style="548" customWidth="1"/>
    <col min="8463" max="8463" width="3.81640625" style="548" customWidth="1"/>
    <col min="8464" max="8464" width="0.453125" style="548" customWidth="1"/>
    <col min="8465" max="8465" width="4.26953125" style="548" customWidth="1"/>
    <col min="8466" max="8466" width="5" style="548" customWidth="1"/>
    <col min="8467" max="8468" width="3.81640625" style="548" customWidth="1"/>
    <col min="8469" max="8469" width="5.26953125" style="548" customWidth="1"/>
    <col min="8470" max="8470" width="3.26953125" style="548" customWidth="1"/>
    <col min="8471" max="8471" width="0" style="548" hidden="1" customWidth="1"/>
    <col min="8472" max="8472" width="3" style="548" customWidth="1"/>
    <col min="8473" max="8473" width="4" style="548" customWidth="1"/>
    <col min="8474" max="8474" width="8.54296875" style="548" customWidth="1"/>
    <col min="8475" max="8699" width="8.81640625" style="548"/>
    <col min="8700" max="8700" width="3.54296875" style="548" customWidth="1"/>
    <col min="8701" max="8701" width="5.81640625" style="548" customWidth="1"/>
    <col min="8702" max="8702" width="4.453125" style="548" customWidth="1"/>
    <col min="8703" max="8703" width="4.54296875" style="548" customWidth="1"/>
    <col min="8704" max="8704" width="2.7265625" style="548" customWidth="1"/>
    <col min="8705" max="8705" width="4" style="548" customWidth="1"/>
    <col min="8706" max="8706" width="4.81640625" style="548" customWidth="1"/>
    <col min="8707" max="8707" width="4.1796875" style="548" customWidth="1"/>
    <col min="8708" max="8708" width="4.81640625" style="548" customWidth="1"/>
    <col min="8709" max="8709" width="4.54296875" style="548" customWidth="1"/>
    <col min="8710" max="8710" width="6" style="548" customWidth="1"/>
    <col min="8711" max="8711" width="5.54296875" style="548" customWidth="1"/>
    <col min="8712" max="8712" width="0.26953125" style="548" customWidth="1"/>
    <col min="8713" max="8715" width="0" style="548" hidden="1" customWidth="1"/>
    <col min="8716" max="8716" width="5.54296875" style="548" customWidth="1"/>
    <col min="8717" max="8717" width="4.1796875" style="548" customWidth="1"/>
    <col min="8718" max="8718" width="3.7265625" style="548" customWidth="1"/>
    <col min="8719" max="8719" width="3.81640625" style="548" customWidth="1"/>
    <col min="8720" max="8720" width="0.453125" style="548" customWidth="1"/>
    <col min="8721" max="8721" width="4.26953125" style="548" customWidth="1"/>
    <col min="8722" max="8722" width="5" style="548" customWidth="1"/>
    <col min="8723" max="8724" width="3.81640625" style="548" customWidth="1"/>
    <col min="8725" max="8725" width="5.26953125" style="548" customWidth="1"/>
    <col min="8726" max="8726" width="3.26953125" style="548" customWidth="1"/>
    <col min="8727" max="8727" width="0" style="548" hidden="1" customWidth="1"/>
    <col min="8728" max="8728" width="3" style="548" customWidth="1"/>
    <col min="8729" max="8729" width="4" style="548" customWidth="1"/>
    <col min="8730" max="8730" width="8.54296875" style="548" customWidth="1"/>
    <col min="8731" max="8955" width="8.81640625" style="548"/>
    <col min="8956" max="8956" width="3.54296875" style="548" customWidth="1"/>
    <col min="8957" max="8957" width="5.81640625" style="548" customWidth="1"/>
    <col min="8958" max="8958" width="4.453125" style="548" customWidth="1"/>
    <col min="8959" max="8959" width="4.54296875" style="548" customWidth="1"/>
    <col min="8960" max="8960" width="2.7265625" style="548" customWidth="1"/>
    <col min="8961" max="8961" width="4" style="548" customWidth="1"/>
    <col min="8962" max="8962" width="4.81640625" style="548" customWidth="1"/>
    <col min="8963" max="8963" width="4.1796875" style="548" customWidth="1"/>
    <col min="8964" max="8964" width="4.81640625" style="548" customWidth="1"/>
    <col min="8965" max="8965" width="4.54296875" style="548" customWidth="1"/>
    <col min="8966" max="8966" width="6" style="548" customWidth="1"/>
    <col min="8967" max="8967" width="5.54296875" style="548" customWidth="1"/>
    <col min="8968" max="8968" width="0.26953125" style="548" customWidth="1"/>
    <col min="8969" max="8971" width="0" style="548" hidden="1" customWidth="1"/>
    <col min="8972" max="8972" width="5.54296875" style="548" customWidth="1"/>
    <col min="8973" max="8973" width="4.1796875" style="548" customWidth="1"/>
    <col min="8974" max="8974" width="3.7265625" style="548" customWidth="1"/>
    <col min="8975" max="8975" width="3.81640625" style="548" customWidth="1"/>
    <col min="8976" max="8976" width="0.453125" style="548" customWidth="1"/>
    <col min="8977" max="8977" width="4.26953125" style="548" customWidth="1"/>
    <col min="8978" max="8978" width="5" style="548" customWidth="1"/>
    <col min="8979" max="8980" width="3.81640625" style="548" customWidth="1"/>
    <col min="8981" max="8981" width="5.26953125" style="548" customWidth="1"/>
    <col min="8982" max="8982" width="3.26953125" style="548" customWidth="1"/>
    <col min="8983" max="8983" width="0" style="548" hidden="1" customWidth="1"/>
    <col min="8984" max="8984" width="3" style="548" customWidth="1"/>
    <col min="8985" max="8985" width="4" style="548" customWidth="1"/>
    <col min="8986" max="8986" width="8.54296875" style="548" customWidth="1"/>
    <col min="8987" max="9211" width="8.81640625" style="548"/>
    <col min="9212" max="9212" width="3.54296875" style="548" customWidth="1"/>
    <col min="9213" max="9213" width="5.81640625" style="548" customWidth="1"/>
    <col min="9214" max="9214" width="4.453125" style="548" customWidth="1"/>
    <col min="9215" max="9215" width="4.54296875" style="548" customWidth="1"/>
    <col min="9216" max="9216" width="2.7265625" style="548" customWidth="1"/>
    <col min="9217" max="9217" width="4" style="548" customWidth="1"/>
    <col min="9218" max="9218" width="4.81640625" style="548" customWidth="1"/>
    <col min="9219" max="9219" width="4.1796875" style="548" customWidth="1"/>
    <col min="9220" max="9220" width="4.81640625" style="548" customWidth="1"/>
    <col min="9221" max="9221" width="4.54296875" style="548" customWidth="1"/>
    <col min="9222" max="9222" width="6" style="548" customWidth="1"/>
    <col min="9223" max="9223" width="5.54296875" style="548" customWidth="1"/>
    <col min="9224" max="9224" width="0.26953125" style="548" customWidth="1"/>
    <col min="9225" max="9227" width="0" style="548" hidden="1" customWidth="1"/>
    <col min="9228" max="9228" width="5.54296875" style="548" customWidth="1"/>
    <col min="9229" max="9229" width="4.1796875" style="548" customWidth="1"/>
    <col min="9230" max="9230" width="3.7265625" style="548" customWidth="1"/>
    <col min="9231" max="9231" width="3.81640625" style="548" customWidth="1"/>
    <col min="9232" max="9232" width="0.453125" style="548" customWidth="1"/>
    <col min="9233" max="9233" width="4.26953125" style="548" customWidth="1"/>
    <col min="9234" max="9234" width="5" style="548" customWidth="1"/>
    <col min="9235" max="9236" width="3.81640625" style="548" customWidth="1"/>
    <col min="9237" max="9237" width="5.26953125" style="548" customWidth="1"/>
    <col min="9238" max="9238" width="3.26953125" style="548" customWidth="1"/>
    <col min="9239" max="9239" width="0" style="548" hidden="1" customWidth="1"/>
    <col min="9240" max="9240" width="3" style="548" customWidth="1"/>
    <col min="9241" max="9241" width="4" style="548" customWidth="1"/>
    <col min="9242" max="9242" width="8.54296875" style="548" customWidth="1"/>
    <col min="9243" max="9467" width="8.81640625" style="548"/>
    <col min="9468" max="9468" width="3.54296875" style="548" customWidth="1"/>
    <col min="9469" max="9469" width="5.81640625" style="548" customWidth="1"/>
    <col min="9470" max="9470" width="4.453125" style="548" customWidth="1"/>
    <col min="9471" max="9471" width="4.54296875" style="548" customWidth="1"/>
    <col min="9472" max="9472" width="2.7265625" style="548" customWidth="1"/>
    <col min="9473" max="9473" width="4" style="548" customWidth="1"/>
    <col min="9474" max="9474" width="4.81640625" style="548" customWidth="1"/>
    <col min="9475" max="9475" width="4.1796875" style="548" customWidth="1"/>
    <col min="9476" max="9476" width="4.81640625" style="548" customWidth="1"/>
    <col min="9477" max="9477" width="4.54296875" style="548" customWidth="1"/>
    <col min="9478" max="9478" width="6" style="548" customWidth="1"/>
    <col min="9479" max="9479" width="5.54296875" style="548" customWidth="1"/>
    <col min="9480" max="9480" width="0.26953125" style="548" customWidth="1"/>
    <col min="9481" max="9483" width="0" style="548" hidden="1" customWidth="1"/>
    <col min="9484" max="9484" width="5.54296875" style="548" customWidth="1"/>
    <col min="9485" max="9485" width="4.1796875" style="548" customWidth="1"/>
    <col min="9486" max="9486" width="3.7265625" style="548" customWidth="1"/>
    <col min="9487" max="9487" width="3.81640625" style="548" customWidth="1"/>
    <col min="9488" max="9488" width="0.453125" style="548" customWidth="1"/>
    <col min="9489" max="9489" width="4.26953125" style="548" customWidth="1"/>
    <col min="9490" max="9490" width="5" style="548" customWidth="1"/>
    <col min="9491" max="9492" width="3.81640625" style="548" customWidth="1"/>
    <col min="9493" max="9493" width="5.26953125" style="548" customWidth="1"/>
    <col min="9494" max="9494" width="3.26953125" style="548" customWidth="1"/>
    <col min="9495" max="9495" width="0" style="548" hidden="1" customWidth="1"/>
    <col min="9496" max="9496" width="3" style="548" customWidth="1"/>
    <col min="9497" max="9497" width="4" style="548" customWidth="1"/>
    <col min="9498" max="9498" width="8.54296875" style="548" customWidth="1"/>
    <col min="9499" max="9723" width="8.81640625" style="548"/>
    <col min="9724" max="9724" width="3.54296875" style="548" customWidth="1"/>
    <col min="9725" max="9725" width="5.81640625" style="548" customWidth="1"/>
    <col min="9726" max="9726" width="4.453125" style="548" customWidth="1"/>
    <col min="9727" max="9727" width="4.54296875" style="548" customWidth="1"/>
    <col min="9728" max="9728" width="2.7265625" style="548" customWidth="1"/>
    <col min="9729" max="9729" width="4" style="548" customWidth="1"/>
    <col min="9730" max="9730" width="4.81640625" style="548" customWidth="1"/>
    <col min="9731" max="9731" width="4.1796875" style="548" customWidth="1"/>
    <col min="9732" max="9732" width="4.81640625" style="548" customWidth="1"/>
    <col min="9733" max="9733" width="4.54296875" style="548" customWidth="1"/>
    <col min="9734" max="9734" width="6" style="548" customWidth="1"/>
    <col min="9735" max="9735" width="5.54296875" style="548" customWidth="1"/>
    <col min="9736" max="9736" width="0.26953125" style="548" customWidth="1"/>
    <col min="9737" max="9739" width="0" style="548" hidden="1" customWidth="1"/>
    <col min="9740" max="9740" width="5.54296875" style="548" customWidth="1"/>
    <col min="9741" max="9741" width="4.1796875" style="548" customWidth="1"/>
    <col min="9742" max="9742" width="3.7265625" style="548" customWidth="1"/>
    <col min="9743" max="9743" width="3.81640625" style="548" customWidth="1"/>
    <col min="9744" max="9744" width="0.453125" style="548" customWidth="1"/>
    <col min="9745" max="9745" width="4.26953125" style="548" customWidth="1"/>
    <col min="9746" max="9746" width="5" style="548" customWidth="1"/>
    <col min="9747" max="9748" width="3.81640625" style="548" customWidth="1"/>
    <col min="9749" max="9749" width="5.26953125" style="548" customWidth="1"/>
    <col min="9750" max="9750" width="3.26953125" style="548" customWidth="1"/>
    <col min="9751" max="9751" width="0" style="548" hidden="1" customWidth="1"/>
    <col min="9752" max="9752" width="3" style="548" customWidth="1"/>
    <col min="9753" max="9753" width="4" style="548" customWidth="1"/>
    <col min="9754" max="9754" width="8.54296875" style="548" customWidth="1"/>
    <col min="9755" max="9979" width="8.81640625" style="548"/>
    <col min="9980" max="9980" width="3.54296875" style="548" customWidth="1"/>
    <col min="9981" max="9981" width="5.81640625" style="548" customWidth="1"/>
    <col min="9982" max="9982" width="4.453125" style="548" customWidth="1"/>
    <col min="9983" max="9983" width="4.54296875" style="548" customWidth="1"/>
    <col min="9984" max="9984" width="2.7265625" style="548" customWidth="1"/>
    <col min="9985" max="9985" width="4" style="548" customWidth="1"/>
    <col min="9986" max="9986" width="4.81640625" style="548" customWidth="1"/>
    <col min="9987" max="9987" width="4.1796875" style="548" customWidth="1"/>
    <col min="9988" max="9988" width="4.81640625" style="548" customWidth="1"/>
    <col min="9989" max="9989" width="4.54296875" style="548" customWidth="1"/>
    <col min="9990" max="9990" width="6" style="548" customWidth="1"/>
    <col min="9991" max="9991" width="5.54296875" style="548" customWidth="1"/>
    <col min="9992" max="9992" width="0.26953125" style="548" customWidth="1"/>
    <col min="9993" max="9995" width="0" style="548" hidden="1" customWidth="1"/>
    <col min="9996" max="9996" width="5.54296875" style="548" customWidth="1"/>
    <col min="9997" max="9997" width="4.1796875" style="548" customWidth="1"/>
    <col min="9998" max="9998" width="3.7265625" style="548" customWidth="1"/>
    <col min="9999" max="9999" width="3.81640625" style="548" customWidth="1"/>
    <col min="10000" max="10000" width="0.453125" style="548" customWidth="1"/>
    <col min="10001" max="10001" width="4.26953125" style="548" customWidth="1"/>
    <col min="10002" max="10002" width="5" style="548" customWidth="1"/>
    <col min="10003" max="10004" width="3.81640625" style="548" customWidth="1"/>
    <col min="10005" max="10005" width="5.26953125" style="548" customWidth="1"/>
    <col min="10006" max="10006" width="3.26953125" style="548" customWidth="1"/>
    <col min="10007" max="10007" width="0" style="548" hidden="1" customWidth="1"/>
    <col min="10008" max="10008" width="3" style="548" customWidth="1"/>
    <col min="10009" max="10009" width="4" style="548" customWidth="1"/>
    <col min="10010" max="10010" width="8.54296875" style="548" customWidth="1"/>
    <col min="10011" max="10235" width="8.81640625" style="548"/>
    <col min="10236" max="10236" width="3.54296875" style="548" customWidth="1"/>
    <col min="10237" max="10237" width="5.81640625" style="548" customWidth="1"/>
    <col min="10238" max="10238" width="4.453125" style="548" customWidth="1"/>
    <col min="10239" max="10239" width="4.54296875" style="548" customWidth="1"/>
    <col min="10240" max="10240" width="2.7265625" style="548" customWidth="1"/>
    <col min="10241" max="10241" width="4" style="548" customWidth="1"/>
    <col min="10242" max="10242" width="4.81640625" style="548" customWidth="1"/>
    <col min="10243" max="10243" width="4.1796875" style="548" customWidth="1"/>
    <col min="10244" max="10244" width="4.81640625" style="548" customWidth="1"/>
    <col min="10245" max="10245" width="4.54296875" style="548" customWidth="1"/>
    <col min="10246" max="10246" width="6" style="548" customWidth="1"/>
    <col min="10247" max="10247" width="5.54296875" style="548" customWidth="1"/>
    <col min="10248" max="10248" width="0.26953125" style="548" customWidth="1"/>
    <col min="10249" max="10251" width="0" style="548" hidden="1" customWidth="1"/>
    <col min="10252" max="10252" width="5.54296875" style="548" customWidth="1"/>
    <col min="10253" max="10253" width="4.1796875" style="548" customWidth="1"/>
    <col min="10254" max="10254" width="3.7265625" style="548" customWidth="1"/>
    <col min="10255" max="10255" width="3.81640625" style="548" customWidth="1"/>
    <col min="10256" max="10256" width="0.453125" style="548" customWidth="1"/>
    <col min="10257" max="10257" width="4.26953125" style="548" customWidth="1"/>
    <col min="10258" max="10258" width="5" style="548" customWidth="1"/>
    <col min="10259" max="10260" width="3.81640625" style="548" customWidth="1"/>
    <col min="10261" max="10261" width="5.26953125" style="548" customWidth="1"/>
    <col min="10262" max="10262" width="3.26953125" style="548" customWidth="1"/>
    <col min="10263" max="10263" width="0" style="548" hidden="1" customWidth="1"/>
    <col min="10264" max="10264" width="3" style="548" customWidth="1"/>
    <col min="10265" max="10265" width="4" style="548" customWidth="1"/>
    <col min="10266" max="10266" width="8.54296875" style="548" customWidth="1"/>
    <col min="10267" max="10491" width="8.81640625" style="548"/>
    <col min="10492" max="10492" width="3.54296875" style="548" customWidth="1"/>
    <col min="10493" max="10493" width="5.81640625" style="548" customWidth="1"/>
    <col min="10494" max="10494" width="4.453125" style="548" customWidth="1"/>
    <col min="10495" max="10495" width="4.54296875" style="548" customWidth="1"/>
    <col min="10496" max="10496" width="2.7265625" style="548" customWidth="1"/>
    <col min="10497" max="10497" width="4" style="548" customWidth="1"/>
    <col min="10498" max="10498" width="4.81640625" style="548" customWidth="1"/>
    <col min="10499" max="10499" width="4.1796875" style="548" customWidth="1"/>
    <col min="10500" max="10500" width="4.81640625" style="548" customWidth="1"/>
    <col min="10501" max="10501" width="4.54296875" style="548" customWidth="1"/>
    <col min="10502" max="10502" width="6" style="548" customWidth="1"/>
    <col min="10503" max="10503" width="5.54296875" style="548" customWidth="1"/>
    <col min="10504" max="10504" width="0.26953125" style="548" customWidth="1"/>
    <col min="10505" max="10507" width="0" style="548" hidden="1" customWidth="1"/>
    <col min="10508" max="10508" width="5.54296875" style="548" customWidth="1"/>
    <col min="10509" max="10509" width="4.1796875" style="548" customWidth="1"/>
    <col min="10510" max="10510" width="3.7265625" style="548" customWidth="1"/>
    <col min="10511" max="10511" width="3.81640625" style="548" customWidth="1"/>
    <col min="10512" max="10512" width="0.453125" style="548" customWidth="1"/>
    <col min="10513" max="10513" width="4.26953125" style="548" customWidth="1"/>
    <col min="10514" max="10514" width="5" style="548" customWidth="1"/>
    <col min="10515" max="10516" width="3.81640625" style="548" customWidth="1"/>
    <col min="10517" max="10517" width="5.26953125" style="548" customWidth="1"/>
    <col min="10518" max="10518" width="3.26953125" style="548" customWidth="1"/>
    <col min="10519" max="10519" width="0" style="548" hidden="1" customWidth="1"/>
    <col min="10520" max="10520" width="3" style="548" customWidth="1"/>
    <col min="10521" max="10521" width="4" style="548" customWidth="1"/>
    <col min="10522" max="10522" width="8.54296875" style="548" customWidth="1"/>
    <col min="10523" max="10747" width="8.81640625" style="548"/>
    <col min="10748" max="10748" width="3.54296875" style="548" customWidth="1"/>
    <col min="10749" max="10749" width="5.81640625" style="548" customWidth="1"/>
    <col min="10750" max="10750" width="4.453125" style="548" customWidth="1"/>
    <col min="10751" max="10751" width="4.54296875" style="548" customWidth="1"/>
    <col min="10752" max="10752" width="2.7265625" style="548" customWidth="1"/>
    <col min="10753" max="10753" width="4" style="548" customWidth="1"/>
    <col min="10754" max="10754" width="4.81640625" style="548" customWidth="1"/>
    <col min="10755" max="10755" width="4.1796875" style="548" customWidth="1"/>
    <col min="10756" max="10756" width="4.81640625" style="548" customWidth="1"/>
    <col min="10757" max="10757" width="4.54296875" style="548" customWidth="1"/>
    <col min="10758" max="10758" width="6" style="548" customWidth="1"/>
    <col min="10759" max="10759" width="5.54296875" style="548" customWidth="1"/>
    <col min="10760" max="10760" width="0.26953125" style="548" customWidth="1"/>
    <col min="10761" max="10763" width="0" style="548" hidden="1" customWidth="1"/>
    <col min="10764" max="10764" width="5.54296875" style="548" customWidth="1"/>
    <col min="10765" max="10765" width="4.1796875" style="548" customWidth="1"/>
    <col min="10766" max="10766" width="3.7265625" style="548" customWidth="1"/>
    <col min="10767" max="10767" width="3.81640625" style="548" customWidth="1"/>
    <col min="10768" max="10768" width="0.453125" style="548" customWidth="1"/>
    <col min="10769" max="10769" width="4.26953125" style="548" customWidth="1"/>
    <col min="10770" max="10770" width="5" style="548" customWidth="1"/>
    <col min="10771" max="10772" width="3.81640625" style="548" customWidth="1"/>
    <col min="10773" max="10773" width="5.26953125" style="548" customWidth="1"/>
    <col min="10774" max="10774" width="3.26953125" style="548" customWidth="1"/>
    <col min="10775" max="10775" width="0" style="548" hidden="1" customWidth="1"/>
    <col min="10776" max="10776" width="3" style="548" customWidth="1"/>
    <col min="10777" max="10777" width="4" style="548" customWidth="1"/>
    <col min="10778" max="10778" width="8.54296875" style="548" customWidth="1"/>
    <col min="10779" max="11003" width="8.81640625" style="548"/>
    <col min="11004" max="11004" width="3.54296875" style="548" customWidth="1"/>
    <col min="11005" max="11005" width="5.81640625" style="548" customWidth="1"/>
    <col min="11006" max="11006" width="4.453125" style="548" customWidth="1"/>
    <col min="11007" max="11007" width="4.54296875" style="548" customWidth="1"/>
    <col min="11008" max="11008" width="2.7265625" style="548" customWidth="1"/>
    <col min="11009" max="11009" width="4" style="548" customWidth="1"/>
    <col min="11010" max="11010" width="4.81640625" style="548" customWidth="1"/>
    <col min="11011" max="11011" width="4.1796875" style="548" customWidth="1"/>
    <col min="11012" max="11012" width="4.81640625" style="548" customWidth="1"/>
    <col min="11013" max="11013" width="4.54296875" style="548" customWidth="1"/>
    <col min="11014" max="11014" width="6" style="548" customWidth="1"/>
    <col min="11015" max="11015" width="5.54296875" style="548" customWidth="1"/>
    <col min="11016" max="11016" width="0.26953125" style="548" customWidth="1"/>
    <col min="11017" max="11019" width="0" style="548" hidden="1" customWidth="1"/>
    <col min="11020" max="11020" width="5.54296875" style="548" customWidth="1"/>
    <col min="11021" max="11021" width="4.1796875" style="548" customWidth="1"/>
    <col min="11022" max="11022" width="3.7265625" style="548" customWidth="1"/>
    <col min="11023" max="11023" width="3.81640625" style="548" customWidth="1"/>
    <col min="11024" max="11024" width="0.453125" style="548" customWidth="1"/>
    <col min="11025" max="11025" width="4.26953125" style="548" customWidth="1"/>
    <col min="11026" max="11026" width="5" style="548" customWidth="1"/>
    <col min="11027" max="11028" width="3.81640625" style="548" customWidth="1"/>
    <col min="11029" max="11029" width="5.26953125" style="548" customWidth="1"/>
    <col min="11030" max="11030" width="3.26953125" style="548" customWidth="1"/>
    <col min="11031" max="11031" width="0" style="548" hidden="1" customWidth="1"/>
    <col min="11032" max="11032" width="3" style="548" customWidth="1"/>
    <col min="11033" max="11033" width="4" style="548" customWidth="1"/>
    <col min="11034" max="11034" width="8.54296875" style="548" customWidth="1"/>
    <col min="11035" max="11259" width="8.81640625" style="548"/>
    <col min="11260" max="11260" width="3.54296875" style="548" customWidth="1"/>
    <col min="11261" max="11261" width="5.81640625" style="548" customWidth="1"/>
    <col min="11262" max="11262" width="4.453125" style="548" customWidth="1"/>
    <col min="11263" max="11263" width="4.54296875" style="548" customWidth="1"/>
    <col min="11264" max="11264" width="2.7265625" style="548" customWidth="1"/>
    <col min="11265" max="11265" width="4" style="548" customWidth="1"/>
    <col min="11266" max="11266" width="4.81640625" style="548" customWidth="1"/>
    <col min="11267" max="11267" width="4.1796875" style="548" customWidth="1"/>
    <col min="11268" max="11268" width="4.81640625" style="548" customWidth="1"/>
    <col min="11269" max="11269" width="4.54296875" style="548" customWidth="1"/>
    <col min="11270" max="11270" width="6" style="548" customWidth="1"/>
    <col min="11271" max="11271" width="5.54296875" style="548" customWidth="1"/>
    <col min="11272" max="11272" width="0.26953125" style="548" customWidth="1"/>
    <col min="11273" max="11275" width="0" style="548" hidden="1" customWidth="1"/>
    <col min="11276" max="11276" width="5.54296875" style="548" customWidth="1"/>
    <col min="11277" max="11277" width="4.1796875" style="548" customWidth="1"/>
    <col min="11278" max="11278" width="3.7265625" style="548" customWidth="1"/>
    <col min="11279" max="11279" width="3.81640625" style="548" customWidth="1"/>
    <col min="11280" max="11280" width="0.453125" style="548" customWidth="1"/>
    <col min="11281" max="11281" width="4.26953125" style="548" customWidth="1"/>
    <col min="11282" max="11282" width="5" style="548" customWidth="1"/>
    <col min="11283" max="11284" width="3.81640625" style="548" customWidth="1"/>
    <col min="11285" max="11285" width="5.26953125" style="548" customWidth="1"/>
    <col min="11286" max="11286" width="3.26953125" style="548" customWidth="1"/>
    <col min="11287" max="11287" width="0" style="548" hidden="1" customWidth="1"/>
    <col min="11288" max="11288" width="3" style="548" customWidth="1"/>
    <col min="11289" max="11289" width="4" style="548" customWidth="1"/>
    <col min="11290" max="11290" width="8.54296875" style="548" customWidth="1"/>
    <col min="11291" max="11515" width="8.81640625" style="548"/>
    <col min="11516" max="11516" width="3.54296875" style="548" customWidth="1"/>
    <col min="11517" max="11517" width="5.81640625" style="548" customWidth="1"/>
    <col min="11518" max="11518" width="4.453125" style="548" customWidth="1"/>
    <col min="11519" max="11519" width="4.54296875" style="548" customWidth="1"/>
    <col min="11520" max="11520" width="2.7265625" style="548" customWidth="1"/>
    <col min="11521" max="11521" width="4" style="548" customWidth="1"/>
    <col min="11522" max="11522" width="4.81640625" style="548" customWidth="1"/>
    <col min="11523" max="11523" width="4.1796875" style="548" customWidth="1"/>
    <col min="11524" max="11524" width="4.81640625" style="548" customWidth="1"/>
    <col min="11525" max="11525" width="4.54296875" style="548" customWidth="1"/>
    <col min="11526" max="11526" width="6" style="548" customWidth="1"/>
    <col min="11527" max="11527" width="5.54296875" style="548" customWidth="1"/>
    <col min="11528" max="11528" width="0.26953125" style="548" customWidth="1"/>
    <col min="11529" max="11531" width="0" style="548" hidden="1" customWidth="1"/>
    <col min="11532" max="11532" width="5.54296875" style="548" customWidth="1"/>
    <col min="11533" max="11533" width="4.1796875" style="548" customWidth="1"/>
    <col min="11534" max="11534" width="3.7265625" style="548" customWidth="1"/>
    <col min="11535" max="11535" width="3.81640625" style="548" customWidth="1"/>
    <col min="11536" max="11536" width="0.453125" style="548" customWidth="1"/>
    <col min="11537" max="11537" width="4.26953125" style="548" customWidth="1"/>
    <col min="11538" max="11538" width="5" style="548" customWidth="1"/>
    <col min="11539" max="11540" width="3.81640625" style="548" customWidth="1"/>
    <col min="11541" max="11541" width="5.26953125" style="548" customWidth="1"/>
    <col min="11542" max="11542" width="3.26953125" style="548" customWidth="1"/>
    <col min="11543" max="11543" width="0" style="548" hidden="1" customWidth="1"/>
    <col min="11544" max="11544" width="3" style="548" customWidth="1"/>
    <col min="11545" max="11545" width="4" style="548" customWidth="1"/>
    <col min="11546" max="11546" width="8.54296875" style="548" customWidth="1"/>
    <col min="11547" max="11771" width="8.81640625" style="548"/>
    <col min="11772" max="11772" width="3.54296875" style="548" customWidth="1"/>
    <col min="11773" max="11773" width="5.81640625" style="548" customWidth="1"/>
    <col min="11774" max="11774" width="4.453125" style="548" customWidth="1"/>
    <col min="11775" max="11775" width="4.54296875" style="548" customWidth="1"/>
    <col min="11776" max="11776" width="2.7265625" style="548" customWidth="1"/>
    <col min="11777" max="11777" width="4" style="548" customWidth="1"/>
    <col min="11778" max="11778" width="4.81640625" style="548" customWidth="1"/>
    <col min="11779" max="11779" width="4.1796875" style="548" customWidth="1"/>
    <col min="11780" max="11780" width="4.81640625" style="548" customWidth="1"/>
    <col min="11781" max="11781" width="4.54296875" style="548" customWidth="1"/>
    <col min="11782" max="11782" width="6" style="548" customWidth="1"/>
    <col min="11783" max="11783" width="5.54296875" style="548" customWidth="1"/>
    <col min="11784" max="11784" width="0.26953125" style="548" customWidth="1"/>
    <col min="11785" max="11787" width="0" style="548" hidden="1" customWidth="1"/>
    <col min="11788" max="11788" width="5.54296875" style="548" customWidth="1"/>
    <col min="11789" max="11789" width="4.1796875" style="548" customWidth="1"/>
    <col min="11790" max="11790" width="3.7265625" style="548" customWidth="1"/>
    <col min="11791" max="11791" width="3.81640625" style="548" customWidth="1"/>
    <col min="11792" max="11792" width="0.453125" style="548" customWidth="1"/>
    <col min="11793" max="11793" width="4.26953125" style="548" customWidth="1"/>
    <col min="11794" max="11794" width="5" style="548" customWidth="1"/>
    <col min="11795" max="11796" width="3.81640625" style="548" customWidth="1"/>
    <col min="11797" max="11797" width="5.26953125" style="548" customWidth="1"/>
    <col min="11798" max="11798" width="3.26953125" style="548" customWidth="1"/>
    <col min="11799" max="11799" width="0" style="548" hidden="1" customWidth="1"/>
    <col min="11800" max="11800" width="3" style="548" customWidth="1"/>
    <col min="11801" max="11801" width="4" style="548" customWidth="1"/>
    <col min="11802" max="11802" width="8.54296875" style="548" customWidth="1"/>
    <col min="11803" max="12027" width="8.81640625" style="548"/>
    <col min="12028" max="12028" width="3.54296875" style="548" customWidth="1"/>
    <col min="12029" max="12029" width="5.81640625" style="548" customWidth="1"/>
    <col min="12030" max="12030" width="4.453125" style="548" customWidth="1"/>
    <col min="12031" max="12031" width="4.54296875" style="548" customWidth="1"/>
    <col min="12032" max="12032" width="2.7265625" style="548" customWidth="1"/>
    <col min="12033" max="12033" width="4" style="548" customWidth="1"/>
    <col min="12034" max="12034" width="4.81640625" style="548" customWidth="1"/>
    <col min="12035" max="12035" width="4.1796875" style="548" customWidth="1"/>
    <col min="12036" max="12036" width="4.81640625" style="548" customWidth="1"/>
    <col min="12037" max="12037" width="4.54296875" style="548" customWidth="1"/>
    <col min="12038" max="12038" width="6" style="548" customWidth="1"/>
    <col min="12039" max="12039" width="5.54296875" style="548" customWidth="1"/>
    <col min="12040" max="12040" width="0.26953125" style="548" customWidth="1"/>
    <col min="12041" max="12043" width="0" style="548" hidden="1" customWidth="1"/>
    <col min="12044" max="12044" width="5.54296875" style="548" customWidth="1"/>
    <col min="12045" max="12045" width="4.1796875" style="548" customWidth="1"/>
    <col min="12046" max="12046" width="3.7265625" style="548" customWidth="1"/>
    <col min="12047" max="12047" width="3.81640625" style="548" customWidth="1"/>
    <col min="12048" max="12048" width="0.453125" style="548" customWidth="1"/>
    <col min="12049" max="12049" width="4.26953125" style="548" customWidth="1"/>
    <col min="12050" max="12050" width="5" style="548" customWidth="1"/>
    <col min="12051" max="12052" width="3.81640625" style="548" customWidth="1"/>
    <col min="12053" max="12053" width="5.26953125" style="548" customWidth="1"/>
    <col min="12054" max="12054" width="3.26953125" style="548" customWidth="1"/>
    <col min="12055" max="12055" width="0" style="548" hidden="1" customWidth="1"/>
    <col min="12056" max="12056" width="3" style="548" customWidth="1"/>
    <col min="12057" max="12057" width="4" style="548" customWidth="1"/>
    <col min="12058" max="12058" width="8.54296875" style="548" customWidth="1"/>
    <col min="12059" max="12283" width="8.81640625" style="548"/>
    <col min="12284" max="12284" width="3.54296875" style="548" customWidth="1"/>
    <col min="12285" max="12285" width="5.81640625" style="548" customWidth="1"/>
    <col min="12286" max="12286" width="4.453125" style="548" customWidth="1"/>
    <col min="12287" max="12287" width="4.54296875" style="548" customWidth="1"/>
    <col min="12288" max="12288" width="2.7265625" style="548" customWidth="1"/>
    <col min="12289" max="12289" width="4" style="548" customWidth="1"/>
    <col min="12290" max="12290" width="4.81640625" style="548" customWidth="1"/>
    <col min="12291" max="12291" width="4.1796875" style="548" customWidth="1"/>
    <col min="12292" max="12292" width="4.81640625" style="548" customWidth="1"/>
    <col min="12293" max="12293" width="4.54296875" style="548" customWidth="1"/>
    <col min="12294" max="12294" width="6" style="548" customWidth="1"/>
    <col min="12295" max="12295" width="5.54296875" style="548" customWidth="1"/>
    <col min="12296" max="12296" width="0.26953125" style="548" customWidth="1"/>
    <col min="12297" max="12299" width="0" style="548" hidden="1" customWidth="1"/>
    <col min="12300" max="12300" width="5.54296875" style="548" customWidth="1"/>
    <col min="12301" max="12301" width="4.1796875" style="548" customWidth="1"/>
    <col min="12302" max="12302" width="3.7265625" style="548" customWidth="1"/>
    <col min="12303" max="12303" width="3.81640625" style="548" customWidth="1"/>
    <col min="12304" max="12304" width="0.453125" style="548" customWidth="1"/>
    <col min="12305" max="12305" width="4.26953125" style="548" customWidth="1"/>
    <col min="12306" max="12306" width="5" style="548" customWidth="1"/>
    <col min="12307" max="12308" width="3.81640625" style="548" customWidth="1"/>
    <col min="12309" max="12309" width="5.26953125" style="548" customWidth="1"/>
    <col min="12310" max="12310" width="3.26953125" style="548" customWidth="1"/>
    <col min="12311" max="12311" width="0" style="548" hidden="1" customWidth="1"/>
    <col min="12312" max="12312" width="3" style="548" customWidth="1"/>
    <col min="12313" max="12313" width="4" style="548" customWidth="1"/>
    <col min="12314" max="12314" width="8.54296875" style="548" customWidth="1"/>
    <col min="12315" max="12539" width="8.81640625" style="548"/>
    <col min="12540" max="12540" width="3.54296875" style="548" customWidth="1"/>
    <col min="12541" max="12541" width="5.81640625" style="548" customWidth="1"/>
    <col min="12542" max="12542" width="4.453125" style="548" customWidth="1"/>
    <col min="12543" max="12543" width="4.54296875" style="548" customWidth="1"/>
    <col min="12544" max="12544" width="2.7265625" style="548" customWidth="1"/>
    <col min="12545" max="12545" width="4" style="548" customWidth="1"/>
    <col min="12546" max="12546" width="4.81640625" style="548" customWidth="1"/>
    <col min="12547" max="12547" width="4.1796875" style="548" customWidth="1"/>
    <col min="12548" max="12548" width="4.81640625" style="548" customWidth="1"/>
    <col min="12549" max="12549" width="4.54296875" style="548" customWidth="1"/>
    <col min="12550" max="12550" width="6" style="548" customWidth="1"/>
    <col min="12551" max="12551" width="5.54296875" style="548" customWidth="1"/>
    <col min="12552" max="12552" width="0.26953125" style="548" customWidth="1"/>
    <col min="12553" max="12555" width="0" style="548" hidden="1" customWidth="1"/>
    <col min="12556" max="12556" width="5.54296875" style="548" customWidth="1"/>
    <col min="12557" max="12557" width="4.1796875" style="548" customWidth="1"/>
    <col min="12558" max="12558" width="3.7265625" style="548" customWidth="1"/>
    <col min="12559" max="12559" width="3.81640625" style="548" customWidth="1"/>
    <col min="12560" max="12560" width="0.453125" style="548" customWidth="1"/>
    <col min="12561" max="12561" width="4.26953125" style="548" customWidth="1"/>
    <col min="12562" max="12562" width="5" style="548" customWidth="1"/>
    <col min="12563" max="12564" width="3.81640625" style="548" customWidth="1"/>
    <col min="12565" max="12565" width="5.26953125" style="548" customWidth="1"/>
    <col min="12566" max="12566" width="3.26953125" style="548" customWidth="1"/>
    <col min="12567" max="12567" width="0" style="548" hidden="1" customWidth="1"/>
    <col min="12568" max="12568" width="3" style="548" customWidth="1"/>
    <col min="12569" max="12569" width="4" style="548" customWidth="1"/>
    <col min="12570" max="12570" width="8.54296875" style="548" customWidth="1"/>
    <col min="12571" max="12795" width="8.81640625" style="548"/>
    <col min="12796" max="12796" width="3.54296875" style="548" customWidth="1"/>
    <col min="12797" max="12797" width="5.81640625" style="548" customWidth="1"/>
    <col min="12798" max="12798" width="4.453125" style="548" customWidth="1"/>
    <col min="12799" max="12799" width="4.54296875" style="548" customWidth="1"/>
    <col min="12800" max="12800" width="2.7265625" style="548" customWidth="1"/>
    <col min="12801" max="12801" width="4" style="548" customWidth="1"/>
    <col min="12802" max="12802" width="4.81640625" style="548" customWidth="1"/>
    <col min="12803" max="12803" width="4.1796875" style="548" customWidth="1"/>
    <col min="12804" max="12804" width="4.81640625" style="548" customWidth="1"/>
    <col min="12805" max="12805" width="4.54296875" style="548" customWidth="1"/>
    <col min="12806" max="12806" width="6" style="548" customWidth="1"/>
    <col min="12807" max="12807" width="5.54296875" style="548" customWidth="1"/>
    <col min="12808" max="12808" width="0.26953125" style="548" customWidth="1"/>
    <col min="12809" max="12811" width="0" style="548" hidden="1" customWidth="1"/>
    <col min="12812" max="12812" width="5.54296875" style="548" customWidth="1"/>
    <col min="12813" max="12813" width="4.1796875" style="548" customWidth="1"/>
    <col min="12814" max="12814" width="3.7265625" style="548" customWidth="1"/>
    <col min="12815" max="12815" width="3.81640625" style="548" customWidth="1"/>
    <col min="12816" max="12816" width="0.453125" style="548" customWidth="1"/>
    <col min="12817" max="12817" width="4.26953125" style="548" customWidth="1"/>
    <col min="12818" max="12818" width="5" style="548" customWidth="1"/>
    <col min="12819" max="12820" width="3.81640625" style="548" customWidth="1"/>
    <col min="12821" max="12821" width="5.26953125" style="548" customWidth="1"/>
    <col min="12822" max="12822" width="3.26953125" style="548" customWidth="1"/>
    <col min="12823" max="12823" width="0" style="548" hidden="1" customWidth="1"/>
    <col min="12824" max="12824" width="3" style="548" customWidth="1"/>
    <col min="12825" max="12825" width="4" style="548" customWidth="1"/>
    <col min="12826" max="12826" width="8.54296875" style="548" customWidth="1"/>
    <col min="12827" max="13051" width="8.81640625" style="548"/>
    <col min="13052" max="13052" width="3.54296875" style="548" customWidth="1"/>
    <col min="13053" max="13053" width="5.81640625" style="548" customWidth="1"/>
    <col min="13054" max="13054" width="4.453125" style="548" customWidth="1"/>
    <col min="13055" max="13055" width="4.54296875" style="548" customWidth="1"/>
    <col min="13056" max="13056" width="2.7265625" style="548" customWidth="1"/>
    <col min="13057" max="13057" width="4" style="548" customWidth="1"/>
    <col min="13058" max="13058" width="4.81640625" style="548" customWidth="1"/>
    <col min="13059" max="13059" width="4.1796875" style="548" customWidth="1"/>
    <col min="13060" max="13060" width="4.81640625" style="548" customWidth="1"/>
    <col min="13061" max="13061" width="4.54296875" style="548" customWidth="1"/>
    <col min="13062" max="13062" width="6" style="548" customWidth="1"/>
    <col min="13063" max="13063" width="5.54296875" style="548" customWidth="1"/>
    <col min="13064" max="13064" width="0.26953125" style="548" customWidth="1"/>
    <col min="13065" max="13067" width="0" style="548" hidden="1" customWidth="1"/>
    <col min="13068" max="13068" width="5.54296875" style="548" customWidth="1"/>
    <col min="13069" max="13069" width="4.1796875" style="548" customWidth="1"/>
    <col min="13070" max="13070" width="3.7265625" style="548" customWidth="1"/>
    <col min="13071" max="13071" width="3.81640625" style="548" customWidth="1"/>
    <col min="13072" max="13072" width="0.453125" style="548" customWidth="1"/>
    <col min="13073" max="13073" width="4.26953125" style="548" customWidth="1"/>
    <col min="13074" max="13074" width="5" style="548" customWidth="1"/>
    <col min="13075" max="13076" width="3.81640625" style="548" customWidth="1"/>
    <col min="13077" max="13077" width="5.26953125" style="548" customWidth="1"/>
    <col min="13078" max="13078" width="3.26953125" style="548" customWidth="1"/>
    <col min="13079" max="13079" width="0" style="548" hidden="1" customWidth="1"/>
    <col min="13080" max="13080" width="3" style="548" customWidth="1"/>
    <col min="13081" max="13081" width="4" style="548" customWidth="1"/>
    <col min="13082" max="13082" width="8.54296875" style="548" customWidth="1"/>
    <col min="13083" max="13307" width="8.81640625" style="548"/>
    <col min="13308" max="13308" width="3.54296875" style="548" customWidth="1"/>
    <col min="13309" max="13309" width="5.81640625" style="548" customWidth="1"/>
    <col min="13310" max="13310" width="4.453125" style="548" customWidth="1"/>
    <col min="13311" max="13311" width="4.54296875" style="548" customWidth="1"/>
    <col min="13312" max="13312" width="2.7265625" style="548" customWidth="1"/>
    <col min="13313" max="13313" width="4" style="548" customWidth="1"/>
    <col min="13314" max="13314" width="4.81640625" style="548" customWidth="1"/>
    <col min="13315" max="13315" width="4.1796875" style="548" customWidth="1"/>
    <col min="13316" max="13316" width="4.81640625" style="548" customWidth="1"/>
    <col min="13317" max="13317" width="4.54296875" style="548" customWidth="1"/>
    <col min="13318" max="13318" width="6" style="548" customWidth="1"/>
    <col min="13319" max="13319" width="5.54296875" style="548" customWidth="1"/>
    <col min="13320" max="13320" width="0.26953125" style="548" customWidth="1"/>
    <col min="13321" max="13323" width="0" style="548" hidden="1" customWidth="1"/>
    <col min="13324" max="13324" width="5.54296875" style="548" customWidth="1"/>
    <col min="13325" max="13325" width="4.1796875" style="548" customWidth="1"/>
    <col min="13326" max="13326" width="3.7265625" style="548" customWidth="1"/>
    <col min="13327" max="13327" width="3.81640625" style="548" customWidth="1"/>
    <col min="13328" max="13328" width="0.453125" style="548" customWidth="1"/>
    <col min="13329" max="13329" width="4.26953125" style="548" customWidth="1"/>
    <col min="13330" max="13330" width="5" style="548" customWidth="1"/>
    <col min="13331" max="13332" width="3.81640625" style="548" customWidth="1"/>
    <col min="13333" max="13333" width="5.26953125" style="548" customWidth="1"/>
    <col min="13334" max="13334" width="3.26953125" style="548" customWidth="1"/>
    <col min="13335" max="13335" width="0" style="548" hidden="1" customWidth="1"/>
    <col min="13336" max="13336" width="3" style="548" customWidth="1"/>
    <col min="13337" max="13337" width="4" style="548" customWidth="1"/>
    <col min="13338" max="13338" width="8.54296875" style="548" customWidth="1"/>
    <col min="13339" max="13563" width="8.81640625" style="548"/>
    <col min="13564" max="13564" width="3.54296875" style="548" customWidth="1"/>
    <col min="13565" max="13565" width="5.81640625" style="548" customWidth="1"/>
    <col min="13566" max="13566" width="4.453125" style="548" customWidth="1"/>
    <col min="13567" max="13567" width="4.54296875" style="548" customWidth="1"/>
    <col min="13568" max="13568" width="2.7265625" style="548" customWidth="1"/>
    <col min="13569" max="13569" width="4" style="548" customWidth="1"/>
    <col min="13570" max="13570" width="4.81640625" style="548" customWidth="1"/>
    <col min="13571" max="13571" width="4.1796875" style="548" customWidth="1"/>
    <col min="13572" max="13572" width="4.81640625" style="548" customWidth="1"/>
    <col min="13573" max="13573" width="4.54296875" style="548" customWidth="1"/>
    <col min="13574" max="13574" width="6" style="548" customWidth="1"/>
    <col min="13575" max="13575" width="5.54296875" style="548" customWidth="1"/>
    <col min="13576" max="13576" width="0.26953125" style="548" customWidth="1"/>
    <col min="13577" max="13579" width="0" style="548" hidden="1" customWidth="1"/>
    <col min="13580" max="13580" width="5.54296875" style="548" customWidth="1"/>
    <col min="13581" max="13581" width="4.1796875" style="548" customWidth="1"/>
    <col min="13582" max="13582" width="3.7265625" style="548" customWidth="1"/>
    <col min="13583" max="13583" width="3.81640625" style="548" customWidth="1"/>
    <col min="13584" max="13584" width="0.453125" style="548" customWidth="1"/>
    <col min="13585" max="13585" width="4.26953125" style="548" customWidth="1"/>
    <col min="13586" max="13586" width="5" style="548" customWidth="1"/>
    <col min="13587" max="13588" width="3.81640625" style="548" customWidth="1"/>
    <col min="13589" max="13589" width="5.26953125" style="548" customWidth="1"/>
    <col min="13590" max="13590" width="3.26953125" style="548" customWidth="1"/>
    <col min="13591" max="13591" width="0" style="548" hidden="1" customWidth="1"/>
    <col min="13592" max="13592" width="3" style="548" customWidth="1"/>
    <col min="13593" max="13593" width="4" style="548" customWidth="1"/>
    <col min="13594" max="13594" width="8.54296875" style="548" customWidth="1"/>
    <col min="13595" max="13819" width="8.81640625" style="548"/>
    <col min="13820" max="13820" width="3.54296875" style="548" customWidth="1"/>
    <col min="13821" max="13821" width="5.81640625" style="548" customWidth="1"/>
    <col min="13822" max="13822" width="4.453125" style="548" customWidth="1"/>
    <col min="13823" max="13823" width="4.54296875" style="548" customWidth="1"/>
    <col min="13824" max="13824" width="2.7265625" style="548" customWidth="1"/>
    <col min="13825" max="13825" width="4" style="548" customWidth="1"/>
    <col min="13826" max="13826" width="4.81640625" style="548" customWidth="1"/>
    <col min="13827" max="13827" width="4.1796875" style="548" customWidth="1"/>
    <col min="13828" max="13828" width="4.81640625" style="548" customWidth="1"/>
    <col min="13829" max="13829" width="4.54296875" style="548" customWidth="1"/>
    <col min="13830" max="13830" width="6" style="548" customWidth="1"/>
    <col min="13831" max="13831" width="5.54296875" style="548" customWidth="1"/>
    <col min="13832" max="13832" width="0.26953125" style="548" customWidth="1"/>
    <col min="13833" max="13835" width="0" style="548" hidden="1" customWidth="1"/>
    <col min="13836" max="13836" width="5.54296875" style="548" customWidth="1"/>
    <col min="13837" max="13837" width="4.1796875" style="548" customWidth="1"/>
    <col min="13838" max="13838" width="3.7265625" style="548" customWidth="1"/>
    <col min="13839" max="13839" width="3.81640625" style="548" customWidth="1"/>
    <col min="13840" max="13840" width="0.453125" style="548" customWidth="1"/>
    <col min="13841" max="13841" width="4.26953125" style="548" customWidth="1"/>
    <col min="13842" max="13842" width="5" style="548" customWidth="1"/>
    <col min="13843" max="13844" width="3.81640625" style="548" customWidth="1"/>
    <col min="13845" max="13845" width="5.26953125" style="548" customWidth="1"/>
    <col min="13846" max="13846" width="3.26953125" style="548" customWidth="1"/>
    <col min="13847" max="13847" width="0" style="548" hidden="1" customWidth="1"/>
    <col min="13848" max="13848" width="3" style="548" customWidth="1"/>
    <col min="13849" max="13849" width="4" style="548" customWidth="1"/>
    <col min="13850" max="13850" width="8.54296875" style="548" customWidth="1"/>
    <col min="13851" max="14075" width="8.81640625" style="548"/>
    <col min="14076" max="14076" width="3.54296875" style="548" customWidth="1"/>
    <col min="14077" max="14077" width="5.81640625" style="548" customWidth="1"/>
    <col min="14078" max="14078" width="4.453125" style="548" customWidth="1"/>
    <col min="14079" max="14079" width="4.54296875" style="548" customWidth="1"/>
    <col min="14080" max="14080" width="2.7265625" style="548" customWidth="1"/>
    <col min="14081" max="14081" width="4" style="548" customWidth="1"/>
    <col min="14082" max="14082" width="4.81640625" style="548" customWidth="1"/>
    <col min="14083" max="14083" width="4.1796875" style="548" customWidth="1"/>
    <col min="14084" max="14084" width="4.81640625" style="548" customWidth="1"/>
    <col min="14085" max="14085" width="4.54296875" style="548" customWidth="1"/>
    <col min="14086" max="14086" width="6" style="548" customWidth="1"/>
    <col min="14087" max="14087" width="5.54296875" style="548" customWidth="1"/>
    <col min="14088" max="14088" width="0.26953125" style="548" customWidth="1"/>
    <col min="14089" max="14091" width="0" style="548" hidden="1" customWidth="1"/>
    <col min="14092" max="14092" width="5.54296875" style="548" customWidth="1"/>
    <col min="14093" max="14093" width="4.1796875" style="548" customWidth="1"/>
    <col min="14094" max="14094" width="3.7265625" style="548" customWidth="1"/>
    <col min="14095" max="14095" width="3.81640625" style="548" customWidth="1"/>
    <col min="14096" max="14096" width="0.453125" style="548" customWidth="1"/>
    <col min="14097" max="14097" width="4.26953125" style="548" customWidth="1"/>
    <col min="14098" max="14098" width="5" style="548" customWidth="1"/>
    <col min="14099" max="14100" width="3.81640625" style="548" customWidth="1"/>
    <col min="14101" max="14101" width="5.26953125" style="548" customWidth="1"/>
    <col min="14102" max="14102" width="3.26953125" style="548" customWidth="1"/>
    <col min="14103" max="14103" width="0" style="548" hidden="1" customWidth="1"/>
    <col min="14104" max="14104" width="3" style="548" customWidth="1"/>
    <col min="14105" max="14105" width="4" style="548" customWidth="1"/>
    <col min="14106" max="14106" width="8.54296875" style="548" customWidth="1"/>
    <col min="14107" max="14331" width="8.81640625" style="548"/>
    <col min="14332" max="14332" width="3.54296875" style="548" customWidth="1"/>
    <col min="14333" max="14333" width="5.81640625" style="548" customWidth="1"/>
    <col min="14334" max="14334" width="4.453125" style="548" customWidth="1"/>
    <col min="14335" max="14335" width="4.54296875" style="548" customWidth="1"/>
    <col min="14336" max="14336" width="2.7265625" style="548" customWidth="1"/>
    <col min="14337" max="14337" width="4" style="548" customWidth="1"/>
    <col min="14338" max="14338" width="4.81640625" style="548" customWidth="1"/>
    <col min="14339" max="14339" width="4.1796875" style="548" customWidth="1"/>
    <col min="14340" max="14340" width="4.81640625" style="548" customWidth="1"/>
    <col min="14341" max="14341" width="4.54296875" style="548" customWidth="1"/>
    <col min="14342" max="14342" width="6" style="548" customWidth="1"/>
    <col min="14343" max="14343" width="5.54296875" style="548" customWidth="1"/>
    <col min="14344" max="14344" width="0.26953125" style="548" customWidth="1"/>
    <col min="14345" max="14347" width="0" style="548" hidden="1" customWidth="1"/>
    <col min="14348" max="14348" width="5.54296875" style="548" customWidth="1"/>
    <col min="14349" max="14349" width="4.1796875" style="548" customWidth="1"/>
    <col min="14350" max="14350" width="3.7265625" style="548" customWidth="1"/>
    <col min="14351" max="14351" width="3.81640625" style="548" customWidth="1"/>
    <col min="14352" max="14352" width="0.453125" style="548" customWidth="1"/>
    <col min="14353" max="14353" width="4.26953125" style="548" customWidth="1"/>
    <col min="14354" max="14354" width="5" style="548" customWidth="1"/>
    <col min="14355" max="14356" width="3.81640625" style="548" customWidth="1"/>
    <col min="14357" max="14357" width="5.26953125" style="548" customWidth="1"/>
    <col min="14358" max="14358" width="3.26953125" style="548" customWidth="1"/>
    <col min="14359" max="14359" width="0" style="548" hidden="1" customWidth="1"/>
    <col min="14360" max="14360" width="3" style="548" customWidth="1"/>
    <col min="14361" max="14361" width="4" style="548" customWidth="1"/>
    <col min="14362" max="14362" width="8.54296875" style="548" customWidth="1"/>
    <col min="14363" max="14587" width="8.81640625" style="548"/>
    <col min="14588" max="14588" width="3.54296875" style="548" customWidth="1"/>
    <col min="14589" max="14589" width="5.81640625" style="548" customWidth="1"/>
    <col min="14590" max="14590" width="4.453125" style="548" customWidth="1"/>
    <col min="14591" max="14591" width="4.54296875" style="548" customWidth="1"/>
    <col min="14592" max="14592" width="2.7265625" style="548" customWidth="1"/>
    <col min="14593" max="14593" width="4" style="548" customWidth="1"/>
    <col min="14594" max="14594" width="4.81640625" style="548" customWidth="1"/>
    <col min="14595" max="14595" width="4.1796875" style="548" customWidth="1"/>
    <col min="14596" max="14596" width="4.81640625" style="548" customWidth="1"/>
    <col min="14597" max="14597" width="4.54296875" style="548" customWidth="1"/>
    <col min="14598" max="14598" width="6" style="548" customWidth="1"/>
    <col min="14599" max="14599" width="5.54296875" style="548" customWidth="1"/>
    <col min="14600" max="14600" width="0.26953125" style="548" customWidth="1"/>
    <col min="14601" max="14603" width="0" style="548" hidden="1" customWidth="1"/>
    <col min="14604" max="14604" width="5.54296875" style="548" customWidth="1"/>
    <col min="14605" max="14605" width="4.1796875" style="548" customWidth="1"/>
    <col min="14606" max="14606" width="3.7265625" style="548" customWidth="1"/>
    <col min="14607" max="14607" width="3.81640625" style="548" customWidth="1"/>
    <col min="14608" max="14608" width="0.453125" style="548" customWidth="1"/>
    <col min="14609" max="14609" width="4.26953125" style="548" customWidth="1"/>
    <col min="14610" max="14610" width="5" style="548" customWidth="1"/>
    <col min="14611" max="14612" width="3.81640625" style="548" customWidth="1"/>
    <col min="14613" max="14613" width="5.26953125" style="548" customWidth="1"/>
    <col min="14614" max="14614" width="3.26953125" style="548" customWidth="1"/>
    <col min="14615" max="14615" width="0" style="548" hidden="1" customWidth="1"/>
    <col min="14616" max="14616" width="3" style="548" customWidth="1"/>
    <col min="14617" max="14617" width="4" style="548" customWidth="1"/>
    <col min="14618" max="14618" width="8.54296875" style="548" customWidth="1"/>
    <col min="14619" max="14843" width="8.81640625" style="548"/>
    <col min="14844" max="14844" width="3.54296875" style="548" customWidth="1"/>
    <col min="14845" max="14845" width="5.81640625" style="548" customWidth="1"/>
    <col min="14846" max="14846" width="4.453125" style="548" customWidth="1"/>
    <col min="14847" max="14847" width="4.54296875" style="548" customWidth="1"/>
    <col min="14848" max="14848" width="2.7265625" style="548" customWidth="1"/>
    <col min="14849" max="14849" width="4" style="548" customWidth="1"/>
    <col min="14850" max="14850" width="4.81640625" style="548" customWidth="1"/>
    <col min="14851" max="14851" width="4.1796875" style="548" customWidth="1"/>
    <col min="14852" max="14852" width="4.81640625" style="548" customWidth="1"/>
    <col min="14853" max="14853" width="4.54296875" style="548" customWidth="1"/>
    <col min="14854" max="14854" width="6" style="548" customWidth="1"/>
    <col min="14855" max="14855" width="5.54296875" style="548" customWidth="1"/>
    <col min="14856" max="14856" width="0.26953125" style="548" customWidth="1"/>
    <col min="14857" max="14859" width="0" style="548" hidden="1" customWidth="1"/>
    <col min="14860" max="14860" width="5.54296875" style="548" customWidth="1"/>
    <col min="14861" max="14861" width="4.1796875" style="548" customWidth="1"/>
    <col min="14862" max="14862" width="3.7265625" style="548" customWidth="1"/>
    <col min="14863" max="14863" width="3.81640625" style="548" customWidth="1"/>
    <col min="14864" max="14864" width="0.453125" style="548" customWidth="1"/>
    <col min="14865" max="14865" width="4.26953125" style="548" customWidth="1"/>
    <col min="14866" max="14866" width="5" style="548" customWidth="1"/>
    <col min="14867" max="14868" width="3.81640625" style="548" customWidth="1"/>
    <col min="14869" max="14869" width="5.26953125" style="548" customWidth="1"/>
    <col min="14870" max="14870" width="3.26953125" style="548" customWidth="1"/>
    <col min="14871" max="14871" width="0" style="548" hidden="1" customWidth="1"/>
    <col min="14872" max="14872" width="3" style="548" customWidth="1"/>
    <col min="14873" max="14873" width="4" style="548" customWidth="1"/>
    <col min="14874" max="14874" width="8.54296875" style="548" customWidth="1"/>
    <col min="14875" max="15099" width="8.81640625" style="548"/>
    <col min="15100" max="15100" width="3.54296875" style="548" customWidth="1"/>
    <col min="15101" max="15101" width="5.81640625" style="548" customWidth="1"/>
    <col min="15102" max="15102" width="4.453125" style="548" customWidth="1"/>
    <col min="15103" max="15103" width="4.54296875" style="548" customWidth="1"/>
    <col min="15104" max="15104" width="2.7265625" style="548" customWidth="1"/>
    <col min="15105" max="15105" width="4" style="548" customWidth="1"/>
    <col min="15106" max="15106" width="4.81640625" style="548" customWidth="1"/>
    <col min="15107" max="15107" width="4.1796875" style="548" customWidth="1"/>
    <col min="15108" max="15108" width="4.81640625" style="548" customWidth="1"/>
    <col min="15109" max="15109" width="4.54296875" style="548" customWidth="1"/>
    <col min="15110" max="15110" width="6" style="548" customWidth="1"/>
    <col min="15111" max="15111" width="5.54296875" style="548" customWidth="1"/>
    <col min="15112" max="15112" width="0.26953125" style="548" customWidth="1"/>
    <col min="15113" max="15115" width="0" style="548" hidden="1" customWidth="1"/>
    <col min="15116" max="15116" width="5.54296875" style="548" customWidth="1"/>
    <col min="15117" max="15117" width="4.1796875" style="548" customWidth="1"/>
    <col min="15118" max="15118" width="3.7265625" style="548" customWidth="1"/>
    <col min="15119" max="15119" width="3.81640625" style="548" customWidth="1"/>
    <col min="15120" max="15120" width="0.453125" style="548" customWidth="1"/>
    <col min="15121" max="15121" width="4.26953125" style="548" customWidth="1"/>
    <col min="15122" max="15122" width="5" style="548" customWidth="1"/>
    <col min="15123" max="15124" width="3.81640625" style="548" customWidth="1"/>
    <col min="15125" max="15125" width="5.26953125" style="548" customWidth="1"/>
    <col min="15126" max="15126" width="3.26953125" style="548" customWidth="1"/>
    <col min="15127" max="15127" width="0" style="548" hidden="1" customWidth="1"/>
    <col min="15128" max="15128" width="3" style="548" customWidth="1"/>
    <col min="15129" max="15129" width="4" style="548" customWidth="1"/>
    <col min="15130" max="15130" width="8.54296875" style="548" customWidth="1"/>
    <col min="15131" max="15355" width="8.81640625" style="548"/>
    <col min="15356" max="15356" width="3.54296875" style="548" customWidth="1"/>
    <col min="15357" max="15357" width="5.81640625" style="548" customWidth="1"/>
    <col min="15358" max="15358" width="4.453125" style="548" customWidth="1"/>
    <col min="15359" max="15359" width="4.54296875" style="548" customWidth="1"/>
    <col min="15360" max="15360" width="2.7265625" style="548" customWidth="1"/>
    <col min="15361" max="15361" width="4" style="548" customWidth="1"/>
    <col min="15362" max="15362" width="4.81640625" style="548" customWidth="1"/>
    <col min="15363" max="15363" width="4.1796875" style="548" customWidth="1"/>
    <col min="15364" max="15364" width="4.81640625" style="548" customWidth="1"/>
    <col min="15365" max="15365" width="4.54296875" style="548" customWidth="1"/>
    <col min="15366" max="15366" width="6" style="548" customWidth="1"/>
    <col min="15367" max="15367" width="5.54296875" style="548" customWidth="1"/>
    <col min="15368" max="15368" width="0.26953125" style="548" customWidth="1"/>
    <col min="15369" max="15371" width="0" style="548" hidden="1" customWidth="1"/>
    <col min="15372" max="15372" width="5.54296875" style="548" customWidth="1"/>
    <col min="15373" max="15373" width="4.1796875" style="548" customWidth="1"/>
    <col min="15374" max="15374" width="3.7265625" style="548" customWidth="1"/>
    <col min="15375" max="15375" width="3.81640625" style="548" customWidth="1"/>
    <col min="15376" max="15376" width="0.453125" style="548" customWidth="1"/>
    <col min="15377" max="15377" width="4.26953125" style="548" customWidth="1"/>
    <col min="15378" max="15378" width="5" style="548" customWidth="1"/>
    <col min="15379" max="15380" width="3.81640625" style="548" customWidth="1"/>
    <col min="15381" max="15381" width="5.26953125" style="548" customWidth="1"/>
    <col min="15382" max="15382" width="3.26953125" style="548" customWidth="1"/>
    <col min="15383" max="15383" width="0" style="548" hidden="1" customWidth="1"/>
    <col min="15384" max="15384" width="3" style="548" customWidth="1"/>
    <col min="15385" max="15385" width="4" style="548" customWidth="1"/>
    <col min="15386" max="15386" width="8.54296875" style="548" customWidth="1"/>
    <col min="15387" max="15611" width="8.81640625" style="548"/>
    <col min="15612" max="15612" width="3.54296875" style="548" customWidth="1"/>
    <col min="15613" max="15613" width="5.81640625" style="548" customWidth="1"/>
    <col min="15614" max="15614" width="4.453125" style="548" customWidth="1"/>
    <col min="15615" max="15615" width="4.54296875" style="548" customWidth="1"/>
    <col min="15616" max="15616" width="2.7265625" style="548" customWidth="1"/>
    <col min="15617" max="15617" width="4" style="548" customWidth="1"/>
    <col min="15618" max="15618" width="4.81640625" style="548" customWidth="1"/>
    <col min="15619" max="15619" width="4.1796875" style="548" customWidth="1"/>
    <col min="15620" max="15620" width="4.81640625" style="548" customWidth="1"/>
    <col min="15621" max="15621" width="4.54296875" style="548" customWidth="1"/>
    <col min="15622" max="15622" width="6" style="548" customWidth="1"/>
    <col min="15623" max="15623" width="5.54296875" style="548" customWidth="1"/>
    <col min="15624" max="15624" width="0.26953125" style="548" customWidth="1"/>
    <col min="15625" max="15627" width="0" style="548" hidden="1" customWidth="1"/>
    <col min="15628" max="15628" width="5.54296875" style="548" customWidth="1"/>
    <col min="15629" max="15629" width="4.1796875" style="548" customWidth="1"/>
    <col min="15630" max="15630" width="3.7265625" style="548" customWidth="1"/>
    <col min="15631" max="15631" width="3.81640625" style="548" customWidth="1"/>
    <col min="15632" max="15632" width="0.453125" style="548" customWidth="1"/>
    <col min="15633" max="15633" width="4.26953125" style="548" customWidth="1"/>
    <col min="15634" max="15634" width="5" style="548" customWidth="1"/>
    <col min="15635" max="15636" width="3.81640625" style="548" customWidth="1"/>
    <col min="15637" max="15637" width="5.26953125" style="548" customWidth="1"/>
    <col min="15638" max="15638" width="3.26953125" style="548" customWidth="1"/>
    <col min="15639" max="15639" width="0" style="548" hidden="1" customWidth="1"/>
    <col min="15640" max="15640" width="3" style="548" customWidth="1"/>
    <col min="15641" max="15641" width="4" style="548" customWidth="1"/>
    <col min="15642" max="15642" width="8.54296875" style="548" customWidth="1"/>
    <col min="15643" max="15867" width="8.81640625" style="548"/>
    <col min="15868" max="15868" width="3.54296875" style="548" customWidth="1"/>
    <col min="15869" max="15869" width="5.81640625" style="548" customWidth="1"/>
    <col min="15870" max="15870" width="4.453125" style="548" customWidth="1"/>
    <col min="15871" max="15871" width="4.54296875" style="548" customWidth="1"/>
    <col min="15872" max="15872" width="2.7265625" style="548" customWidth="1"/>
    <col min="15873" max="15873" width="4" style="548" customWidth="1"/>
    <col min="15874" max="15874" width="4.81640625" style="548" customWidth="1"/>
    <col min="15875" max="15875" width="4.1796875" style="548" customWidth="1"/>
    <col min="15876" max="15876" width="4.81640625" style="548" customWidth="1"/>
    <col min="15877" max="15877" width="4.54296875" style="548" customWidth="1"/>
    <col min="15878" max="15878" width="6" style="548" customWidth="1"/>
    <col min="15879" max="15879" width="5.54296875" style="548" customWidth="1"/>
    <col min="15880" max="15880" width="0.26953125" style="548" customWidth="1"/>
    <col min="15881" max="15883" width="0" style="548" hidden="1" customWidth="1"/>
    <col min="15884" max="15884" width="5.54296875" style="548" customWidth="1"/>
    <col min="15885" max="15885" width="4.1796875" style="548" customWidth="1"/>
    <col min="15886" max="15886" width="3.7265625" style="548" customWidth="1"/>
    <col min="15887" max="15887" width="3.81640625" style="548" customWidth="1"/>
    <col min="15888" max="15888" width="0.453125" style="548" customWidth="1"/>
    <col min="15889" max="15889" width="4.26953125" style="548" customWidth="1"/>
    <col min="15890" max="15890" width="5" style="548" customWidth="1"/>
    <col min="15891" max="15892" width="3.81640625" style="548" customWidth="1"/>
    <col min="15893" max="15893" width="5.26953125" style="548" customWidth="1"/>
    <col min="15894" max="15894" width="3.26953125" style="548" customWidth="1"/>
    <col min="15895" max="15895" width="0" style="548" hidden="1" customWidth="1"/>
    <col min="15896" max="15896" width="3" style="548" customWidth="1"/>
    <col min="15897" max="15897" width="4" style="548" customWidth="1"/>
    <col min="15898" max="15898" width="8.54296875" style="548" customWidth="1"/>
    <col min="15899" max="16123" width="8.81640625" style="548"/>
    <col min="16124" max="16124" width="3.54296875" style="548" customWidth="1"/>
    <col min="16125" max="16125" width="5.81640625" style="548" customWidth="1"/>
    <col min="16126" max="16126" width="4.453125" style="548" customWidth="1"/>
    <col min="16127" max="16127" width="4.54296875" style="548" customWidth="1"/>
    <col min="16128" max="16128" width="2.7265625" style="548" customWidth="1"/>
    <col min="16129" max="16129" width="4" style="548" customWidth="1"/>
    <col min="16130" max="16130" width="4.81640625" style="548" customWidth="1"/>
    <col min="16131" max="16131" width="4.1796875" style="548" customWidth="1"/>
    <col min="16132" max="16132" width="4.81640625" style="548" customWidth="1"/>
    <col min="16133" max="16133" width="4.54296875" style="548" customWidth="1"/>
    <col min="16134" max="16134" width="6" style="548" customWidth="1"/>
    <col min="16135" max="16135" width="5.54296875" style="548" customWidth="1"/>
    <col min="16136" max="16136" width="0.26953125" style="548" customWidth="1"/>
    <col min="16137" max="16139" width="0" style="548" hidden="1" customWidth="1"/>
    <col min="16140" max="16140" width="5.54296875" style="548" customWidth="1"/>
    <col min="16141" max="16141" width="4.1796875" style="548" customWidth="1"/>
    <col min="16142" max="16142" width="3.7265625" style="548" customWidth="1"/>
    <col min="16143" max="16143" width="3.81640625" style="548" customWidth="1"/>
    <col min="16144" max="16144" width="0.453125" style="548" customWidth="1"/>
    <col min="16145" max="16145" width="4.26953125" style="548" customWidth="1"/>
    <col min="16146" max="16146" width="5" style="548" customWidth="1"/>
    <col min="16147" max="16148" width="3.81640625" style="548" customWidth="1"/>
    <col min="16149" max="16149" width="5.26953125" style="548" customWidth="1"/>
    <col min="16150" max="16150" width="3.26953125" style="548" customWidth="1"/>
    <col min="16151" max="16151" width="0" style="548" hidden="1" customWidth="1"/>
    <col min="16152" max="16152" width="3" style="548" customWidth="1"/>
    <col min="16153" max="16153" width="4" style="548" customWidth="1"/>
    <col min="16154" max="16154" width="8.54296875" style="548" customWidth="1"/>
    <col min="16155" max="16384" width="8.81640625" style="548"/>
  </cols>
  <sheetData>
    <row r="1" spans="1:33" ht="14.5" customHeight="1">
      <c r="A1" s="546"/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796" t="str">
        <f>ФОРМА!G2</f>
        <v>Санкт-Петербург</v>
      </c>
      <c r="M1" s="796"/>
      <c r="N1" s="796"/>
      <c r="O1" s="796"/>
      <c r="P1" s="796"/>
      <c r="Q1" s="796"/>
      <c r="R1" s="796"/>
      <c r="S1" s="796"/>
      <c r="T1" s="796"/>
      <c r="U1" s="547"/>
      <c r="V1" s="547"/>
      <c r="W1" s="547"/>
      <c r="X1" s="547"/>
      <c r="Y1" s="547"/>
      <c r="Z1" s="547"/>
      <c r="AA1" s="547"/>
      <c r="AB1" s="595"/>
    </row>
    <row r="2" spans="1:33" ht="14.5" customHeight="1">
      <c r="A2" s="547"/>
      <c r="B2" s="547"/>
      <c r="C2" s="547"/>
      <c r="D2" s="547"/>
      <c r="E2" s="547"/>
      <c r="F2" s="547"/>
      <c r="G2" s="547"/>
      <c r="H2" s="547"/>
      <c r="I2" s="547"/>
      <c r="J2" s="547"/>
      <c r="K2" s="546"/>
      <c r="L2" s="794" t="s">
        <v>0</v>
      </c>
      <c r="M2" s="794"/>
      <c r="N2" s="794"/>
      <c r="O2" s="794"/>
      <c r="P2" s="794"/>
      <c r="Q2" s="794"/>
      <c r="R2" s="794"/>
      <c r="S2" s="794"/>
      <c r="T2" s="794"/>
      <c r="U2" s="549"/>
      <c r="V2" s="549"/>
      <c r="W2" s="549"/>
      <c r="X2" s="549"/>
      <c r="Y2" s="549"/>
      <c r="Z2" s="549"/>
      <c r="AA2" s="549"/>
      <c r="AB2" s="596"/>
    </row>
    <row r="3" spans="1:33" ht="14.5" customHeight="1">
      <c r="A3" s="796" t="str">
        <f>ФОРМА!B4</f>
        <v>ООО «БЭСК»</v>
      </c>
      <c r="B3" s="796"/>
      <c r="C3" s="796"/>
      <c r="D3" s="796"/>
      <c r="E3" s="796"/>
      <c r="F3" s="796"/>
      <c r="G3" s="547"/>
      <c r="H3" s="547"/>
      <c r="I3" s="547"/>
      <c r="J3" s="547"/>
      <c r="K3" s="546"/>
      <c r="L3" s="796" t="str">
        <f>ФОРМА!B2</f>
        <v>ПАО "Россети Ленэнерго"</v>
      </c>
      <c r="M3" s="796"/>
      <c r="N3" s="796"/>
      <c r="O3" s="796"/>
      <c r="P3" s="796"/>
      <c r="Q3" s="796"/>
      <c r="R3" s="796"/>
      <c r="S3" s="796"/>
      <c r="T3" s="796"/>
      <c r="U3" s="547"/>
      <c r="V3" s="547"/>
      <c r="W3" s="547"/>
      <c r="X3" s="547"/>
      <c r="Y3" s="547"/>
      <c r="Z3" s="547"/>
      <c r="AA3" s="547"/>
      <c r="AB3" s="595"/>
    </row>
    <row r="4" spans="1:33" ht="14.5" customHeight="1">
      <c r="A4" s="797" t="s">
        <v>44</v>
      </c>
      <c r="B4" s="797"/>
      <c r="C4" s="797"/>
      <c r="D4" s="797"/>
      <c r="E4" s="797"/>
      <c r="F4" s="797"/>
      <c r="G4" s="550"/>
      <c r="H4" s="550"/>
      <c r="I4" s="550"/>
      <c r="J4" s="550"/>
      <c r="K4" s="547"/>
      <c r="L4" s="794" t="s">
        <v>2</v>
      </c>
      <c r="M4" s="794"/>
      <c r="N4" s="794"/>
      <c r="O4" s="794"/>
      <c r="P4" s="794"/>
      <c r="Q4" s="794"/>
      <c r="R4" s="794"/>
      <c r="S4" s="794"/>
      <c r="T4" s="794"/>
      <c r="U4" s="549"/>
      <c r="V4" s="549"/>
      <c r="W4" s="549"/>
      <c r="X4" s="549"/>
      <c r="Y4" s="549"/>
      <c r="Z4" s="549"/>
      <c r="AA4" s="549"/>
      <c r="AB4" s="596"/>
    </row>
    <row r="5" spans="1:33" ht="135" customHeight="1">
      <c r="A5" s="792"/>
      <c r="B5" s="792"/>
      <c r="C5" s="792"/>
      <c r="D5" s="792"/>
      <c r="E5" s="792"/>
      <c r="F5" s="792"/>
      <c r="G5" s="546"/>
      <c r="H5" s="546"/>
      <c r="I5" s="546"/>
      <c r="J5" s="546"/>
      <c r="K5" s="546"/>
      <c r="L5" s="7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93"/>
      <c r="N5" s="793"/>
      <c r="O5" s="793"/>
      <c r="P5" s="793"/>
      <c r="Q5" s="793"/>
      <c r="R5" s="793"/>
      <c r="S5" s="793"/>
      <c r="T5" s="793"/>
      <c r="U5" s="551"/>
      <c r="V5" s="551"/>
      <c r="W5" s="551"/>
      <c r="X5" s="551"/>
      <c r="Y5" s="551"/>
      <c r="Z5" s="551"/>
      <c r="AA5" s="551"/>
      <c r="AB5" s="597"/>
    </row>
    <row r="6" spans="1:33" ht="14.5" customHeight="1">
      <c r="A6" s="794" t="s">
        <v>45</v>
      </c>
      <c r="B6" s="794"/>
      <c r="C6" s="794"/>
      <c r="D6" s="794"/>
      <c r="E6" s="794"/>
      <c r="F6" s="794"/>
      <c r="G6" s="549"/>
      <c r="H6" s="549"/>
      <c r="I6" s="549"/>
      <c r="J6" s="549"/>
      <c r="K6" s="546"/>
      <c r="L6" s="794" t="s">
        <v>38</v>
      </c>
      <c r="M6" s="794"/>
      <c r="N6" s="794"/>
      <c r="O6" s="794"/>
      <c r="P6" s="794"/>
      <c r="Q6" s="794"/>
      <c r="R6" s="794"/>
      <c r="S6" s="794"/>
      <c r="T6" s="794"/>
      <c r="U6" s="549"/>
      <c r="V6" s="549"/>
      <c r="W6" s="549"/>
      <c r="X6" s="549"/>
      <c r="Y6" s="549"/>
      <c r="Z6" s="549"/>
      <c r="AA6" s="549"/>
      <c r="AB6" s="596"/>
    </row>
    <row r="7" spans="1:33" ht="14.5" customHeight="1">
      <c r="A7" s="792"/>
      <c r="B7" s="792"/>
      <c r="C7" s="792"/>
      <c r="D7" s="792"/>
      <c r="E7" s="792"/>
      <c r="F7" s="792"/>
      <c r="G7" s="546"/>
      <c r="H7" s="546"/>
      <c r="I7" s="546"/>
      <c r="J7" s="546"/>
      <c r="K7" s="546"/>
      <c r="L7" s="795">
        <f>ФОРМА!B13</f>
        <v>45625</v>
      </c>
      <c r="M7" s="795"/>
      <c r="N7" s="795"/>
      <c r="O7" s="795"/>
      <c r="P7" s="795"/>
      <c r="Q7" s="795"/>
      <c r="R7" s="795"/>
      <c r="S7" s="795"/>
      <c r="T7" s="795"/>
      <c r="U7" s="547"/>
      <c r="V7" s="547"/>
      <c r="W7" s="547"/>
      <c r="X7" s="547"/>
      <c r="Y7" s="547"/>
      <c r="Z7" s="547"/>
      <c r="AA7" s="547"/>
      <c r="AB7" s="595"/>
    </row>
    <row r="8" spans="1:33" ht="14.5" customHeight="1">
      <c r="A8" s="794" t="s">
        <v>1</v>
      </c>
      <c r="B8" s="794"/>
      <c r="C8" s="794"/>
      <c r="D8" s="794"/>
      <c r="E8" s="794"/>
      <c r="F8" s="794"/>
      <c r="G8" s="549"/>
      <c r="H8" s="549"/>
      <c r="I8" s="549"/>
      <c r="J8" s="549"/>
      <c r="K8" s="546"/>
      <c r="L8" s="794" t="s">
        <v>3</v>
      </c>
      <c r="M8" s="794"/>
      <c r="N8" s="794"/>
      <c r="O8" s="794"/>
      <c r="P8" s="794"/>
      <c r="Q8" s="794"/>
      <c r="R8" s="794"/>
      <c r="S8" s="794"/>
      <c r="T8" s="794"/>
      <c r="U8" s="549"/>
      <c r="V8" s="549"/>
      <c r="W8" s="549"/>
      <c r="X8" s="549"/>
      <c r="Y8" s="549"/>
      <c r="Z8" s="549"/>
      <c r="AA8" s="549"/>
      <c r="AB8" s="596"/>
    </row>
    <row r="9" spans="1:33">
      <c r="A9" s="546"/>
      <c r="B9" s="546"/>
      <c r="C9" s="546"/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52"/>
      <c r="T9" s="552"/>
      <c r="U9" s="791"/>
    </row>
    <row r="10" spans="1:33" ht="34.15" customHeight="1">
      <c r="A10" s="798" t="s">
        <v>1156</v>
      </c>
      <c r="B10" s="798"/>
      <c r="C10" s="798"/>
      <c r="D10" s="798"/>
      <c r="E10" s="798"/>
      <c r="F10" s="798"/>
      <c r="G10" s="798"/>
      <c r="H10" s="798"/>
      <c r="I10" s="798"/>
      <c r="J10" s="798"/>
      <c r="K10" s="798"/>
      <c r="L10" s="798"/>
      <c r="M10" s="798"/>
      <c r="N10" s="798"/>
      <c r="O10" s="798"/>
      <c r="P10" s="798"/>
      <c r="Q10" s="798"/>
      <c r="R10" s="798"/>
      <c r="S10" s="798"/>
      <c r="T10" s="798"/>
      <c r="U10" s="791"/>
      <c r="V10" s="553"/>
      <c r="W10" s="553"/>
      <c r="X10" s="553"/>
      <c r="Y10" s="553"/>
      <c r="Z10" s="553"/>
      <c r="AA10" s="553"/>
      <c r="AB10" s="598"/>
    </row>
    <row r="11" spans="1:33" ht="28.5" customHeight="1" thickBot="1">
      <c r="A11" s="554" t="s">
        <v>236</v>
      </c>
      <c r="B11" s="799" t="s">
        <v>157</v>
      </c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 t="s">
        <v>1157</v>
      </c>
      <c r="Q11" s="799"/>
      <c r="R11" s="799" t="s">
        <v>1158</v>
      </c>
      <c r="S11" s="799"/>
      <c r="T11" s="799"/>
      <c r="U11" s="791"/>
      <c r="V11" s="572"/>
      <c r="W11" s="572"/>
      <c r="X11" s="572"/>
      <c r="Y11" s="572"/>
      <c r="Z11" s="572"/>
      <c r="AA11" s="572"/>
      <c r="AB11" s="572"/>
    </row>
    <row r="12" spans="1:33" ht="16" thickBot="1">
      <c r="A12" s="555"/>
      <c r="B12" s="785" t="s">
        <v>1243</v>
      </c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7"/>
      <c r="P12" s="779"/>
      <c r="Q12" s="780"/>
      <c r="R12" s="779"/>
      <c r="S12" s="780"/>
      <c r="T12" s="781"/>
      <c r="U12" s="556">
        <v>1</v>
      </c>
      <c r="V12" s="558"/>
      <c r="W12" s="558"/>
      <c r="X12" s="558"/>
      <c r="Y12" s="558"/>
      <c r="Z12" s="558"/>
      <c r="AA12" s="558"/>
      <c r="AB12" s="788" t="s">
        <v>1243</v>
      </c>
      <c r="AC12" s="789"/>
      <c r="AD12" s="789"/>
      <c r="AE12" s="789"/>
      <c r="AF12" s="790"/>
      <c r="AG12" s="588"/>
    </row>
    <row r="13" spans="1:33" ht="16" thickBot="1">
      <c r="A13" s="554" t="str">
        <f>CONCATENATE(U13,".",V13)</f>
        <v>1.</v>
      </c>
      <c r="B13" s="785" t="s">
        <v>1191</v>
      </c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7"/>
      <c r="P13" s="779" t="str">
        <f>CONCATENATE(AC13)</f>
        <v/>
      </c>
      <c r="Q13" s="780"/>
      <c r="R13" s="779" t="str">
        <f>CONCATENATE(AD13)</f>
        <v/>
      </c>
      <c r="S13" s="780"/>
      <c r="T13" s="781"/>
      <c r="U13" s="556">
        <f>U12</f>
        <v>1</v>
      </c>
      <c r="V13" s="558"/>
      <c r="W13" s="558"/>
      <c r="X13" s="558"/>
      <c r="Y13" s="558"/>
      <c r="Z13" s="558"/>
      <c r="AA13" s="558"/>
      <c r="AB13" s="602" t="s">
        <v>1191</v>
      </c>
      <c r="AC13" s="603"/>
      <c r="AD13" s="604"/>
      <c r="AE13" s="590"/>
      <c r="AF13" s="588"/>
      <c r="AG13" s="588"/>
    </row>
    <row r="14" spans="1:33" ht="29.5" thickBot="1">
      <c r="A14" s="555" t="str">
        <f>CONCATENATE(U14,".",V14)</f>
        <v>1.1</v>
      </c>
      <c r="B14" s="782" t="s">
        <v>1277</v>
      </c>
      <c r="C14" s="783"/>
      <c r="D14" s="783"/>
      <c r="E14" s="783"/>
      <c r="F14" s="783"/>
      <c r="G14" s="783"/>
      <c r="H14" s="783"/>
      <c r="I14" s="783"/>
      <c r="J14" s="783"/>
      <c r="K14" s="783"/>
      <c r="L14" s="783"/>
      <c r="M14" s="783"/>
      <c r="N14" s="783"/>
      <c r="O14" s="784"/>
      <c r="P14" s="779" t="str">
        <f t="shared" ref="P14:P75" si="0">CONCATENATE(AC14)</f>
        <v>м.</v>
      </c>
      <c r="Q14" s="780"/>
      <c r="R14" s="779">
        <f>8.7+12.5+14</f>
        <v>35.200000000000003</v>
      </c>
      <c r="S14" s="780"/>
      <c r="T14" s="781"/>
      <c r="U14" s="556">
        <f t="shared" ref="U14:U75" si="1">U13</f>
        <v>1</v>
      </c>
      <c r="V14" s="558">
        <f t="shared" ref="V14:V75" si="2">V13+1</f>
        <v>1</v>
      </c>
      <c r="W14" s="558"/>
      <c r="X14" s="558"/>
      <c r="Y14" s="558"/>
      <c r="Z14" s="558"/>
      <c r="AA14" s="558"/>
      <c r="AB14" s="608" t="s">
        <v>1277</v>
      </c>
      <c r="AC14" s="609" t="s">
        <v>193</v>
      </c>
      <c r="AD14" s="610">
        <v>45</v>
      </c>
      <c r="AE14" s="614" t="s">
        <v>1193</v>
      </c>
      <c r="AF14" s="588"/>
      <c r="AG14" s="588"/>
    </row>
    <row r="15" spans="1:33" ht="16" thickBot="1">
      <c r="A15" s="554" t="str">
        <f t="shared" ref="A15:A70" si="3">CONCATENATE(U15,".",V15)</f>
        <v>2.</v>
      </c>
      <c r="B15" s="785" t="s">
        <v>1195</v>
      </c>
      <c r="C15" s="786"/>
      <c r="D15" s="786"/>
      <c r="E15" s="786"/>
      <c r="F15" s="786"/>
      <c r="G15" s="786"/>
      <c r="H15" s="786"/>
      <c r="I15" s="786"/>
      <c r="J15" s="786"/>
      <c r="K15" s="786"/>
      <c r="L15" s="786"/>
      <c r="M15" s="786"/>
      <c r="N15" s="786"/>
      <c r="O15" s="787"/>
      <c r="P15" s="779" t="str">
        <f t="shared" si="0"/>
        <v/>
      </c>
      <c r="Q15" s="780"/>
      <c r="R15" s="779" t="str">
        <f t="shared" ref="R15:R68" si="4">CONCATENATE(AD15)</f>
        <v/>
      </c>
      <c r="S15" s="780"/>
      <c r="T15" s="781"/>
      <c r="U15" s="556">
        <v>2</v>
      </c>
      <c r="V15" s="558"/>
      <c r="W15" s="558"/>
      <c r="X15" s="558"/>
      <c r="Y15" s="558"/>
      <c r="Z15" s="558"/>
      <c r="AA15" s="558"/>
      <c r="AB15" s="602" t="s">
        <v>1195</v>
      </c>
      <c r="AC15" s="603"/>
      <c r="AD15" s="604"/>
      <c r="AE15" s="617"/>
      <c r="AF15" s="588"/>
      <c r="AG15" s="588"/>
    </row>
    <row r="16" spans="1:33" ht="29.5" thickBot="1">
      <c r="A16" s="555" t="str">
        <f t="shared" si="3"/>
        <v>2.1</v>
      </c>
      <c r="B16" s="782" t="s">
        <v>1247</v>
      </c>
      <c r="C16" s="783"/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  <c r="O16" s="784"/>
      <c r="P16" s="779" t="str">
        <f t="shared" si="0"/>
        <v>т.</v>
      </c>
      <c r="Q16" s="780"/>
      <c r="R16" s="1281">
        <f>6.46*SUM(R32)/1000</f>
        <v>0.46387968000000007</v>
      </c>
      <c r="S16" s="1282"/>
      <c r="T16" s="1283"/>
      <c r="U16" s="556">
        <f t="shared" si="1"/>
        <v>2</v>
      </c>
      <c r="V16" s="558">
        <f t="shared" si="2"/>
        <v>1</v>
      </c>
      <c r="W16" s="558"/>
      <c r="X16" s="558"/>
      <c r="Y16" s="558"/>
      <c r="Z16" s="558"/>
      <c r="AA16" s="558"/>
      <c r="AB16" s="605" t="s">
        <v>1247</v>
      </c>
      <c r="AC16" s="606" t="s">
        <v>1244</v>
      </c>
      <c r="AD16" s="619">
        <v>0.56299999999999994</v>
      </c>
      <c r="AE16" s="617"/>
      <c r="AF16" s="588"/>
      <c r="AG16" s="588"/>
    </row>
    <row r="17" spans="1:33" ht="29.5" thickBot="1">
      <c r="A17" s="555" t="str">
        <f t="shared" si="3"/>
        <v>2.2</v>
      </c>
      <c r="B17" s="782" t="s">
        <v>1248</v>
      </c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4"/>
      <c r="P17" s="779" t="str">
        <f t="shared" si="0"/>
        <v>т.</v>
      </c>
      <c r="Q17" s="780"/>
      <c r="R17" s="1284" t="str">
        <f t="shared" si="4"/>
        <v>0,408</v>
      </c>
      <c r="S17" s="1285"/>
      <c r="T17" s="1286"/>
      <c r="U17" s="556">
        <f t="shared" si="1"/>
        <v>2</v>
      </c>
      <c r="V17" s="558">
        <f t="shared" si="2"/>
        <v>2</v>
      </c>
      <c r="W17" s="558"/>
      <c r="X17" s="558"/>
      <c r="Y17" s="558"/>
      <c r="Z17" s="558"/>
      <c r="AA17" s="558"/>
      <c r="AB17" s="605" t="s">
        <v>1248</v>
      </c>
      <c r="AC17" s="606" t="s">
        <v>1244</v>
      </c>
      <c r="AD17" s="619">
        <v>0.40799999999999997</v>
      </c>
      <c r="AE17" s="617"/>
      <c r="AF17" s="588"/>
      <c r="AG17" s="588"/>
    </row>
    <row r="18" spans="1:33" ht="58.5" thickBot="1">
      <c r="A18" s="555" t="str">
        <f t="shared" si="3"/>
        <v>2.3</v>
      </c>
      <c r="B18" s="782" t="s">
        <v>1245</v>
      </c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4"/>
      <c r="P18" s="779" t="str">
        <f t="shared" si="0"/>
        <v>т.</v>
      </c>
      <c r="Q18" s="780"/>
      <c r="R18" s="1284" t="str">
        <f t="shared" si="4"/>
        <v>3,25</v>
      </c>
      <c r="S18" s="1285"/>
      <c r="T18" s="1286"/>
      <c r="U18" s="556">
        <f t="shared" si="1"/>
        <v>2</v>
      </c>
      <c r="V18" s="558">
        <f t="shared" si="2"/>
        <v>3</v>
      </c>
      <c r="W18" s="558"/>
      <c r="X18" s="558"/>
      <c r="Y18" s="558"/>
      <c r="Z18" s="558"/>
      <c r="AA18" s="558"/>
      <c r="AB18" s="605" t="s">
        <v>1245</v>
      </c>
      <c r="AC18" s="606" t="s">
        <v>1244</v>
      </c>
      <c r="AD18" s="607">
        <v>3.25</v>
      </c>
      <c r="AE18" s="103"/>
      <c r="AF18" s="588"/>
      <c r="AG18" s="588"/>
    </row>
    <row r="19" spans="1:33" ht="29.5" thickBot="1">
      <c r="A19" s="555" t="str">
        <f t="shared" si="3"/>
        <v>2.4</v>
      </c>
      <c r="B19" s="782" t="s">
        <v>1199</v>
      </c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4"/>
      <c r="P19" s="779" t="str">
        <f t="shared" si="0"/>
        <v>т.</v>
      </c>
      <c r="Q19" s="780"/>
      <c r="R19" s="1287">
        <f>X19*SUM(R31+R39)</f>
        <v>9.4632640949554894</v>
      </c>
      <c r="S19" s="1288"/>
      <c r="T19" s="1289"/>
      <c r="U19" s="556">
        <f t="shared" si="1"/>
        <v>2</v>
      </c>
      <c r="V19" s="558">
        <f t="shared" si="2"/>
        <v>4</v>
      </c>
      <c r="W19" s="558"/>
      <c r="X19" s="558">
        <f>12.08/6.74</f>
        <v>1.7922848664688427</v>
      </c>
      <c r="Y19" s="558"/>
      <c r="Z19" s="558"/>
      <c r="AA19" s="558"/>
      <c r="AB19" s="605" t="s">
        <v>1199</v>
      </c>
      <c r="AC19" s="606" t="s">
        <v>1244</v>
      </c>
      <c r="AD19" s="619">
        <v>12.08</v>
      </c>
      <c r="AE19" s="103"/>
      <c r="AF19" s="588"/>
      <c r="AG19" s="588"/>
    </row>
    <row r="20" spans="1:33" ht="33" customHeight="1" thickBot="1">
      <c r="A20" s="555" t="str">
        <f t="shared" si="3"/>
        <v>2.5</v>
      </c>
      <c r="B20" s="782" t="s">
        <v>1249</v>
      </c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  <c r="O20" s="784"/>
      <c r="P20" s="779" t="str">
        <f t="shared" si="0"/>
        <v>т.</v>
      </c>
      <c r="Q20" s="780"/>
      <c r="R20" s="1287">
        <f>R19</f>
        <v>9.4632640949554894</v>
      </c>
      <c r="S20" s="1288"/>
      <c r="T20" s="1289"/>
      <c r="U20" s="556">
        <f t="shared" si="1"/>
        <v>2</v>
      </c>
      <c r="V20" s="558">
        <f t="shared" si="2"/>
        <v>5</v>
      </c>
      <c r="W20" s="558"/>
      <c r="X20" s="558"/>
      <c r="Y20" s="558"/>
      <c r="Z20" s="558"/>
      <c r="AA20" s="558"/>
      <c r="AB20" s="605" t="s">
        <v>1249</v>
      </c>
      <c r="AC20" s="606" t="s">
        <v>1244</v>
      </c>
      <c r="AD20" s="619">
        <v>12.08</v>
      </c>
      <c r="AE20" s="103"/>
      <c r="AF20" s="588"/>
      <c r="AG20" s="588"/>
    </row>
    <row r="21" spans="1:33" ht="29.5" thickBot="1">
      <c r="A21" s="555" t="str">
        <f t="shared" si="3"/>
        <v>2.6</v>
      </c>
      <c r="B21" s="782" t="s">
        <v>1200</v>
      </c>
      <c r="C21" s="783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  <c r="O21" s="784"/>
      <c r="P21" s="779" t="str">
        <f t="shared" si="0"/>
        <v>т.</v>
      </c>
      <c r="Q21" s="780"/>
      <c r="R21" s="1284" t="str">
        <f t="shared" si="4"/>
        <v>0,05</v>
      </c>
      <c r="S21" s="1285"/>
      <c r="T21" s="1286"/>
      <c r="U21" s="556">
        <f t="shared" si="1"/>
        <v>2</v>
      </c>
      <c r="V21" s="558">
        <f t="shared" si="2"/>
        <v>6</v>
      </c>
      <c r="W21" s="558"/>
      <c r="X21" s="558"/>
      <c r="Y21" s="558"/>
      <c r="Z21" s="558"/>
      <c r="AA21" s="558"/>
      <c r="AB21" s="605" t="s">
        <v>1200</v>
      </c>
      <c r="AC21" s="606" t="s">
        <v>1244</v>
      </c>
      <c r="AD21" s="607">
        <v>0.05</v>
      </c>
      <c r="AE21" s="103"/>
      <c r="AF21" s="588"/>
      <c r="AG21" s="588"/>
    </row>
    <row r="22" spans="1:33" ht="44" thickBot="1">
      <c r="A22" s="555" t="str">
        <f t="shared" si="3"/>
        <v>2.7</v>
      </c>
      <c r="B22" s="782" t="s">
        <v>1246</v>
      </c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4"/>
      <c r="P22" s="779" t="str">
        <f t="shared" si="0"/>
        <v>т.</v>
      </c>
      <c r="Q22" s="780"/>
      <c r="R22" s="1284" t="str">
        <f t="shared" si="4"/>
        <v>0,05</v>
      </c>
      <c r="S22" s="1285"/>
      <c r="T22" s="1286"/>
      <c r="U22" s="556">
        <f t="shared" si="1"/>
        <v>2</v>
      </c>
      <c r="V22" s="558">
        <f t="shared" si="2"/>
        <v>7</v>
      </c>
      <c r="W22" s="558"/>
      <c r="X22" s="558"/>
      <c r="Y22" s="558"/>
      <c r="Z22" s="558"/>
      <c r="AA22" s="558"/>
      <c r="AB22" s="605" t="s">
        <v>1246</v>
      </c>
      <c r="AC22" s="606" t="s">
        <v>1244</v>
      </c>
      <c r="AD22" s="607">
        <v>0.05</v>
      </c>
      <c r="AE22" s="103"/>
      <c r="AF22" s="588"/>
      <c r="AG22" s="588"/>
    </row>
    <row r="23" spans="1:33" ht="29.5" thickBot="1">
      <c r="A23" s="555" t="str">
        <f t="shared" si="3"/>
        <v>2.8</v>
      </c>
      <c r="B23" s="782" t="s">
        <v>1201</v>
      </c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4"/>
      <c r="P23" s="779" t="str">
        <f t="shared" si="0"/>
        <v>рейс</v>
      </c>
      <c r="Q23" s="780"/>
      <c r="R23" s="1284" t="str">
        <f t="shared" si="4"/>
        <v>30</v>
      </c>
      <c r="S23" s="1285"/>
      <c r="T23" s="1286"/>
      <c r="U23" s="556">
        <f t="shared" si="1"/>
        <v>2</v>
      </c>
      <c r="V23" s="558">
        <f t="shared" si="2"/>
        <v>8</v>
      </c>
      <c r="W23" s="558"/>
      <c r="X23" s="558"/>
      <c r="Y23" s="558"/>
      <c r="Z23" s="558"/>
      <c r="AA23" s="558"/>
      <c r="AB23" s="605" t="s">
        <v>1201</v>
      </c>
      <c r="AC23" s="620" t="s">
        <v>1202</v>
      </c>
      <c r="AD23" s="607">
        <v>30</v>
      </c>
      <c r="AE23" s="103"/>
      <c r="AF23" s="588"/>
      <c r="AG23" s="588"/>
    </row>
    <row r="24" spans="1:33" ht="16" thickBot="1">
      <c r="A24" s="554" t="str">
        <f t="shared" si="3"/>
        <v>3.</v>
      </c>
      <c r="B24" s="785" t="s">
        <v>1216</v>
      </c>
      <c r="C24" s="786"/>
      <c r="D24" s="786"/>
      <c r="E24" s="786"/>
      <c r="F24" s="786"/>
      <c r="G24" s="786"/>
      <c r="H24" s="786"/>
      <c r="I24" s="786"/>
      <c r="J24" s="786"/>
      <c r="K24" s="786"/>
      <c r="L24" s="786"/>
      <c r="M24" s="786"/>
      <c r="N24" s="786"/>
      <c r="O24" s="787"/>
      <c r="P24" s="779" t="str">
        <f t="shared" si="0"/>
        <v/>
      </c>
      <c r="Q24" s="780"/>
      <c r="R24" s="1284" t="str">
        <f t="shared" si="4"/>
        <v/>
      </c>
      <c r="S24" s="1285"/>
      <c r="T24" s="1286"/>
      <c r="U24" s="556">
        <v>3</v>
      </c>
      <c r="V24" s="558"/>
      <c r="W24" s="558"/>
      <c r="X24" s="558"/>
      <c r="Y24" s="558"/>
      <c r="Z24" s="558"/>
      <c r="AA24" s="558"/>
      <c r="AB24" s="602" t="s">
        <v>1216</v>
      </c>
      <c r="AC24" s="603"/>
      <c r="AD24" s="604"/>
      <c r="AE24" s="588"/>
      <c r="AF24" s="588"/>
      <c r="AG24" s="588"/>
    </row>
    <row r="25" spans="1:33" ht="44" thickBot="1">
      <c r="A25" s="555" t="str">
        <f t="shared" si="3"/>
        <v>3.1</v>
      </c>
      <c r="B25" s="782" t="s">
        <v>1409</v>
      </c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4"/>
      <c r="P25" s="779" t="str">
        <f t="shared" si="0"/>
        <v>м/м3</v>
      </c>
      <c r="Q25" s="780"/>
      <c r="R25" s="1284" t="str">
        <f>CONCATENATE(R14,"/",ROUND(R14*0.425,2))</f>
        <v>35,2/14,96</v>
      </c>
      <c r="S25" s="1285"/>
      <c r="T25" s="1286"/>
      <c r="U25" s="556">
        <f t="shared" si="1"/>
        <v>3</v>
      </c>
      <c r="V25" s="558">
        <f t="shared" si="2"/>
        <v>1</v>
      </c>
      <c r="W25" s="558"/>
      <c r="X25" s="558"/>
      <c r="Y25" s="558"/>
      <c r="Z25" s="558"/>
      <c r="AA25" s="558"/>
      <c r="AB25" s="605" t="s">
        <v>1250</v>
      </c>
      <c r="AC25" s="620" t="s">
        <v>1217</v>
      </c>
      <c r="AD25" s="607" t="s">
        <v>1259</v>
      </c>
      <c r="AE25" s="588"/>
      <c r="AF25" s="588"/>
      <c r="AG25" s="588"/>
    </row>
    <row r="26" spans="1:33" ht="16" thickBot="1">
      <c r="A26" s="555" t="str">
        <f t="shared" si="3"/>
        <v>3.2</v>
      </c>
      <c r="B26" s="782" t="s">
        <v>1207</v>
      </c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4"/>
      <c r="P26" s="779" t="str">
        <f t="shared" si="0"/>
        <v>м3</v>
      </c>
      <c r="Q26" s="780"/>
      <c r="R26" s="1284">
        <f>ROUND(R14*0.425*0.7,2)</f>
        <v>10.47</v>
      </c>
      <c r="S26" s="1285"/>
      <c r="T26" s="1286"/>
      <c r="U26" s="556">
        <f t="shared" si="1"/>
        <v>3</v>
      </c>
      <c r="V26" s="558">
        <f t="shared" si="2"/>
        <v>2</v>
      </c>
      <c r="W26" s="558"/>
      <c r="X26" s="558"/>
      <c r="Y26" s="558"/>
      <c r="Z26" s="558"/>
      <c r="AA26" s="558"/>
      <c r="AB26" s="605" t="s">
        <v>1207</v>
      </c>
      <c r="AC26" s="606" t="s">
        <v>1163</v>
      </c>
      <c r="AD26" s="619">
        <v>13.38</v>
      </c>
      <c r="AE26" s="588"/>
      <c r="AF26" s="588"/>
      <c r="AG26" s="588"/>
    </row>
    <row r="27" spans="1:33" ht="16" thickBot="1">
      <c r="A27" s="555" t="str">
        <f t="shared" si="3"/>
        <v>3.3</v>
      </c>
      <c r="B27" s="782" t="s">
        <v>1208</v>
      </c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4"/>
      <c r="P27" s="779" t="str">
        <f t="shared" si="0"/>
        <v>м3</v>
      </c>
      <c r="Q27" s="780"/>
      <c r="R27" s="1284">
        <f>ROUND(R14*0.425*0.3,2)</f>
        <v>4.49</v>
      </c>
      <c r="S27" s="1285"/>
      <c r="T27" s="1286"/>
      <c r="U27" s="556">
        <f t="shared" si="1"/>
        <v>3</v>
      </c>
      <c r="V27" s="558">
        <f t="shared" si="2"/>
        <v>3</v>
      </c>
      <c r="W27" s="558"/>
      <c r="X27" s="558"/>
      <c r="Y27" s="558"/>
      <c r="Z27" s="558"/>
      <c r="AA27" s="558"/>
      <c r="AB27" s="605" t="s">
        <v>1208</v>
      </c>
      <c r="AC27" s="606" t="s">
        <v>1163</v>
      </c>
      <c r="AD27" s="607">
        <v>5.74</v>
      </c>
      <c r="AE27" s="588"/>
      <c r="AF27" s="588"/>
      <c r="AG27" s="588"/>
    </row>
    <row r="28" spans="1:33" ht="16" thickBot="1">
      <c r="A28" s="555" t="str">
        <f t="shared" si="3"/>
        <v>3.4</v>
      </c>
      <c r="B28" s="782" t="s">
        <v>1251</v>
      </c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4"/>
      <c r="P28" s="779" t="str">
        <f t="shared" si="0"/>
        <v>м3</v>
      </c>
      <c r="Q28" s="780"/>
      <c r="R28" s="1284">
        <f>R26</f>
        <v>10.47</v>
      </c>
      <c r="S28" s="1285"/>
      <c r="T28" s="1286"/>
      <c r="U28" s="556">
        <f t="shared" si="1"/>
        <v>3</v>
      </c>
      <c r="V28" s="558">
        <f t="shared" si="2"/>
        <v>4</v>
      </c>
      <c r="W28" s="558"/>
      <c r="X28" s="558"/>
      <c r="Y28" s="558"/>
      <c r="Z28" s="558"/>
      <c r="AA28" s="558"/>
      <c r="AB28" s="605" t="s">
        <v>1251</v>
      </c>
      <c r="AC28" s="606" t="s">
        <v>1163</v>
      </c>
      <c r="AD28" s="619">
        <v>13.38</v>
      </c>
      <c r="AE28" s="588"/>
    </row>
    <row r="29" spans="1:33" ht="16.149999999999999" customHeight="1" thickBot="1">
      <c r="A29" s="555" t="str">
        <f t="shared" si="3"/>
        <v>3.5</v>
      </c>
      <c r="B29" s="782" t="s">
        <v>1252</v>
      </c>
      <c r="C29" s="783"/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  <c r="O29" s="784"/>
      <c r="P29" s="779" t="str">
        <f t="shared" si="0"/>
        <v>м3</v>
      </c>
      <c r="Q29" s="780"/>
      <c r="R29" s="1284">
        <f>R27</f>
        <v>4.49</v>
      </c>
      <c r="S29" s="1285"/>
      <c r="T29" s="1286"/>
      <c r="U29" s="556">
        <f t="shared" si="1"/>
        <v>3</v>
      </c>
      <c r="V29" s="558">
        <f t="shared" si="2"/>
        <v>5</v>
      </c>
      <c r="W29" s="558"/>
      <c r="X29" s="558"/>
      <c r="Y29" s="558"/>
      <c r="Z29" s="558"/>
      <c r="AA29" s="558"/>
      <c r="AB29" s="605" t="s">
        <v>1252</v>
      </c>
      <c r="AC29" s="606" t="s">
        <v>1163</v>
      </c>
      <c r="AD29" s="607">
        <v>5.74</v>
      </c>
      <c r="AE29" s="588"/>
    </row>
    <row r="30" spans="1:33" ht="16" thickBot="1">
      <c r="A30" s="555" t="str">
        <f t="shared" si="3"/>
        <v>3.6</v>
      </c>
      <c r="B30" s="782" t="s">
        <v>1218</v>
      </c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83"/>
      <c r="N30" s="783"/>
      <c r="O30" s="784"/>
      <c r="P30" s="779" t="str">
        <f t="shared" si="0"/>
        <v>м3</v>
      </c>
      <c r="Q30" s="780"/>
      <c r="R30" s="1287">
        <f>R29*0.1</f>
        <v>0.44900000000000007</v>
      </c>
      <c r="S30" s="1288"/>
      <c r="T30" s="1289"/>
      <c r="U30" s="556">
        <f t="shared" si="1"/>
        <v>3</v>
      </c>
      <c r="V30" s="558">
        <f t="shared" si="2"/>
        <v>6</v>
      </c>
      <c r="W30" s="558"/>
      <c r="X30" s="558"/>
      <c r="Y30" s="558"/>
      <c r="Z30" s="558"/>
      <c r="AA30" s="558"/>
      <c r="AB30" s="605" t="s">
        <v>1218</v>
      </c>
      <c r="AC30" s="606" t="s">
        <v>1163</v>
      </c>
      <c r="AD30" s="607">
        <v>0.56999999999999995</v>
      </c>
      <c r="AE30" s="588"/>
    </row>
    <row r="31" spans="1:33" ht="29.5" thickBot="1">
      <c r="A31" s="555" t="str">
        <f t="shared" si="3"/>
        <v>3.7</v>
      </c>
      <c r="B31" s="782" t="s">
        <v>1410</v>
      </c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779" t="str">
        <f t="shared" si="0"/>
        <v>м3</v>
      </c>
      <c r="Q31" s="780"/>
      <c r="R31" s="1287">
        <f>R14*0.15*0.5</f>
        <v>2.64</v>
      </c>
      <c r="S31" s="1288"/>
      <c r="T31" s="1289"/>
      <c r="U31" s="556">
        <f t="shared" si="1"/>
        <v>3</v>
      </c>
      <c r="V31" s="558">
        <f t="shared" si="2"/>
        <v>7</v>
      </c>
      <c r="W31" s="558"/>
      <c r="X31" s="558"/>
      <c r="Y31" s="558"/>
      <c r="Z31" s="558"/>
      <c r="AA31" s="558"/>
      <c r="AB31" s="605" t="s">
        <v>1253</v>
      </c>
      <c r="AC31" s="606" t="s">
        <v>1163</v>
      </c>
      <c r="AD31" s="607">
        <v>3.37</v>
      </c>
      <c r="AE31" s="588"/>
    </row>
    <row r="32" spans="1:33" ht="43.5">
      <c r="A32" s="555" t="str">
        <f t="shared" si="3"/>
        <v>3.8</v>
      </c>
      <c r="B32" s="782" t="s">
        <v>1412</v>
      </c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779" t="str">
        <f t="shared" si="0"/>
        <v>м</v>
      </c>
      <c r="Q32" s="780"/>
      <c r="R32" s="1284">
        <f>R14*2*1.02</f>
        <v>71.808000000000007</v>
      </c>
      <c r="S32" s="1285"/>
      <c r="T32" s="1286"/>
      <c r="U32" s="556">
        <f t="shared" si="1"/>
        <v>3</v>
      </c>
      <c r="V32" s="558">
        <f t="shared" si="2"/>
        <v>8</v>
      </c>
      <c r="W32" s="558"/>
      <c r="X32" s="558"/>
      <c r="Y32" s="558">
        <f>AD16/R32</f>
        <v>7.8403520499108724E-3</v>
      </c>
      <c r="Z32" s="558"/>
      <c r="AA32" s="558"/>
      <c r="AB32" s="624" t="s">
        <v>1254</v>
      </c>
      <c r="AC32" s="613" t="s">
        <v>1159</v>
      </c>
      <c r="AD32" s="611">
        <v>91.8</v>
      </c>
      <c r="AE32" s="588"/>
    </row>
    <row r="33" spans="1:32" ht="16" thickBot="1">
      <c r="A33" s="555" t="str">
        <f t="shared" si="3"/>
        <v>3.9</v>
      </c>
      <c r="B33" s="782" t="s">
        <v>1255</v>
      </c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779" t="str">
        <f t="shared" si="0"/>
        <v>м</v>
      </c>
      <c r="Q33" s="780"/>
      <c r="R33" s="1284" t="str">
        <f t="shared" si="4"/>
        <v>10</v>
      </c>
      <c r="S33" s="1285"/>
      <c r="T33" s="1286"/>
      <c r="U33" s="556">
        <f t="shared" si="1"/>
        <v>3</v>
      </c>
      <c r="V33" s="558">
        <f t="shared" si="2"/>
        <v>9</v>
      </c>
      <c r="W33" s="558"/>
      <c r="X33" s="558"/>
      <c r="Y33" s="558"/>
      <c r="Z33" s="558"/>
      <c r="AA33" s="558"/>
      <c r="AB33" s="605" t="s">
        <v>1255</v>
      </c>
      <c r="AC33" s="606" t="s">
        <v>1159</v>
      </c>
      <c r="AD33" s="607">
        <v>10</v>
      </c>
      <c r="AE33" s="588"/>
    </row>
    <row r="34" spans="1:32" ht="29.5" thickBot="1">
      <c r="A34" s="555" t="str">
        <f t="shared" si="3"/>
        <v>3.10</v>
      </c>
      <c r="B34" s="782" t="s">
        <v>1256</v>
      </c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779" t="str">
        <f t="shared" si="0"/>
        <v>м</v>
      </c>
      <c r="Q34" s="780"/>
      <c r="R34" s="1284">
        <v>10</v>
      </c>
      <c r="S34" s="1285"/>
      <c r="T34" s="1286"/>
      <c r="U34" s="556">
        <f t="shared" si="1"/>
        <v>3</v>
      </c>
      <c r="V34" s="558">
        <f t="shared" si="2"/>
        <v>10</v>
      </c>
      <c r="W34" s="558"/>
      <c r="X34" s="558"/>
      <c r="Y34" s="558"/>
      <c r="Z34" s="558"/>
      <c r="AA34" s="558"/>
      <c r="AB34" s="605" t="s">
        <v>1256</v>
      </c>
      <c r="AC34" s="606" t="s">
        <v>1159</v>
      </c>
      <c r="AD34" s="607">
        <v>4</v>
      </c>
      <c r="AE34" s="588"/>
    </row>
    <row r="35" spans="1:32" ht="16" thickBot="1">
      <c r="A35" s="555" t="str">
        <f t="shared" si="3"/>
        <v>3.11</v>
      </c>
      <c r="B35" s="782" t="s">
        <v>1413</v>
      </c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779" t="str">
        <f t="shared" si="0"/>
        <v>м</v>
      </c>
      <c r="Q35" s="780"/>
      <c r="R35" s="1284">
        <v>3</v>
      </c>
      <c r="S35" s="1285"/>
      <c r="T35" s="1286"/>
      <c r="U35" s="556">
        <f t="shared" si="1"/>
        <v>3</v>
      </c>
      <c r="V35" s="558">
        <f t="shared" si="2"/>
        <v>11</v>
      </c>
      <c r="W35" s="558"/>
      <c r="X35" s="558"/>
      <c r="Y35" s="558"/>
      <c r="Z35" s="558"/>
      <c r="AA35" s="558"/>
      <c r="AB35" s="605" t="s">
        <v>1257</v>
      </c>
      <c r="AC35" s="606" t="s">
        <v>1159</v>
      </c>
      <c r="AD35" s="607">
        <v>4</v>
      </c>
      <c r="AE35" s="588"/>
    </row>
    <row r="36" spans="1:32" ht="16" thickBot="1">
      <c r="A36" s="555" t="str">
        <f t="shared" si="3"/>
        <v>3.12</v>
      </c>
      <c r="B36" s="782" t="s">
        <v>1258</v>
      </c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779" t="str">
        <f t="shared" si="0"/>
        <v>м</v>
      </c>
      <c r="Q36" s="780"/>
      <c r="R36" s="1284">
        <f>R35</f>
        <v>3</v>
      </c>
      <c r="S36" s="1285"/>
      <c r="T36" s="1286"/>
      <c r="U36" s="556">
        <f t="shared" si="1"/>
        <v>3</v>
      </c>
      <c r="V36" s="558">
        <f t="shared" si="2"/>
        <v>12</v>
      </c>
      <c r="W36" s="558"/>
      <c r="X36" s="558"/>
      <c r="Y36" s="558"/>
      <c r="Z36" s="558"/>
      <c r="AA36" s="558"/>
      <c r="AB36" s="621" t="s">
        <v>1258</v>
      </c>
      <c r="AC36" s="622" t="s">
        <v>1159</v>
      </c>
      <c r="AD36" s="623">
        <v>4</v>
      </c>
      <c r="AE36" s="588"/>
      <c r="AF36" s="588"/>
    </row>
    <row r="37" spans="1:32" ht="30" thickTop="1" thickBot="1">
      <c r="A37" s="555" t="str">
        <f t="shared" si="3"/>
        <v>3.13</v>
      </c>
      <c r="B37" s="782" t="s">
        <v>1260</v>
      </c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83"/>
      <c r="N37" s="783"/>
      <c r="O37" s="784"/>
      <c r="P37" s="779" t="str">
        <f t="shared" si="0"/>
        <v>шт</v>
      </c>
      <c r="Q37" s="780"/>
      <c r="R37" s="1284" t="str">
        <f t="shared" si="4"/>
        <v>4</v>
      </c>
      <c r="S37" s="1285"/>
      <c r="T37" s="1286"/>
      <c r="U37" s="556">
        <f t="shared" si="1"/>
        <v>3</v>
      </c>
      <c r="V37" s="558">
        <f t="shared" si="2"/>
        <v>13</v>
      </c>
      <c r="W37" s="558"/>
      <c r="X37" s="558"/>
      <c r="Y37" s="558"/>
      <c r="Z37" s="558"/>
      <c r="AA37" s="558"/>
      <c r="AB37" s="625" t="s">
        <v>1260</v>
      </c>
      <c r="AC37" s="626" t="s">
        <v>1161</v>
      </c>
      <c r="AD37" s="627">
        <v>4</v>
      </c>
      <c r="AE37" s="165"/>
      <c r="AF37" s="588"/>
    </row>
    <row r="38" spans="1:32" ht="16" thickBot="1">
      <c r="A38" s="555" t="str">
        <f t="shared" si="3"/>
        <v>3.14</v>
      </c>
      <c r="B38" s="782" t="s">
        <v>1261</v>
      </c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83"/>
      <c r="N38" s="783"/>
      <c r="O38" s="784"/>
      <c r="P38" s="779" t="str">
        <f t="shared" si="0"/>
        <v>шт</v>
      </c>
      <c r="Q38" s="780"/>
      <c r="R38" s="1284" t="str">
        <f t="shared" si="4"/>
        <v>4</v>
      </c>
      <c r="S38" s="1285"/>
      <c r="T38" s="1286"/>
      <c r="U38" s="556">
        <f t="shared" si="1"/>
        <v>3</v>
      </c>
      <c r="V38" s="558">
        <f t="shared" si="2"/>
        <v>14</v>
      </c>
      <c r="W38" s="558"/>
      <c r="X38" s="558"/>
      <c r="Y38" s="558"/>
      <c r="Z38" s="558"/>
      <c r="AA38" s="558"/>
      <c r="AB38" s="605" t="s">
        <v>1261</v>
      </c>
      <c r="AC38" s="606" t="s">
        <v>1161</v>
      </c>
      <c r="AD38" s="628">
        <v>4</v>
      </c>
      <c r="AE38" s="165"/>
      <c r="AF38" s="588"/>
    </row>
    <row r="39" spans="1:32" ht="29.5" thickBot="1">
      <c r="A39" s="555" t="str">
        <f t="shared" si="3"/>
        <v>3.15</v>
      </c>
      <c r="B39" s="782" t="s">
        <v>1411</v>
      </c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4"/>
      <c r="P39" s="779" t="str">
        <f t="shared" si="0"/>
        <v>м3</v>
      </c>
      <c r="Q39" s="780"/>
      <c r="R39" s="1287">
        <f>R31</f>
        <v>2.64</v>
      </c>
      <c r="S39" s="1285"/>
      <c r="T39" s="1286"/>
      <c r="U39" s="556">
        <f t="shared" si="1"/>
        <v>3</v>
      </c>
      <c r="V39" s="558">
        <f t="shared" si="2"/>
        <v>15</v>
      </c>
      <c r="W39" s="558"/>
      <c r="X39" s="558"/>
      <c r="Y39" s="558"/>
      <c r="Z39" s="558"/>
      <c r="AA39" s="558"/>
      <c r="AB39" s="605" t="s">
        <v>1262</v>
      </c>
      <c r="AC39" s="606" t="s">
        <v>1163</v>
      </c>
      <c r="AD39" s="628">
        <v>3.37</v>
      </c>
      <c r="AE39" s="617"/>
      <c r="AF39" s="588"/>
    </row>
    <row r="40" spans="1:32" ht="19.149999999999999" customHeight="1" thickBot="1">
      <c r="A40" s="555" t="str">
        <f t="shared" si="3"/>
        <v>3.16</v>
      </c>
      <c r="B40" s="782" t="s">
        <v>1414</v>
      </c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4"/>
      <c r="P40" s="779" t="str">
        <f t="shared" si="0"/>
        <v>шт</v>
      </c>
      <c r="Q40" s="780"/>
      <c r="R40" s="1290">
        <f>R14*2/0.48</f>
        <v>146.66666666666669</v>
      </c>
      <c r="S40" s="1291"/>
      <c r="T40" s="1292"/>
      <c r="U40" s="556">
        <f t="shared" si="1"/>
        <v>3</v>
      </c>
      <c r="V40" s="558">
        <f t="shared" si="2"/>
        <v>16</v>
      </c>
      <c r="W40" s="558"/>
      <c r="X40" s="558"/>
      <c r="Y40" s="558"/>
      <c r="Z40" s="558"/>
      <c r="AA40" s="558"/>
      <c r="AB40" s="605" t="s">
        <v>1263</v>
      </c>
      <c r="AC40" s="606" t="s">
        <v>1161</v>
      </c>
      <c r="AD40" s="628">
        <v>187</v>
      </c>
      <c r="AE40" s="617"/>
      <c r="AF40" s="588"/>
    </row>
    <row r="41" spans="1:32" ht="16.899999999999999" customHeight="1" thickBot="1">
      <c r="A41" s="555" t="str">
        <f t="shared" si="3"/>
        <v>3.17</v>
      </c>
      <c r="B41" s="782" t="s">
        <v>1416</v>
      </c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4"/>
      <c r="P41" s="779" t="str">
        <f t="shared" si="0"/>
        <v>м3</v>
      </c>
      <c r="Q41" s="780"/>
      <c r="R41" s="1287">
        <f>ROUND(R14*0.425,2)-R31-R39</f>
        <v>9.68</v>
      </c>
      <c r="S41" s="1285"/>
      <c r="T41" s="1286"/>
      <c r="U41" s="556">
        <f t="shared" si="1"/>
        <v>3</v>
      </c>
      <c r="V41" s="558">
        <f t="shared" si="2"/>
        <v>17</v>
      </c>
      <c r="W41" s="558"/>
      <c r="X41" s="558"/>
      <c r="Y41" s="558"/>
      <c r="Z41" s="558"/>
      <c r="AA41" s="558"/>
      <c r="AB41" s="605" t="s">
        <v>1264</v>
      </c>
      <c r="AC41" s="606" t="s">
        <v>1163</v>
      </c>
      <c r="AD41" s="629">
        <v>12.37</v>
      </c>
      <c r="AE41" s="165"/>
      <c r="AF41" s="588"/>
    </row>
    <row r="42" spans="1:32" ht="29.5" thickBot="1">
      <c r="A42" s="555" t="str">
        <f t="shared" si="3"/>
        <v>3.18</v>
      </c>
      <c r="B42" s="782" t="s">
        <v>1415</v>
      </c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83"/>
      <c r="N42" s="783"/>
      <c r="O42" s="784"/>
      <c r="P42" s="779" t="str">
        <f t="shared" si="0"/>
        <v>т.</v>
      </c>
      <c r="Q42" s="780"/>
      <c r="R42" s="1284">
        <f>(ROUND(R14*0.425,2)-R41)*1.8</f>
        <v>9.5040000000000031</v>
      </c>
      <c r="S42" s="1285"/>
      <c r="T42" s="1286"/>
      <c r="U42" s="556">
        <f t="shared" si="1"/>
        <v>3</v>
      </c>
      <c r="V42" s="558">
        <f t="shared" si="2"/>
        <v>18</v>
      </c>
      <c r="W42" s="558"/>
      <c r="X42" s="558"/>
      <c r="Y42" s="558"/>
      <c r="Z42" s="558"/>
      <c r="AA42" s="558"/>
      <c r="AB42" s="605" t="s">
        <v>1265</v>
      </c>
      <c r="AC42" s="606" t="s">
        <v>1244</v>
      </c>
      <c r="AD42" s="628">
        <v>12.15</v>
      </c>
      <c r="AE42" s="617"/>
      <c r="AF42" s="588"/>
    </row>
    <row r="43" spans="1:32" ht="44" thickBot="1">
      <c r="A43" s="555" t="str">
        <f t="shared" si="3"/>
        <v>3.19</v>
      </c>
      <c r="B43" s="782" t="s">
        <v>1266</v>
      </c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83"/>
      <c r="N43" s="783"/>
      <c r="O43" s="784"/>
      <c r="P43" s="779" t="str">
        <f t="shared" si="0"/>
        <v>т.</v>
      </c>
      <c r="Q43" s="780"/>
      <c r="R43" s="1284">
        <f>R42</f>
        <v>9.5040000000000031</v>
      </c>
      <c r="S43" s="1285"/>
      <c r="T43" s="1286"/>
      <c r="U43" s="556">
        <f t="shared" si="1"/>
        <v>3</v>
      </c>
      <c r="V43" s="558">
        <f t="shared" si="2"/>
        <v>19</v>
      </c>
      <c r="W43" s="558"/>
      <c r="X43" s="558"/>
      <c r="Y43" s="558"/>
      <c r="Z43" s="558"/>
      <c r="AA43" s="558"/>
      <c r="AB43" s="605" t="s">
        <v>1266</v>
      </c>
      <c r="AC43" s="606" t="s">
        <v>1244</v>
      </c>
      <c r="AD43" s="628">
        <v>12.15</v>
      </c>
      <c r="AE43" s="617"/>
      <c r="AF43" s="588"/>
    </row>
    <row r="44" spans="1:32" ht="29.5" thickBot="1">
      <c r="A44" s="555" t="str">
        <f t="shared" si="3"/>
        <v>3.20</v>
      </c>
      <c r="B44" s="782" t="s">
        <v>1267</v>
      </c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83"/>
      <c r="N44" s="783"/>
      <c r="O44" s="784"/>
      <c r="P44" s="779" t="str">
        <f t="shared" si="0"/>
        <v>компл</v>
      </c>
      <c r="Q44" s="780"/>
      <c r="R44" s="1284" t="str">
        <f t="shared" si="4"/>
        <v>4</v>
      </c>
      <c r="S44" s="1285"/>
      <c r="T44" s="1286"/>
      <c r="U44" s="556">
        <f t="shared" si="1"/>
        <v>3</v>
      </c>
      <c r="V44" s="558">
        <f t="shared" si="2"/>
        <v>20</v>
      </c>
      <c r="W44" s="558"/>
      <c r="X44" s="558"/>
      <c r="Y44" s="558"/>
      <c r="Z44" s="558"/>
      <c r="AA44" s="558"/>
      <c r="AB44" s="605" t="s">
        <v>1267</v>
      </c>
      <c r="AC44" s="606" t="s">
        <v>1162</v>
      </c>
      <c r="AD44" s="628">
        <v>4</v>
      </c>
      <c r="AE44" s="165"/>
      <c r="AF44" s="588"/>
    </row>
    <row r="45" spans="1:32" ht="29.5" thickBot="1">
      <c r="A45" s="555" t="str">
        <f t="shared" si="3"/>
        <v>3.21</v>
      </c>
      <c r="B45" s="782" t="s">
        <v>1268</v>
      </c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83"/>
      <c r="N45" s="783"/>
      <c r="O45" s="784"/>
      <c r="P45" s="779" t="str">
        <f t="shared" si="0"/>
        <v>шт</v>
      </c>
      <c r="Q45" s="780"/>
      <c r="R45" s="1284" t="str">
        <f t="shared" si="4"/>
        <v>8</v>
      </c>
      <c r="S45" s="1285"/>
      <c r="T45" s="1286"/>
      <c r="U45" s="556">
        <f t="shared" si="1"/>
        <v>3</v>
      </c>
      <c r="V45" s="558">
        <f t="shared" si="2"/>
        <v>21</v>
      </c>
      <c r="W45" s="558"/>
      <c r="X45" s="558"/>
      <c r="Y45" s="558"/>
      <c r="Z45" s="558"/>
      <c r="AA45" s="558"/>
      <c r="AB45" s="605" t="s">
        <v>1268</v>
      </c>
      <c r="AC45" s="606" t="s">
        <v>1161</v>
      </c>
      <c r="AD45" s="628">
        <v>8</v>
      </c>
      <c r="AE45" s="165"/>
      <c r="AF45" s="588"/>
    </row>
    <row r="46" spans="1:32" ht="16" thickBot="1">
      <c r="A46" s="555" t="str">
        <f t="shared" si="3"/>
        <v>3.22</v>
      </c>
      <c r="B46" s="782" t="s">
        <v>1269</v>
      </c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83"/>
      <c r="N46" s="783"/>
      <c r="O46" s="784"/>
      <c r="P46" s="779" t="str">
        <f t="shared" si="0"/>
        <v>шт</v>
      </c>
      <c r="Q46" s="780"/>
      <c r="R46" s="1284" t="str">
        <f t="shared" si="4"/>
        <v>8</v>
      </c>
      <c r="S46" s="1285"/>
      <c r="T46" s="1286"/>
      <c r="U46" s="556">
        <f t="shared" si="1"/>
        <v>3</v>
      </c>
      <c r="V46" s="558">
        <f t="shared" si="2"/>
        <v>22</v>
      </c>
      <c r="W46" s="558"/>
      <c r="X46" s="558"/>
      <c r="Y46" s="558"/>
      <c r="Z46" s="558"/>
      <c r="AA46" s="558"/>
      <c r="AB46" s="605" t="s">
        <v>1269</v>
      </c>
      <c r="AC46" s="606" t="s">
        <v>1161</v>
      </c>
      <c r="AD46" s="628">
        <v>8</v>
      </c>
      <c r="AE46" s="165"/>
      <c r="AF46" s="588"/>
    </row>
    <row r="47" spans="1:32" ht="16" thickBot="1">
      <c r="A47" s="555" t="str">
        <f t="shared" si="3"/>
        <v>3.23</v>
      </c>
      <c r="B47" s="782" t="s">
        <v>1270</v>
      </c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83"/>
      <c r="N47" s="783"/>
      <c r="O47" s="784"/>
      <c r="P47" s="779" t="str">
        <f t="shared" si="0"/>
        <v>шт</v>
      </c>
      <c r="Q47" s="780"/>
      <c r="R47" s="1284" t="str">
        <f t="shared" si="4"/>
        <v>4</v>
      </c>
      <c r="S47" s="1285"/>
      <c r="T47" s="1286"/>
      <c r="U47" s="556">
        <f t="shared" si="1"/>
        <v>3</v>
      </c>
      <c r="V47" s="558">
        <f t="shared" si="2"/>
        <v>23</v>
      </c>
      <c r="W47" s="558"/>
      <c r="X47" s="558"/>
      <c r="Y47" s="558"/>
      <c r="Z47" s="558"/>
      <c r="AA47" s="558"/>
      <c r="AB47" s="605" t="s">
        <v>1270</v>
      </c>
      <c r="AC47" s="606" t="s">
        <v>1161</v>
      </c>
      <c r="AD47" s="628">
        <v>4</v>
      </c>
      <c r="AE47" s="165"/>
      <c r="AF47" s="588"/>
    </row>
    <row r="48" spans="1:32" ht="16" thickBot="1">
      <c r="A48" s="554" t="str">
        <f t="shared" si="3"/>
        <v>4.</v>
      </c>
      <c r="B48" s="785" t="s">
        <v>1219</v>
      </c>
      <c r="C48" s="786"/>
      <c r="D48" s="786"/>
      <c r="E48" s="786"/>
      <c r="F48" s="786"/>
      <c r="G48" s="786"/>
      <c r="H48" s="786"/>
      <c r="I48" s="786"/>
      <c r="J48" s="786"/>
      <c r="K48" s="786"/>
      <c r="L48" s="786"/>
      <c r="M48" s="786"/>
      <c r="N48" s="786"/>
      <c r="O48" s="787"/>
      <c r="P48" s="779" t="str">
        <f t="shared" si="0"/>
        <v/>
      </c>
      <c r="Q48" s="780"/>
      <c r="R48" s="1284" t="str">
        <f t="shared" si="4"/>
        <v/>
      </c>
      <c r="S48" s="1285"/>
      <c r="T48" s="1286"/>
      <c r="U48" s="556">
        <v>4</v>
      </c>
      <c r="V48" s="558"/>
      <c r="W48" s="558"/>
      <c r="X48" s="558"/>
      <c r="Y48" s="558"/>
      <c r="Z48" s="558"/>
      <c r="AA48" s="558"/>
      <c r="AB48" s="602" t="s">
        <v>1219</v>
      </c>
      <c r="AC48" s="603"/>
      <c r="AD48" s="630"/>
      <c r="AE48" s="165"/>
      <c r="AF48" s="588"/>
    </row>
    <row r="49" spans="1:31" ht="16" thickBot="1">
      <c r="A49" s="555" t="str">
        <f t="shared" si="3"/>
        <v>4.1</v>
      </c>
      <c r="B49" s="782" t="s">
        <v>1220</v>
      </c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83"/>
      <c r="N49" s="783"/>
      <c r="O49" s="784"/>
      <c r="P49" s="779" t="str">
        <f t="shared" si="0"/>
        <v>шт.</v>
      </c>
      <c r="Q49" s="780"/>
      <c r="R49" s="1284" t="str">
        <f t="shared" si="4"/>
        <v>2</v>
      </c>
      <c r="S49" s="1285"/>
      <c r="T49" s="1286"/>
      <c r="U49" s="556">
        <f t="shared" si="1"/>
        <v>4</v>
      </c>
      <c r="V49" s="558">
        <f t="shared" si="2"/>
        <v>1</v>
      </c>
      <c r="W49" s="558"/>
      <c r="X49" s="558"/>
      <c r="Y49" s="558"/>
      <c r="Z49" s="558"/>
      <c r="AA49" s="558"/>
      <c r="AB49" s="605" t="s">
        <v>1220</v>
      </c>
      <c r="AC49" s="606" t="s">
        <v>1194</v>
      </c>
      <c r="AD49" s="628">
        <v>2</v>
      </c>
    </row>
    <row r="50" spans="1:31" ht="16" thickBot="1">
      <c r="A50" s="555" t="str">
        <f t="shared" si="3"/>
        <v>4.2</v>
      </c>
      <c r="B50" s="782" t="s">
        <v>1271</v>
      </c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83"/>
      <c r="N50" s="783"/>
      <c r="O50" s="784"/>
      <c r="P50" s="779" t="str">
        <f t="shared" si="0"/>
        <v>изм.</v>
      </c>
      <c r="Q50" s="780"/>
      <c r="R50" s="1284" t="str">
        <f t="shared" si="4"/>
        <v>2</v>
      </c>
      <c r="S50" s="1285"/>
      <c r="T50" s="1286"/>
      <c r="U50" s="556">
        <f t="shared" si="1"/>
        <v>4</v>
      </c>
      <c r="V50" s="558">
        <f t="shared" si="2"/>
        <v>2</v>
      </c>
      <c r="W50" s="558"/>
      <c r="X50" s="558"/>
      <c r="Y50" s="558"/>
      <c r="Z50" s="558"/>
      <c r="AA50" s="558"/>
      <c r="AB50" s="605" t="s">
        <v>1271</v>
      </c>
      <c r="AC50" s="606" t="s">
        <v>1213</v>
      </c>
      <c r="AD50" s="628">
        <v>2</v>
      </c>
    </row>
    <row r="51" spans="1:31" ht="16" thickBot="1">
      <c r="A51" s="555" t="str">
        <f t="shared" si="3"/>
        <v>4.3</v>
      </c>
      <c r="B51" s="782" t="s">
        <v>1272</v>
      </c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4"/>
      <c r="P51" s="779" t="str">
        <f t="shared" si="0"/>
        <v>изм.</v>
      </c>
      <c r="Q51" s="780"/>
      <c r="R51" s="1284" t="str">
        <f t="shared" si="4"/>
        <v>3</v>
      </c>
      <c r="S51" s="1285"/>
      <c r="T51" s="1286"/>
      <c r="U51" s="556">
        <f t="shared" si="1"/>
        <v>4</v>
      </c>
      <c r="V51" s="558">
        <f t="shared" si="2"/>
        <v>3</v>
      </c>
      <c r="W51" s="558"/>
      <c r="X51" s="558"/>
      <c r="Y51" s="558"/>
      <c r="Z51" s="558"/>
      <c r="AA51" s="558"/>
      <c r="AB51" s="605" t="s">
        <v>1272</v>
      </c>
      <c r="AC51" s="606" t="s">
        <v>1213</v>
      </c>
      <c r="AD51" s="628">
        <v>3</v>
      </c>
    </row>
    <row r="52" spans="1:31" ht="29.5" thickBot="1">
      <c r="A52" s="555" t="str">
        <f t="shared" si="3"/>
        <v>4.4</v>
      </c>
      <c r="B52" s="782" t="s">
        <v>1221</v>
      </c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83"/>
      <c r="N52" s="783"/>
      <c r="O52" s="784"/>
      <c r="P52" s="779" t="str">
        <f t="shared" si="0"/>
        <v>изм.</v>
      </c>
      <c r="Q52" s="780"/>
      <c r="R52" s="1284" t="str">
        <f t="shared" si="4"/>
        <v>4</v>
      </c>
      <c r="S52" s="1285"/>
      <c r="T52" s="1286"/>
      <c r="U52" s="556">
        <f t="shared" si="1"/>
        <v>4</v>
      </c>
      <c r="V52" s="558">
        <f t="shared" si="2"/>
        <v>4</v>
      </c>
      <c r="W52" s="558"/>
      <c r="X52" s="558"/>
      <c r="Y52" s="558"/>
      <c r="Z52" s="558"/>
      <c r="AA52" s="558"/>
      <c r="AB52" s="605" t="s">
        <v>1221</v>
      </c>
      <c r="AC52" s="606" t="s">
        <v>1213</v>
      </c>
      <c r="AD52" s="628">
        <v>4</v>
      </c>
    </row>
    <row r="53" spans="1:31" ht="29.5" thickBot="1">
      <c r="A53" s="555" t="str">
        <f t="shared" si="3"/>
        <v>4.5</v>
      </c>
      <c r="B53" s="782" t="s">
        <v>1273</v>
      </c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83"/>
      <c r="N53" s="783"/>
      <c r="O53" s="784"/>
      <c r="P53" s="779" t="str">
        <f t="shared" si="0"/>
        <v>изм.</v>
      </c>
      <c r="Q53" s="780"/>
      <c r="R53" s="1284" t="str">
        <f t="shared" si="4"/>
        <v>1</v>
      </c>
      <c r="S53" s="1285"/>
      <c r="T53" s="1286"/>
      <c r="U53" s="556">
        <f t="shared" si="1"/>
        <v>4</v>
      </c>
      <c r="V53" s="558">
        <f t="shared" si="2"/>
        <v>5</v>
      </c>
      <c r="W53" s="558"/>
      <c r="X53" s="558"/>
      <c r="Y53" s="558"/>
      <c r="Z53" s="558"/>
      <c r="AA53" s="558"/>
      <c r="AB53" s="605" t="s">
        <v>1273</v>
      </c>
      <c r="AC53" s="606" t="s">
        <v>1213</v>
      </c>
      <c r="AD53" s="628">
        <v>1</v>
      </c>
    </row>
    <row r="54" spans="1:31" ht="29.5" thickBot="1">
      <c r="A54" s="555" t="str">
        <f t="shared" si="3"/>
        <v>4.6</v>
      </c>
      <c r="B54" s="782" t="s">
        <v>1274</v>
      </c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83"/>
      <c r="N54" s="783"/>
      <c r="O54" s="784"/>
      <c r="P54" s="779" t="str">
        <f t="shared" si="0"/>
        <v>точек</v>
      </c>
      <c r="Q54" s="780"/>
      <c r="R54" s="1284" t="str">
        <f t="shared" si="4"/>
        <v>1</v>
      </c>
      <c r="S54" s="1285"/>
      <c r="T54" s="1286"/>
      <c r="U54" s="556">
        <f t="shared" si="1"/>
        <v>4</v>
      </c>
      <c r="V54" s="558">
        <f t="shared" si="2"/>
        <v>6</v>
      </c>
      <c r="W54" s="558"/>
      <c r="X54" s="558"/>
      <c r="Y54" s="558"/>
      <c r="Z54" s="558"/>
      <c r="AA54" s="558"/>
      <c r="AB54" s="605" t="s">
        <v>1274</v>
      </c>
      <c r="AC54" s="606" t="s">
        <v>1164</v>
      </c>
      <c r="AD54" s="628">
        <v>1</v>
      </c>
    </row>
    <row r="55" spans="1:31" ht="16" thickBot="1">
      <c r="A55" s="555" t="str">
        <f t="shared" si="3"/>
        <v>4.7</v>
      </c>
      <c r="B55" s="782" t="s">
        <v>1275</v>
      </c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83"/>
      <c r="N55" s="783"/>
      <c r="O55" s="784"/>
      <c r="P55" s="779" t="str">
        <f t="shared" si="0"/>
        <v>км</v>
      </c>
      <c r="Q55" s="780"/>
      <c r="R55" s="1284">
        <f>R14/1000</f>
        <v>3.5200000000000002E-2</v>
      </c>
      <c r="S55" s="1285"/>
      <c r="T55" s="1286"/>
      <c r="U55" s="556">
        <f t="shared" si="1"/>
        <v>4</v>
      </c>
      <c r="V55" s="558">
        <f t="shared" si="2"/>
        <v>7</v>
      </c>
      <c r="W55" s="558"/>
      <c r="X55" s="558"/>
      <c r="Y55" s="558"/>
      <c r="Z55" s="558"/>
      <c r="AA55" s="558"/>
      <c r="AB55" s="625" t="s">
        <v>1275</v>
      </c>
      <c r="AC55" s="626" t="s">
        <v>1192</v>
      </c>
      <c r="AD55" s="631">
        <v>4.4999999999999998E-2</v>
      </c>
    </row>
    <row r="56" spans="1:31" ht="16.149999999999999" customHeight="1" thickBot="1">
      <c r="A56" s="555"/>
      <c r="B56" s="785" t="s">
        <v>1276</v>
      </c>
      <c r="C56" s="786"/>
      <c r="D56" s="786"/>
      <c r="E56" s="786"/>
      <c r="F56" s="786"/>
      <c r="G56" s="786"/>
      <c r="H56" s="786"/>
      <c r="I56" s="786"/>
      <c r="J56" s="786"/>
      <c r="K56" s="786"/>
      <c r="L56" s="786"/>
      <c r="M56" s="786"/>
      <c r="N56" s="786"/>
      <c r="O56" s="787"/>
      <c r="P56" s="779" t="str">
        <f t="shared" si="0"/>
        <v/>
      </c>
      <c r="Q56" s="781"/>
      <c r="R56" s="1284" t="str">
        <f t="shared" si="4"/>
        <v/>
      </c>
      <c r="S56" s="1285"/>
      <c r="T56" s="1286"/>
      <c r="U56" s="556">
        <f t="shared" si="1"/>
        <v>4</v>
      </c>
      <c r="V56" s="558">
        <f t="shared" si="2"/>
        <v>8</v>
      </c>
      <c r="W56" s="558"/>
      <c r="X56" s="558"/>
      <c r="Y56" s="558"/>
      <c r="Z56" s="558"/>
      <c r="AA56" s="558"/>
      <c r="AB56" s="648" t="s">
        <v>1276</v>
      </c>
      <c r="AC56" s="649"/>
      <c r="AD56" s="649"/>
      <c r="AE56" s="650"/>
    </row>
    <row r="57" spans="1:31" ht="16" thickBot="1">
      <c r="A57" s="554" t="str">
        <f t="shared" si="3"/>
        <v>4.</v>
      </c>
      <c r="B57" s="785" t="s">
        <v>1191</v>
      </c>
      <c r="C57" s="786"/>
      <c r="D57" s="786"/>
      <c r="E57" s="786"/>
      <c r="F57" s="786"/>
      <c r="G57" s="786"/>
      <c r="H57" s="786"/>
      <c r="I57" s="786"/>
      <c r="J57" s="786"/>
      <c r="K57" s="786"/>
      <c r="L57" s="786"/>
      <c r="M57" s="786"/>
      <c r="N57" s="786"/>
      <c r="O57" s="787"/>
      <c r="P57" s="779" t="str">
        <f t="shared" si="0"/>
        <v/>
      </c>
      <c r="Q57" s="780"/>
      <c r="R57" s="1284" t="str">
        <f t="shared" si="4"/>
        <v/>
      </c>
      <c r="S57" s="1285"/>
      <c r="T57" s="1286"/>
      <c r="U57" s="556">
        <v>4</v>
      </c>
      <c r="V57" s="558"/>
      <c r="W57" s="558"/>
      <c r="X57" s="558"/>
      <c r="Y57" s="558"/>
      <c r="Z57" s="558"/>
      <c r="AA57" s="558"/>
      <c r="AB57" s="632" t="s">
        <v>1191</v>
      </c>
      <c r="AC57" s="589"/>
      <c r="AD57" s="590"/>
      <c r="AE57" s="588"/>
    </row>
    <row r="58" spans="1:31" ht="29.5" thickBot="1">
      <c r="A58" s="555" t="str">
        <f t="shared" si="3"/>
        <v>4.1</v>
      </c>
      <c r="B58" s="782" t="s">
        <v>1277</v>
      </c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4"/>
      <c r="P58" s="779" t="str">
        <f t="shared" si="0"/>
        <v>м.</v>
      </c>
      <c r="Q58" s="780"/>
      <c r="R58" s="1284">
        <f>8.7+12.5</f>
        <v>21.2</v>
      </c>
      <c r="S58" s="1285"/>
      <c r="T58" s="1286"/>
      <c r="U58" s="556">
        <f t="shared" si="1"/>
        <v>4</v>
      </c>
      <c r="V58" s="558">
        <f t="shared" si="2"/>
        <v>1</v>
      </c>
      <c r="W58" s="558"/>
      <c r="X58" s="558"/>
      <c r="Y58" s="558"/>
      <c r="Z58" s="558"/>
      <c r="AA58" s="558"/>
      <c r="AB58" s="608" t="s">
        <v>1277</v>
      </c>
      <c r="AC58" s="613" t="s">
        <v>193</v>
      </c>
      <c r="AD58" s="634">
        <v>20</v>
      </c>
      <c r="AE58" s="591"/>
    </row>
    <row r="59" spans="1:31" ht="16" thickBot="1">
      <c r="A59" s="554" t="str">
        <f t="shared" si="3"/>
        <v>5.</v>
      </c>
      <c r="B59" s="785" t="s">
        <v>1195</v>
      </c>
      <c r="C59" s="786"/>
      <c r="D59" s="786"/>
      <c r="E59" s="786"/>
      <c r="F59" s="786"/>
      <c r="G59" s="786"/>
      <c r="H59" s="786"/>
      <c r="I59" s="786"/>
      <c r="J59" s="786"/>
      <c r="K59" s="786"/>
      <c r="L59" s="786"/>
      <c r="M59" s="786"/>
      <c r="N59" s="786"/>
      <c r="O59" s="787"/>
      <c r="P59" s="779" t="str">
        <f t="shared" si="0"/>
        <v/>
      </c>
      <c r="Q59" s="780"/>
      <c r="R59" s="1284" t="str">
        <f t="shared" si="4"/>
        <v/>
      </c>
      <c r="S59" s="1285"/>
      <c r="T59" s="1286"/>
      <c r="U59" s="556">
        <v>5</v>
      </c>
      <c r="V59" s="558"/>
      <c r="W59" s="558"/>
      <c r="X59" s="558"/>
      <c r="Y59" s="558"/>
      <c r="Z59" s="558"/>
      <c r="AA59" s="558"/>
      <c r="AB59" s="602" t="s">
        <v>1195</v>
      </c>
      <c r="AC59" s="603"/>
      <c r="AD59" s="630"/>
      <c r="AE59" s="588"/>
    </row>
    <row r="60" spans="1:31" ht="29.5" thickBot="1">
      <c r="A60" s="555" t="str">
        <f t="shared" si="3"/>
        <v>5.1</v>
      </c>
      <c r="B60" s="782" t="s">
        <v>1247</v>
      </c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83"/>
      <c r="N60" s="783"/>
      <c r="O60" s="784"/>
      <c r="P60" s="779" t="str">
        <f t="shared" si="0"/>
        <v>т.</v>
      </c>
      <c r="Q60" s="780"/>
      <c r="R60" s="1293">
        <f>6.46*SUM(R76)/1000</f>
        <v>0.27938207999999998</v>
      </c>
      <c r="S60" s="1294"/>
      <c r="T60" s="1295"/>
      <c r="U60" s="556">
        <f t="shared" si="1"/>
        <v>5</v>
      </c>
      <c r="V60" s="558">
        <f t="shared" si="2"/>
        <v>1</v>
      </c>
      <c r="W60" s="558"/>
      <c r="X60" s="558"/>
      <c r="Y60" s="558"/>
      <c r="Z60" s="558"/>
      <c r="AA60" s="558"/>
      <c r="AB60" s="605" t="s">
        <v>1247</v>
      </c>
      <c r="AC60" s="606" t="s">
        <v>1244</v>
      </c>
      <c r="AD60" s="629">
        <v>0.32400000000000001</v>
      </c>
      <c r="AE60" s="588"/>
    </row>
    <row r="61" spans="1:31" ht="29">
      <c r="A61" s="555" t="str">
        <f t="shared" si="3"/>
        <v>5.2</v>
      </c>
      <c r="B61" s="782" t="s">
        <v>1248</v>
      </c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83"/>
      <c r="N61" s="783"/>
      <c r="O61" s="784"/>
      <c r="P61" s="779" t="str">
        <f t="shared" si="0"/>
        <v>т.</v>
      </c>
      <c r="Q61" s="780"/>
      <c r="R61" s="1284" t="str">
        <f t="shared" si="4"/>
        <v>0,23</v>
      </c>
      <c r="S61" s="1285"/>
      <c r="T61" s="1286"/>
      <c r="U61" s="556">
        <f t="shared" si="1"/>
        <v>5</v>
      </c>
      <c r="V61" s="558">
        <f t="shared" si="2"/>
        <v>2</v>
      </c>
      <c r="W61" s="558"/>
      <c r="X61" s="558"/>
      <c r="Y61" s="558"/>
      <c r="Z61" s="558"/>
      <c r="AA61" s="558"/>
      <c r="AB61" s="624" t="s">
        <v>1248</v>
      </c>
      <c r="AC61" s="613" t="s">
        <v>1244</v>
      </c>
      <c r="AD61" s="640">
        <v>0.23</v>
      </c>
      <c r="AE61" s="588"/>
    </row>
    <row r="62" spans="1:31" ht="58.5" thickBot="1">
      <c r="A62" s="555" t="str">
        <f t="shared" si="3"/>
        <v>5.3</v>
      </c>
      <c r="B62" s="782" t="s">
        <v>1245</v>
      </c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83"/>
      <c r="N62" s="783"/>
      <c r="O62" s="784"/>
      <c r="P62" s="779" t="str">
        <f t="shared" si="0"/>
        <v>т.</v>
      </c>
      <c r="Q62" s="780"/>
      <c r="R62" s="1284" t="str">
        <f t="shared" si="4"/>
        <v>0,554</v>
      </c>
      <c r="S62" s="1285"/>
      <c r="T62" s="1286"/>
      <c r="U62" s="556">
        <f t="shared" si="1"/>
        <v>5</v>
      </c>
      <c r="V62" s="558">
        <f t="shared" si="2"/>
        <v>3</v>
      </c>
      <c r="W62" s="558"/>
      <c r="X62" s="558"/>
      <c r="Y62" s="558"/>
      <c r="Z62" s="558"/>
      <c r="AA62" s="558"/>
      <c r="AB62" s="605" t="s">
        <v>1245</v>
      </c>
      <c r="AC62" s="606" t="s">
        <v>1244</v>
      </c>
      <c r="AD62" s="629">
        <v>0.55400000000000005</v>
      </c>
      <c r="AE62" s="588"/>
    </row>
    <row r="63" spans="1:31" ht="29">
      <c r="A63" s="555" t="str">
        <f t="shared" si="3"/>
        <v>5.4</v>
      </c>
      <c r="B63" s="782" t="s">
        <v>1199</v>
      </c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83"/>
      <c r="N63" s="783"/>
      <c r="O63" s="784"/>
      <c r="P63" s="779" t="str">
        <f t="shared" si="0"/>
        <v>т.</v>
      </c>
      <c r="Q63" s="780"/>
      <c r="R63" s="1287">
        <f>X19*SUM(R75,R83)</f>
        <v>5.6994658753709189</v>
      </c>
      <c r="S63" s="1288"/>
      <c r="T63" s="1289"/>
      <c r="U63" s="556">
        <f t="shared" si="1"/>
        <v>5</v>
      </c>
      <c r="V63" s="558">
        <f t="shared" si="2"/>
        <v>4</v>
      </c>
      <c r="W63" s="558"/>
      <c r="X63" s="558"/>
      <c r="Y63" s="558"/>
      <c r="Z63" s="558"/>
      <c r="AA63" s="558"/>
      <c r="AB63" s="624" t="s">
        <v>1199</v>
      </c>
      <c r="AC63" s="613" t="s">
        <v>1244</v>
      </c>
      <c r="AD63" s="640">
        <v>5.3760000000000003</v>
      </c>
      <c r="AE63" s="588"/>
    </row>
    <row r="64" spans="1:31" ht="31.9" customHeight="1" thickBot="1">
      <c r="A64" s="555" t="str">
        <f t="shared" si="3"/>
        <v>5.5</v>
      </c>
      <c r="B64" s="782" t="s">
        <v>1249</v>
      </c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83"/>
      <c r="N64" s="783"/>
      <c r="O64" s="784"/>
      <c r="P64" s="779" t="str">
        <f t="shared" si="0"/>
        <v>т.</v>
      </c>
      <c r="Q64" s="780"/>
      <c r="R64" s="1287">
        <f>R63</f>
        <v>5.6994658753709189</v>
      </c>
      <c r="S64" s="1288"/>
      <c r="T64" s="1289"/>
      <c r="U64" s="556">
        <f t="shared" si="1"/>
        <v>5</v>
      </c>
      <c r="V64" s="558">
        <f t="shared" si="2"/>
        <v>5</v>
      </c>
      <c r="W64" s="558"/>
      <c r="X64" s="558"/>
      <c r="Y64" s="558"/>
      <c r="Z64" s="558"/>
      <c r="AA64" s="558"/>
      <c r="AB64" s="605" t="s">
        <v>1249</v>
      </c>
      <c r="AC64" s="606" t="s">
        <v>1244</v>
      </c>
      <c r="AD64" s="629">
        <v>5.3760000000000003</v>
      </c>
      <c r="AE64" s="588"/>
    </row>
    <row r="65" spans="1:31" ht="29.5" thickBot="1">
      <c r="A65" s="555" t="str">
        <f t="shared" si="3"/>
        <v>5.6</v>
      </c>
      <c r="B65" s="782" t="s">
        <v>1200</v>
      </c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4"/>
      <c r="P65" s="779" t="str">
        <f t="shared" si="0"/>
        <v>т.</v>
      </c>
      <c r="Q65" s="780"/>
      <c r="R65" s="1284" t="str">
        <f t="shared" si="4"/>
        <v>0,05</v>
      </c>
      <c r="S65" s="1285"/>
      <c r="T65" s="1286"/>
      <c r="U65" s="556">
        <f t="shared" si="1"/>
        <v>5</v>
      </c>
      <c r="V65" s="558">
        <f t="shared" si="2"/>
        <v>6</v>
      </c>
      <c r="W65" s="558"/>
      <c r="X65" s="558"/>
      <c r="Y65" s="558"/>
      <c r="Z65" s="558"/>
      <c r="AA65" s="558"/>
      <c r="AB65" s="605" t="s">
        <v>1200</v>
      </c>
      <c r="AC65" s="606" t="s">
        <v>1244</v>
      </c>
      <c r="AD65" s="628">
        <v>0.05</v>
      </c>
      <c r="AE65" s="588"/>
    </row>
    <row r="66" spans="1:31" ht="44" thickBot="1">
      <c r="A66" s="555" t="str">
        <f t="shared" si="3"/>
        <v>5.7</v>
      </c>
      <c r="B66" s="782" t="s">
        <v>1246</v>
      </c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83"/>
      <c r="N66" s="783"/>
      <c r="O66" s="784"/>
      <c r="P66" s="779" t="str">
        <f t="shared" si="0"/>
        <v>т.</v>
      </c>
      <c r="Q66" s="780"/>
      <c r="R66" s="1284" t="str">
        <f t="shared" si="4"/>
        <v>0,05</v>
      </c>
      <c r="S66" s="1285"/>
      <c r="T66" s="1286"/>
      <c r="U66" s="556">
        <f t="shared" si="1"/>
        <v>5</v>
      </c>
      <c r="V66" s="558">
        <f t="shared" si="2"/>
        <v>7</v>
      </c>
      <c r="W66" s="558"/>
      <c r="X66" s="558"/>
      <c r="Y66" s="558"/>
      <c r="Z66" s="558"/>
      <c r="AA66" s="558"/>
      <c r="AB66" s="605" t="s">
        <v>1246</v>
      </c>
      <c r="AC66" s="606" t="s">
        <v>1244</v>
      </c>
      <c r="AD66" s="628">
        <v>0.05</v>
      </c>
      <c r="AE66" s="588"/>
    </row>
    <row r="67" spans="1:31" ht="29.5" thickBot="1">
      <c r="A67" s="555" t="str">
        <f t="shared" si="3"/>
        <v>5.8</v>
      </c>
      <c r="B67" s="782" t="s">
        <v>1201</v>
      </c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83"/>
      <c r="N67" s="783"/>
      <c r="O67" s="784"/>
      <c r="P67" s="779" t="str">
        <f t="shared" si="0"/>
        <v>рейс</v>
      </c>
      <c r="Q67" s="780"/>
      <c r="R67" s="1284" t="str">
        <f t="shared" si="4"/>
        <v>30</v>
      </c>
      <c r="S67" s="1285"/>
      <c r="T67" s="1286"/>
      <c r="U67" s="556">
        <f t="shared" si="1"/>
        <v>5</v>
      </c>
      <c r="V67" s="558">
        <f t="shared" si="2"/>
        <v>8</v>
      </c>
      <c r="W67" s="558"/>
      <c r="X67" s="558"/>
      <c r="Y67" s="558"/>
      <c r="Z67" s="558"/>
      <c r="AA67" s="558"/>
      <c r="AB67" s="625" t="s">
        <v>1201</v>
      </c>
      <c r="AC67" s="626" t="s">
        <v>1202</v>
      </c>
      <c r="AD67" s="627">
        <v>30</v>
      </c>
      <c r="AE67" s="588"/>
    </row>
    <row r="68" spans="1:31">
      <c r="A68" s="554" t="str">
        <f t="shared" si="3"/>
        <v>6.</v>
      </c>
      <c r="B68" s="785" t="s">
        <v>1216</v>
      </c>
      <c r="C68" s="786"/>
      <c r="D68" s="786"/>
      <c r="E68" s="786"/>
      <c r="F68" s="786"/>
      <c r="G68" s="786"/>
      <c r="H68" s="786"/>
      <c r="I68" s="786"/>
      <c r="J68" s="786"/>
      <c r="K68" s="786"/>
      <c r="L68" s="786"/>
      <c r="M68" s="786"/>
      <c r="N68" s="786"/>
      <c r="O68" s="787"/>
      <c r="P68" s="779" t="str">
        <f t="shared" si="0"/>
        <v/>
      </c>
      <c r="Q68" s="780"/>
      <c r="R68" s="1284" t="str">
        <f t="shared" si="4"/>
        <v/>
      </c>
      <c r="S68" s="1285"/>
      <c r="T68" s="1286"/>
      <c r="U68" s="556">
        <v>6</v>
      </c>
      <c r="V68" s="558"/>
      <c r="W68" s="558"/>
      <c r="X68" s="558"/>
      <c r="Y68" s="558"/>
      <c r="Z68" s="558"/>
      <c r="AA68" s="558"/>
      <c r="AB68" s="602" t="s">
        <v>1216</v>
      </c>
      <c r="AC68" s="603"/>
      <c r="AD68" s="630"/>
      <c r="AE68" s="588"/>
    </row>
    <row r="69" spans="1:31" ht="44" thickBot="1">
      <c r="A69" s="555" t="str">
        <f t="shared" si="3"/>
        <v>6.1</v>
      </c>
      <c r="B69" s="782" t="s">
        <v>1409</v>
      </c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83"/>
      <c r="N69" s="783"/>
      <c r="O69" s="784"/>
      <c r="P69" s="779" t="str">
        <f t="shared" si="0"/>
        <v>м/м3</v>
      </c>
      <c r="Q69" s="780"/>
      <c r="R69" s="1284" t="str">
        <f>CONCATENATE(R58,"/",R58*0.425)</f>
        <v>21,2/9,01</v>
      </c>
      <c r="S69" s="1285"/>
      <c r="T69" s="1286"/>
      <c r="U69" s="556">
        <f t="shared" si="1"/>
        <v>6</v>
      </c>
      <c r="V69" s="558">
        <f t="shared" si="2"/>
        <v>1</v>
      </c>
      <c r="W69" s="558"/>
      <c r="X69" s="558"/>
      <c r="Y69" s="558"/>
      <c r="Z69" s="558"/>
      <c r="AA69" s="558"/>
      <c r="AB69" s="605" t="s">
        <v>1278</v>
      </c>
      <c r="AC69" s="606" t="s">
        <v>1217</v>
      </c>
      <c r="AD69" s="628" t="s">
        <v>1285</v>
      </c>
    </row>
    <row r="70" spans="1:31" ht="16" thickBot="1">
      <c r="A70" s="555" t="str">
        <f t="shared" si="3"/>
        <v>6.2</v>
      </c>
      <c r="B70" s="782" t="s">
        <v>1207</v>
      </c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83"/>
      <c r="N70" s="783"/>
      <c r="O70" s="784"/>
      <c r="P70" s="779" t="str">
        <f t="shared" si="0"/>
        <v>м3</v>
      </c>
      <c r="Q70" s="780"/>
      <c r="R70" s="1284">
        <f>R58*0.425*0.7</f>
        <v>6.3069999999999995</v>
      </c>
      <c r="S70" s="1285"/>
      <c r="T70" s="1286"/>
      <c r="U70" s="556">
        <f t="shared" si="1"/>
        <v>6</v>
      </c>
      <c r="V70" s="558">
        <f t="shared" si="2"/>
        <v>2</v>
      </c>
      <c r="W70" s="558"/>
      <c r="X70" s="558"/>
      <c r="Y70" s="558"/>
      <c r="Z70" s="558"/>
      <c r="AA70" s="558"/>
      <c r="AB70" s="605" t="s">
        <v>1207</v>
      </c>
      <c r="AC70" s="606" t="s">
        <v>1163</v>
      </c>
      <c r="AD70" s="628">
        <v>5.9</v>
      </c>
    </row>
    <row r="71" spans="1:31" ht="16" thickBot="1">
      <c r="A71" s="555" t="str">
        <f t="shared" ref="A71:A132" si="5">CONCATENATE(U71,".",V71)</f>
        <v>6.3</v>
      </c>
      <c r="B71" s="782" t="s">
        <v>1208</v>
      </c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83"/>
      <c r="N71" s="783"/>
      <c r="O71" s="784"/>
      <c r="P71" s="779" t="str">
        <f t="shared" si="0"/>
        <v>м3</v>
      </c>
      <c r="Q71" s="780"/>
      <c r="R71" s="1293">
        <f>R58*0.425*0.3</f>
        <v>2.7029999999999998</v>
      </c>
      <c r="S71" s="1294"/>
      <c r="T71" s="1295"/>
      <c r="U71" s="556">
        <f t="shared" si="1"/>
        <v>6</v>
      </c>
      <c r="V71" s="558">
        <f t="shared" si="2"/>
        <v>3</v>
      </c>
      <c r="W71" s="558"/>
      <c r="X71" s="558"/>
      <c r="Y71" s="558"/>
      <c r="Z71" s="558"/>
      <c r="AA71" s="558"/>
      <c r="AB71" s="605" t="s">
        <v>1208</v>
      </c>
      <c r="AC71" s="606" t="s">
        <v>1163</v>
      </c>
      <c r="AD71" s="628">
        <v>2.6</v>
      </c>
    </row>
    <row r="72" spans="1:31" ht="16" thickBot="1">
      <c r="A72" s="555" t="str">
        <f t="shared" si="5"/>
        <v>6.4</v>
      </c>
      <c r="B72" s="782" t="s">
        <v>1251</v>
      </c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4"/>
      <c r="P72" s="779" t="str">
        <f t="shared" si="0"/>
        <v>м3</v>
      </c>
      <c r="Q72" s="780"/>
      <c r="R72" s="1284">
        <f>R70</f>
        <v>6.3069999999999995</v>
      </c>
      <c r="S72" s="1285"/>
      <c r="T72" s="1286"/>
      <c r="U72" s="556">
        <f t="shared" si="1"/>
        <v>6</v>
      </c>
      <c r="V72" s="558">
        <f t="shared" si="2"/>
        <v>4</v>
      </c>
      <c r="W72" s="558"/>
      <c r="X72" s="558"/>
      <c r="Y72" s="558"/>
      <c r="Z72" s="558"/>
      <c r="AA72" s="558"/>
      <c r="AB72" s="605" t="s">
        <v>1251</v>
      </c>
      <c r="AC72" s="606" t="s">
        <v>1163</v>
      </c>
      <c r="AD72" s="628">
        <v>5.9</v>
      </c>
    </row>
    <row r="73" spans="1:31" ht="16" thickBot="1">
      <c r="A73" s="555" t="str">
        <f t="shared" si="5"/>
        <v>6.5</v>
      </c>
      <c r="B73" s="782" t="s">
        <v>1252</v>
      </c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83"/>
      <c r="N73" s="783"/>
      <c r="O73" s="784"/>
      <c r="P73" s="779" t="str">
        <f t="shared" si="0"/>
        <v>м3</v>
      </c>
      <c r="Q73" s="780"/>
      <c r="R73" s="1293">
        <f>R71</f>
        <v>2.7029999999999998</v>
      </c>
      <c r="S73" s="1294"/>
      <c r="T73" s="1295"/>
      <c r="U73" s="556">
        <f t="shared" si="1"/>
        <v>6</v>
      </c>
      <c r="V73" s="558">
        <f t="shared" si="2"/>
        <v>5</v>
      </c>
      <c r="W73" s="558"/>
      <c r="X73" s="558"/>
      <c r="Y73" s="558"/>
      <c r="Z73" s="558"/>
      <c r="AA73" s="558"/>
      <c r="AB73" s="605" t="s">
        <v>1252</v>
      </c>
      <c r="AC73" s="606" t="s">
        <v>1163</v>
      </c>
      <c r="AD73" s="628">
        <v>2.6</v>
      </c>
    </row>
    <row r="74" spans="1:31" ht="16" thickBot="1">
      <c r="A74" s="555" t="str">
        <f t="shared" si="5"/>
        <v>6.6</v>
      </c>
      <c r="B74" s="782" t="s">
        <v>1218</v>
      </c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83"/>
      <c r="N74" s="783"/>
      <c r="O74" s="784"/>
      <c r="P74" s="779" t="str">
        <f t="shared" si="0"/>
        <v>м3</v>
      </c>
      <c r="Q74" s="780"/>
      <c r="R74" s="1287">
        <f>R73*0.1</f>
        <v>0.27029999999999998</v>
      </c>
      <c r="S74" s="1288"/>
      <c r="T74" s="1289"/>
      <c r="U74" s="556">
        <f t="shared" si="1"/>
        <v>6</v>
      </c>
      <c r="V74" s="558">
        <f t="shared" si="2"/>
        <v>6</v>
      </c>
      <c r="W74" s="558"/>
      <c r="X74" s="558"/>
      <c r="Y74" s="558"/>
      <c r="Z74" s="558"/>
      <c r="AA74" s="558"/>
      <c r="AB74" s="605" t="s">
        <v>1218</v>
      </c>
      <c r="AC74" s="606" t="s">
        <v>1163</v>
      </c>
      <c r="AD74" s="628">
        <v>0.26</v>
      </c>
    </row>
    <row r="75" spans="1:31" ht="29.5" thickBot="1">
      <c r="A75" s="555" t="str">
        <f t="shared" si="5"/>
        <v>6.7</v>
      </c>
      <c r="B75" s="782" t="s">
        <v>1410</v>
      </c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83"/>
      <c r="N75" s="783"/>
      <c r="O75" s="784"/>
      <c r="P75" s="779" t="str">
        <f t="shared" si="0"/>
        <v>м3</v>
      </c>
      <c r="Q75" s="780"/>
      <c r="R75" s="1284">
        <f>R58*0.15*0.5</f>
        <v>1.5899999999999999</v>
      </c>
      <c r="S75" s="1285"/>
      <c r="T75" s="1286"/>
      <c r="U75" s="556">
        <f t="shared" si="1"/>
        <v>6</v>
      </c>
      <c r="V75" s="558">
        <f t="shared" si="2"/>
        <v>7</v>
      </c>
      <c r="W75" s="558"/>
      <c r="X75" s="558"/>
      <c r="Y75" s="558"/>
      <c r="Z75" s="558"/>
      <c r="AA75" s="558"/>
      <c r="AB75" s="605" t="s">
        <v>1279</v>
      </c>
      <c r="AC75" s="606" t="s">
        <v>1163</v>
      </c>
      <c r="AD75" s="628">
        <v>1.5</v>
      </c>
    </row>
    <row r="76" spans="1:31" ht="44" thickBot="1">
      <c r="A76" s="555" t="str">
        <f t="shared" si="5"/>
        <v>6.8</v>
      </c>
      <c r="B76" s="782" t="s">
        <v>1412</v>
      </c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83"/>
      <c r="N76" s="783"/>
      <c r="O76" s="784"/>
      <c r="P76" s="779" t="str">
        <f t="shared" ref="P76:P137" si="6">CONCATENATE(AC76)</f>
        <v>м</v>
      </c>
      <c r="Q76" s="780"/>
      <c r="R76" s="1284">
        <f>R58*2*1.02</f>
        <v>43.247999999999998</v>
      </c>
      <c r="S76" s="1285"/>
      <c r="T76" s="1286"/>
      <c r="U76" s="556">
        <f t="shared" ref="U76:U137" si="7">U75</f>
        <v>6</v>
      </c>
      <c r="V76" s="558">
        <f t="shared" ref="V76:V91" si="8">V75+1</f>
        <v>8</v>
      </c>
      <c r="W76" s="558"/>
      <c r="X76" s="558"/>
      <c r="Y76" s="558"/>
      <c r="Z76" s="558"/>
      <c r="AA76" s="558"/>
      <c r="AB76" s="605" t="s">
        <v>1280</v>
      </c>
      <c r="AC76" s="606" t="s">
        <v>1159</v>
      </c>
      <c r="AD76" s="628">
        <v>40.799999999999997</v>
      </c>
    </row>
    <row r="77" spans="1:31" ht="16" thickBot="1">
      <c r="A77" s="555" t="str">
        <f t="shared" si="5"/>
        <v>6.9</v>
      </c>
      <c r="B77" s="782" t="s">
        <v>1255</v>
      </c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83"/>
      <c r="N77" s="783"/>
      <c r="O77" s="784"/>
      <c r="P77" s="779" t="str">
        <f t="shared" si="6"/>
        <v>м</v>
      </c>
      <c r="Q77" s="780"/>
      <c r="R77" s="1284" t="str">
        <f t="shared" ref="R77:R137" si="9">CONCATENATE(AD77)</f>
        <v>10</v>
      </c>
      <c r="S77" s="1285"/>
      <c r="T77" s="1286"/>
      <c r="U77" s="556">
        <f t="shared" si="7"/>
        <v>6</v>
      </c>
      <c r="V77" s="558">
        <f t="shared" si="8"/>
        <v>9</v>
      </c>
      <c r="W77" s="558"/>
      <c r="X77" s="558"/>
      <c r="Y77" s="558"/>
      <c r="Z77" s="558"/>
      <c r="AA77" s="558"/>
      <c r="AB77" s="605" t="s">
        <v>1255</v>
      </c>
      <c r="AC77" s="606" t="s">
        <v>1159</v>
      </c>
      <c r="AD77" s="628">
        <v>10</v>
      </c>
    </row>
    <row r="78" spans="1:31" ht="29.5" thickBot="1">
      <c r="A78" s="555" t="str">
        <f t="shared" si="5"/>
        <v>6.10</v>
      </c>
      <c r="B78" s="782" t="s">
        <v>1256</v>
      </c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83"/>
      <c r="N78" s="783"/>
      <c r="O78" s="784"/>
      <c r="P78" s="779" t="str">
        <f t="shared" si="6"/>
        <v>м</v>
      </c>
      <c r="Q78" s="780"/>
      <c r="R78" s="1284">
        <v>10</v>
      </c>
      <c r="S78" s="1285"/>
      <c r="T78" s="1286"/>
      <c r="U78" s="556">
        <f t="shared" si="7"/>
        <v>6</v>
      </c>
      <c r="V78" s="558">
        <f t="shared" si="8"/>
        <v>10</v>
      </c>
      <c r="W78" s="558"/>
      <c r="X78" s="558"/>
      <c r="Y78" s="558"/>
      <c r="Z78" s="558"/>
      <c r="AA78" s="558"/>
      <c r="AB78" s="605" t="s">
        <v>1256</v>
      </c>
      <c r="AC78" s="606" t="s">
        <v>1159</v>
      </c>
      <c r="AD78" s="628">
        <v>4</v>
      </c>
    </row>
    <row r="79" spans="1:31" ht="16" thickBot="1">
      <c r="A79" s="555" t="str">
        <f t="shared" si="5"/>
        <v>6.11</v>
      </c>
      <c r="B79" s="782" t="s">
        <v>1413</v>
      </c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4"/>
      <c r="P79" s="779" t="str">
        <f t="shared" si="6"/>
        <v>м</v>
      </c>
      <c r="Q79" s="780"/>
      <c r="R79" s="1284">
        <v>3</v>
      </c>
      <c r="S79" s="1285"/>
      <c r="T79" s="1286"/>
      <c r="U79" s="556">
        <f t="shared" si="7"/>
        <v>6</v>
      </c>
      <c r="V79" s="558">
        <f t="shared" si="8"/>
        <v>11</v>
      </c>
      <c r="W79" s="558"/>
      <c r="X79" s="558"/>
      <c r="Y79" s="558"/>
      <c r="Z79" s="558"/>
      <c r="AA79" s="558"/>
      <c r="AB79" s="605" t="s">
        <v>1257</v>
      </c>
      <c r="AC79" s="606" t="s">
        <v>1159</v>
      </c>
      <c r="AD79" s="628">
        <v>4</v>
      </c>
    </row>
    <row r="80" spans="1:31" ht="16" thickBot="1">
      <c r="A80" s="555" t="str">
        <f t="shared" si="5"/>
        <v>6.12</v>
      </c>
      <c r="B80" s="782" t="s">
        <v>1258</v>
      </c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83"/>
      <c r="N80" s="783"/>
      <c r="O80" s="784"/>
      <c r="P80" s="779" t="str">
        <f t="shared" si="6"/>
        <v>м</v>
      </c>
      <c r="Q80" s="780"/>
      <c r="R80" s="1284">
        <f>R79</f>
        <v>3</v>
      </c>
      <c r="S80" s="1285"/>
      <c r="T80" s="1286"/>
      <c r="U80" s="556">
        <f t="shared" si="7"/>
        <v>6</v>
      </c>
      <c r="V80" s="558">
        <f t="shared" si="8"/>
        <v>12</v>
      </c>
      <c r="W80" s="558"/>
      <c r="X80" s="558"/>
      <c r="Y80" s="558"/>
      <c r="Z80" s="558"/>
      <c r="AA80" s="558"/>
      <c r="AB80" s="605" t="s">
        <v>1258</v>
      </c>
      <c r="AC80" s="606" t="s">
        <v>1159</v>
      </c>
      <c r="AD80" s="628">
        <v>4</v>
      </c>
    </row>
    <row r="81" spans="1:32" ht="29.5" thickBot="1">
      <c r="A81" s="555" t="str">
        <f t="shared" si="5"/>
        <v>6.13</v>
      </c>
      <c r="B81" s="782" t="s">
        <v>1260</v>
      </c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83"/>
      <c r="N81" s="783"/>
      <c r="O81" s="784"/>
      <c r="P81" s="779" t="str">
        <f t="shared" si="6"/>
        <v>шт</v>
      </c>
      <c r="Q81" s="780"/>
      <c r="R81" s="1284" t="str">
        <f t="shared" si="9"/>
        <v>4</v>
      </c>
      <c r="S81" s="1285"/>
      <c r="T81" s="1286"/>
      <c r="U81" s="556">
        <f t="shared" si="7"/>
        <v>6</v>
      </c>
      <c r="V81" s="558">
        <f t="shared" si="8"/>
        <v>13</v>
      </c>
      <c r="W81" s="558"/>
      <c r="X81" s="558"/>
      <c r="Y81" s="558"/>
      <c r="Z81" s="558"/>
      <c r="AA81" s="558"/>
      <c r="AB81" s="605" t="s">
        <v>1260</v>
      </c>
      <c r="AC81" s="606" t="s">
        <v>1161</v>
      </c>
      <c r="AD81" s="628">
        <v>4</v>
      </c>
    </row>
    <row r="82" spans="1:32" ht="16" thickBot="1">
      <c r="A82" s="555" t="str">
        <f t="shared" si="5"/>
        <v>6.14</v>
      </c>
      <c r="B82" s="782" t="s">
        <v>1261</v>
      </c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83"/>
      <c r="N82" s="783"/>
      <c r="O82" s="784"/>
      <c r="P82" s="779" t="str">
        <f t="shared" si="6"/>
        <v>шт</v>
      </c>
      <c r="Q82" s="780"/>
      <c r="R82" s="1284" t="str">
        <f t="shared" si="9"/>
        <v>4</v>
      </c>
      <c r="S82" s="1285"/>
      <c r="T82" s="1286"/>
      <c r="U82" s="556">
        <f t="shared" si="7"/>
        <v>6</v>
      </c>
      <c r="V82" s="558">
        <f t="shared" si="8"/>
        <v>14</v>
      </c>
      <c r="W82" s="558"/>
      <c r="X82" s="558"/>
      <c r="Y82" s="558"/>
      <c r="Z82" s="558"/>
      <c r="AA82" s="558"/>
      <c r="AB82" s="605" t="s">
        <v>1261</v>
      </c>
      <c r="AC82" s="606" t="s">
        <v>1161</v>
      </c>
      <c r="AD82" s="628">
        <v>4</v>
      </c>
    </row>
    <row r="83" spans="1:32" ht="29.5" thickBot="1">
      <c r="A83" s="555" t="str">
        <f t="shared" si="5"/>
        <v>6.15</v>
      </c>
      <c r="B83" s="782" t="s">
        <v>1281</v>
      </c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83"/>
      <c r="N83" s="783"/>
      <c r="O83" s="784"/>
      <c r="P83" s="779" t="str">
        <f t="shared" si="6"/>
        <v>м3</v>
      </c>
      <c r="Q83" s="780"/>
      <c r="R83" s="1284">
        <f>R75</f>
        <v>1.5899999999999999</v>
      </c>
      <c r="S83" s="1285"/>
      <c r="T83" s="1286"/>
      <c r="U83" s="556">
        <f t="shared" si="7"/>
        <v>6</v>
      </c>
      <c r="V83" s="558">
        <f t="shared" si="8"/>
        <v>15</v>
      </c>
      <c r="W83" s="558"/>
      <c r="X83" s="558"/>
      <c r="Y83" s="558"/>
      <c r="Z83" s="558"/>
      <c r="AA83" s="558"/>
      <c r="AB83" s="605" t="s">
        <v>1281</v>
      </c>
      <c r="AC83" s="606" t="s">
        <v>1163</v>
      </c>
      <c r="AD83" s="628">
        <v>1.5</v>
      </c>
    </row>
    <row r="84" spans="1:32" ht="21" customHeight="1" thickBot="1">
      <c r="A84" s="555" t="str">
        <f t="shared" si="5"/>
        <v>6.16</v>
      </c>
      <c r="B84" s="782" t="s">
        <v>1414</v>
      </c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83"/>
      <c r="N84" s="783"/>
      <c r="O84" s="784"/>
      <c r="P84" s="779" t="str">
        <f t="shared" si="6"/>
        <v>шт</v>
      </c>
      <c r="Q84" s="780"/>
      <c r="R84" s="1290">
        <f>R58*2/0.48</f>
        <v>88.333333333333329</v>
      </c>
      <c r="S84" s="1291"/>
      <c r="T84" s="1292"/>
      <c r="U84" s="556">
        <f t="shared" si="7"/>
        <v>6</v>
      </c>
      <c r="V84" s="558">
        <f t="shared" si="8"/>
        <v>16</v>
      </c>
      <c r="W84" s="558"/>
      <c r="X84" s="558"/>
      <c r="Y84" s="558"/>
      <c r="Z84" s="558"/>
      <c r="AA84" s="558"/>
      <c r="AB84" s="605" t="s">
        <v>1282</v>
      </c>
      <c r="AC84" s="606" t="s">
        <v>1161</v>
      </c>
      <c r="AD84" s="628">
        <v>83</v>
      </c>
    </row>
    <row r="85" spans="1:32" ht="29.5" thickBot="1">
      <c r="A85" s="555" t="str">
        <f t="shared" si="5"/>
        <v>6.17</v>
      </c>
      <c r="B85" s="782" t="s">
        <v>1416</v>
      </c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83"/>
      <c r="N85" s="783"/>
      <c r="O85" s="784"/>
      <c r="P85" s="779" t="str">
        <f t="shared" si="6"/>
        <v>м3</v>
      </c>
      <c r="Q85" s="780"/>
      <c r="R85" s="1284">
        <f>R58*0.425-R75-R83</f>
        <v>5.83</v>
      </c>
      <c r="S85" s="1285"/>
      <c r="T85" s="1286"/>
      <c r="U85" s="556">
        <f t="shared" si="7"/>
        <v>6</v>
      </c>
      <c r="V85" s="558">
        <f t="shared" si="8"/>
        <v>17</v>
      </c>
      <c r="W85" s="558"/>
      <c r="X85" s="558"/>
      <c r="Y85" s="558"/>
      <c r="Z85" s="558"/>
      <c r="AA85" s="558"/>
      <c r="AB85" s="605" t="s">
        <v>1283</v>
      </c>
      <c r="AC85" s="606" t="s">
        <v>1163</v>
      </c>
      <c r="AD85" s="628">
        <v>5.5</v>
      </c>
      <c r="AE85" s="165"/>
      <c r="AF85" s="588"/>
    </row>
    <row r="86" spans="1:32" ht="29.5" thickBot="1">
      <c r="A86" s="555" t="str">
        <f t="shared" si="5"/>
        <v>6.18</v>
      </c>
      <c r="B86" s="782" t="s">
        <v>1415</v>
      </c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83"/>
      <c r="N86" s="783"/>
      <c r="O86" s="784"/>
      <c r="P86" s="779" t="str">
        <f t="shared" si="6"/>
        <v>т.</v>
      </c>
      <c r="Q86" s="780"/>
      <c r="R86" s="1284">
        <f>(R58*0.425-R85)*1.8</f>
        <v>5.7239999999999993</v>
      </c>
      <c r="S86" s="1285"/>
      <c r="T86" s="1286"/>
      <c r="U86" s="556">
        <f t="shared" si="7"/>
        <v>6</v>
      </c>
      <c r="V86" s="558">
        <f t="shared" si="8"/>
        <v>18</v>
      </c>
      <c r="W86" s="558"/>
      <c r="X86" s="558"/>
      <c r="Y86" s="558"/>
      <c r="Z86" s="558"/>
      <c r="AA86" s="558"/>
      <c r="AB86" s="605" t="s">
        <v>1284</v>
      </c>
      <c r="AC86" s="606" t="s">
        <v>1244</v>
      </c>
      <c r="AD86" s="628">
        <v>5.4</v>
      </c>
      <c r="AE86" s="165"/>
      <c r="AF86" s="588"/>
    </row>
    <row r="87" spans="1:32" ht="44" thickBot="1">
      <c r="A87" s="555" t="str">
        <f t="shared" si="5"/>
        <v>6.19</v>
      </c>
      <c r="B87" s="782" t="s">
        <v>1266</v>
      </c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83"/>
      <c r="N87" s="783"/>
      <c r="O87" s="784"/>
      <c r="P87" s="779" t="str">
        <f t="shared" si="6"/>
        <v>т.</v>
      </c>
      <c r="Q87" s="780"/>
      <c r="R87" s="1284">
        <f>R86</f>
        <v>5.7239999999999993</v>
      </c>
      <c r="S87" s="1285"/>
      <c r="T87" s="1286"/>
      <c r="U87" s="556">
        <f t="shared" si="7"/>
        <v>6</v>
      </c>
      <c r="V87" s="558">
        <f t="shared" si="8"/>
        <v>19</v>
      </c>
      <c r="W87" s="558"/>
      <c r="X87" s="558">
        <f>573*3*1.045+9+9+12*3*1.045+9+9</f>
        <v>1869.9749999999997</v>
      </c>
      <c r="Y87" s="558"/>
      <c r="Z87" s="558"/>
      <c r="AA87" s="558"/>
      <c r="AB87" s="605" t="s">
        <v>1266</v>
      </c>
      <c r="AC87" s="606" t="s">
        <v>1244</v>
      </c>
      <c r="AD87" s="628">
        <v>5.4</v>
      </c>
      <c r="AE87" s="165"/>
      <c r="AF87" s="588"/>
    </row>
    <row r="88" spans="1:32" ht="29.5" thickBot="1">
      <c r="A88" s="555" t="str">
        <f t="shared" si="5"/>
        <v>6.20</v>
      </c>
      <c r="B88" s="782" t="s">
        <v>1267</v>
      </c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83"/>
      <c r="N88" s="783"/>
      <c r="O88" s="784"/>
      <c r="P88" s="779" t="str">
        <f t="shared" si="6"/>
        <v>компл</v>
      </c>
      <c r="Q88" s="780"/>
      <c r="R88" s="1284" t="str">
        <f t="shared" si="9"/>
        <v>4</v>
      </c>
      <c r="S88" s="1285"/>
      <c r="T88" s="1286"/>
      <c r="U88" s="556">
        <f t="shared" si="7"/>
        <v>6</v>
      </c>
      <c r="V88" s="558">
        <f t="shared" si="8"/>
        <v>20</v>
      </c>
      <c r="W88" s="558"/>
      <c r="X88" s="558">
        <f>1832/572/3</f>
        <v>1.0675990675990676</v>
      </c>
      <c r="Y88" s="558"/>
      <c r="Z88" s="558"/>
      <c r="AA88" s="558"/>
      <c r="AB88" s="605" t="s">
        <v>1267</v>
      </c>
      <c r="AC88" s="606" t="s">
        <v>1162</v>
      </c>
      <c r="AD88" s="628">
        <v>4</v>
      </c>
      <c r="AE88" s="165"/>
      <c r="AF88" s="588"/>
    </row>
    <row r="89" spans="1:32" ht="29.5" thickBot="1">
      <c r="A89" s="555" t="str">
        <f t="shared" si="5"/>
        <v>6.21</v>
      </c>
      <c r="B89" s="782" t="s">
        <v>1268</v>
      </c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83"/>
      <c r="N89" s="783"/>
      <c r="O89" s="784"/>
      <c r="P89" s="779" t="str">
        <f t="shared" si="6"/>
        <v>шт</v>
      </c>
      <c r="Q89" s="780"/>
      <c r="R89" s="1284" t="str">
        <f t="shared" si="9"/>
        <v>8</v>
      </c>
      <c r="S89" s="1285"/>
      <c r="T89" s="1286"/>
      <c r="U89" s="556">
        <f t="shared" si="7"/>
        <v>6</v>
      </c>
      <c r="V89" s="558">
        <f t="shared" si="8"/>
        <v>21</v>
      </c>
      <c r="W89" s="558"/>
      <c r="X89" s="558"/>
      <c r="Y89" s="558"/>
      <c r="Z89" s="558"/>
      <c r="AA89" s="558"/>
      <c r="AB89" s="605" t="s">
        <v>1268</v>
      </c>
      <c r="AC89" s="606" t="s">
        <v>1161</v>
      </c>
      <c r="AD89" s="628">
        <v>8</v>
      </c>
      <c r="AE89" s="618"/>
      <c r="AF89" s="588"/>
    </row>
    <row r="90" spans="1:32" ht="16" thickBot="1">
      <c r="A90" s="555" t="str">
        <f t="shared" si="5"/>
        <v>6.22</v>
      </c>
      <c r="B90" s="782" t="s">
        <v>1269</v>
      </c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83"/>
      <c r="N90" s="783"/>
      <c r="O90" s="784"/>
      <c r="P90" s="779" t="str">
        <f t="shared" si="6"/>
        <v>шт</v>
      </c>
      <c r="Q90" s="780"/>
      <c r="R90" s="1284" t="str">
        <f t="shared" si="9"/>
        <v>8</v>
      </c>
      <c r="S90" s="1285"/>
      <c r="T90" s="1286"/>
      <c r="U90" s="556">
        <f t="shared" si="7"/>
        <v>6</v>
      </c>
      <c r="V90" s="558">
        <f t="shared" si="8"/>
        <v>22</v>
      </c>
      <c r="W90" s="558"/>
      <c r="X90" s="558"/>
      <c r="Y90" s="558"/>
      <c r="Z90" s="558"/>
      <c r="AA90" s="558"/>
      <c r="AB90" s="605" t="s">
        <v>1269</v>
      </c>
      <c r="AC90" s="606" t="s">
        <v>1161</v>
      </c>
      <c r="AD90" s="628">
        <v>8</v>
      </c>
      <c r="AE90" s="616"/>
      <c r="AF90" s="588"/>
    </row>
    <row r="91" spans="1:32" ht="16" thickBot="1">
      <c r="A91" s="555" t="str">
        <f t="shared" si="5"/>
        <v>6.23</v>
      </c>
      <c r="B91" s="782" t="s">
        <v>1270</v>
      </c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83"/>
      <c r="N91" s="783"/>
      <c r="O91" s="784"/>
      <c r="P91" s="779" t="str">
        <f t="shared" si="6"/>
        <v>шт</v>
      </c>
      <c r="Q91" s="780"/>
      <c r="R91" s="1284" t="str">
        <f t="shared" si="9"/>
        <v>4</v>
      </c>
      <c r="S91" s="1285"/>
      <c r="T91" s="1286"/>
      <c r="U91" s="556">
        <f t="shared" si="7"/>
        <v>6</v>
      </c>
      <c r="V91" s="558">
        <f t="shared" si="8"/>
        <v>23</v>
      </c>
      <c r="W91" s="558"/>
      <c r="X91" s="558"/>
      <c r="Y91" s="558"/>
      <c r="Z91" s="558"/>
      <c r="AA91" s="558"/>
      <c r="AB91" s="605" t="s">
        <v>1270</v>
      </c>
      <c r="AC91" s="606" t="s">
        <v>1161</v>
      </c>
      <c r="AD91" s="628">
        <v>4</v>
      </c>
      <c r="AE91" s="616"/>
      <c r="AF91" s="588"/>
    </row>
    <row r="92" spans="1:32" ht="16" thickBot="1">
      <c r="A92" s="554" t="str">
        <f t="shared" si="5"/>
        <v>7.</v>
      </c>
      <c r="B92" s="785" t="s">
        <v>1219</v>
      </c>
      <c r="C92" s="786"/>
      <c r="D92" s="786"/>
      <c r="E92" s="786"/>
      <c r="F92" s="786"/>
      <c r="G92" s="786"/>
      <c r="H92" s="786"/>
      <c r="I92" s="786"/>
      <c r="J92" s="786"/>
      <c r="K92" s="786"/>
      <c r="L92" s="786"/>
      <c r="M92" s="786"/>
      <c r="N92" s="786"/>
      <c r="O92" s="787"/>
      <c r="P92" s="779" t="str">
        <f t="shared" si="6"/>
        <v/>
      </c>
      <c r="Q92" s="780"/>
      <c r="R92" s="1284" t="str">
        <f t="shared" si="9"/>
        <v/>
      </c>
      <c r="S92" s="1285"/>
      <c r="T92" s="1286"/>
      <c r="U92" s="556">
        <v>7</v>
      </c>
      <c r="V92" s="558"/>
      <c r="W92" s="558"/>
      <c r="X92" s="558"/>
      <c r="Y92" s="558"/>
      <c r="Z92" s="558"/>
      <c r="AA92" s="558"/>
      <c r="AB92" s="602" t="s">
        <v>1219</v>
      </c>
      <c r="AC92" s="603"/>
      <c r="AD92" s="630"/>
      <c r="AE92" s="588"/>
      <c r="AF92" s="588"/>
    </row>
    <row r="93" spans="1:32" ht="16" thickBot="1">
      <c r="A93" s="555" t="str">
        <f t="shared" si="5"/>
        <v>7.1</v>
      </c>
      <c r="B93" s="782" t="s">
        <v>1220</v>
      </c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83"/>
      <c r="N93" s="783"/>
      <c r="O93" s="784"/>
      <c r="P93" s="779" t="str">
        <f t="shared" si="6"/>
        <v>шт.</v>
      </c>
      <c r="Q93" s="780"/>
      <c r="R93" s="1284" t="str">
        <f t="shared" si="9"/>
        <v>2</v>
      </c>
      <c r="S93" s="1285"/>
      <c r="T93" s="1286"/>
      <c r="U93" s="556">
        <f t="shared" si="7"/>
        <v>7</v>
      </c>
      <c r="V93" s="558">
        <f t="shared" ref="V93:V137" si="10">V92+1</f>
        <v>1</v>
      </c>
      <c r="W93" s="558"/>
      <c r="X93" s="558"/>
      <c r="Y93" s="558"/>
      <c r="Z93" s="558"/>
      <c r="AA93" s="558"/>
      <c r="AB93" s="605" t="s">
        <v>1220</v>
      </c>
      <c r="AC93" s="606" t="s">
        <v>1194</v>
      </c>
      <c r="AD93" s="628">
        <v>2</v>
      </c>
      <c r="AE93" s="588"/>
    </row>
    <row r="94" spans="1:32" ht="16" thickBot="1">
      <c r="A94" s="555" t="str">
        <f t="shared" si="5"/>
        <v>7.2</v>
      </c>
      <c r="B94" s="782" t="s">
        <v>1271</v>
      </c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83"/>
      <c r="N94" s="783"/>
      <c r="O94" s="784"/>
      <c r="P94" s="779" t="str">
        <f t="shared" si="6"/>
        <v>изм.</v>
      </c>
      <c r="Q94" s="780"/>
      <c r="R94" s="1284" t="str">
        <f t="shared" si="9"/>
        <v>2</v>
      </c>
      <c r="S94" s="1285"/>
      <c r="T94" s="1286"/>
      <c r="U94" s="556">
        <f t="shared" si="7"/>
        <v>7</v>
      </c>
      <c r="V94" s="558">
        <f t="shared" si="10"/>
        <v>2</v>
      </c>
      <c r="W94" s="558"/>
      <c r="X94" s="558"/>
      <c r="Y94" s="558"/>
      <c r="Z94" s="558"/>
      <c r="AA94" s="558"/>
      <c r="AB94" s="605" t="s">
        <v>1271</v>
      </c>
      <c r="AC94" s="606" t="s">
        <v>1213</v>
      </c>
      <c r="AD94" s="628">
        <v>2</v>
      </c>
      <c r="AE94" s="588"/>
    </row>
    <row r="95" spans="1:32" ht="16" thickBot="1">
      <c r="A95" s="555" t="str">
        <f t="shared" si="5"/>
        <v>7.3</v>
      </c>
      <c r="B95" s="782" t="s">
        <v>1272</v>
      </c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83"/>
      <c r="N95" s="783"/>
      <c r="O95" s="784"/>
      <c r="P95" s="779" t="str">
        <f t="shared" si="6"/>
        <v>изм.</v>
      </c>
      <c r="Q95" s="780"/>
      <c r="R95" s="1284" t="str">
        <f t="shared" si="9"/>
        <v>3</v>
      </c>
      <c r="S95" s="1285"/>
      <c r="T95" s="1286"/>
      <c r="U95" s="556">
        <f t="shared" si="7"/>
        <v>7</v>
      </c>
      <c r="V95" s="558">
        <f t="shared" si="10"/>
        <v>3</v>
      </c>
      <c r="W95" s="558"/>
      <c r="X95" s="558"/>
      <c r="Y95" s="558"/>
      <c r="Z95" s="558"/>
      <c r="AA95" s="558"/>
      <c r="AB95" s="605" t="s">
        <v>1272</v>
      </c>
      <c r="AC95" s="606" t="s">
        <v>1213</v>
      </c>
      <c r="AD95" s="628">
        <v>3</v>
      </c>
      <c r="AE95" s="588"/>
    </row>
    <row r="96" spans="1:32" ht="29.5" thickBot="1">
      <c r="A96" s="555" t="str">
        <f t="shared" si="5"/>
        <v>7.4</v>
      </c>
      <c r="B96" s="782" t="s">
        <v>1221</v>
      </c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83"/>
      <c r="N96" s="783"/>
      <c r="O96" s="784"/>
      <c r="P96" s="779" t="str">
        <f t="shared" si="6"/>
        <v>изм.</v>
      </c>
      <c r="Q96" s="780"/>
      <c r="R96" s="1284" t="str">
        <f t="shared" si="9"/>
        <v>4</v>
      </c>
      <c r="S96" s="1285"/>
      <c r="T96" s="1286"/>
      <c r="U96" s="556">
        <f t="shared" si="7"/>
        <v>7</v>
      </c>
      <c r="V96" s="558">
        <f t="shared" si="10"/>
        <v>4</v>
      </c>
      <c r="W96" s="558"/>
      <c r="X96" s="558"/>
      <c r="Y96" s="558"/>
      <c r="Z96" s="558"/>
      <c r="AA96" s="558"/>
      <c r="AB96" s="605" t="s">
        <v>1221</v>
      </c>
      <c r="AC96" s="606" t="s">
        <v>1213</v>
      </c>
      <c r="AD96" s="628">
        <v>4</v>
      </c>
      <c r="AE96" s="588"/>
    </row>
    <row r="97" spans="1:31" ht="29">
      <c r="A97" s="555" t="str">
        <f t="shared" si="5"/>
        <v>7.5</v>
      </c>
      <c r="B97" s="782" t="s">
        <v>1273</v>
      </c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83"/>
      <c r="N97" s="783"/>
      <c r="O97" s="784"/>
      <c r="P97" s="779" t="str">
        <f t="shared" si="6"/>
        <v>изм.</v>
      </c>
      <c r="Q97" s="780"/>
      <c r="R97" s="1284" t="str">
        <f t="shared" si="9"/>
        <v>1</v>
      </c>
      <c r="S97" s="1285"/>
      <c r="T97" s="1286"/>
      <c r="U97" s="556">
        <f t="shared" si="7"/>
        <v>7</v>
      </c>
      <c r="V97" s="558">
        <f t="shared" si="10"/>
        <v>5</v>
      </c>
      <c r="W97" s="558"/>
      <c r="X97" s="558"/>
      <c r="Y97" s="558"/>
      <c r="Z97" s="558"/>
      <c r="AA97" s="558"/>
      <c r="AB97" s="624" t="s">
        <v>1273</v>
      </c>
      <c r="AC97" s="612" t="s">
        <v>1213</v>
      </c>
      <c r="AD97" s="634">
        <v>1</v>
      </c>
      <c r="AE97" s="588"/>
    </row>
    <row r="98" spans="1:31" ht="29.5" thickBot="1">
      <c r="A98" s="555" t="str">
        <f t="shared" si="5"/>
        <v>7.6</v>
      </c>
      <c r="B98" s="782" t="s">
        <v>1274</v>
      </c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83"/>
      <c r="N98" s="783"/>
      <c r="O98" s="784"/>
      <c r="P98" s="779" t="str">
        <f>CONCATENATE(AC98)</f>
        <v>точек</v>
      </c>
      <c r="Q98" s="780"/>
      <c r="R98" s="1284" t="str">
        <f>CONCATENATE(AD98)</f>
        <v>1</v>
      </c>
      <c r="S98" s="1285"/>
      <c r="T98" s="1286"/>
      <c r="U98" s="556">
        <f t="shared" si="7"/>
        <v>7</v>
      </c>
      <c r="V98" s="558">
        <f t="shared" si="10"/>
        <v>6</v>
      </c>
      <c r="W98" s="558"/>
      <c r="X98" s="558"/>
      <c r="Y98" s="558"/>
      <c r="Z98" s="558"/>
      <c r="AA98" s="558"/>
      <c r="AB98" s="605" t="s">
        <v>1274</v>
      </c>
      <c r="AC98" s="594" t="s">
        <v>1164</v>
      </c>
      <c r="AD98" s="593">
        <v>1</v>
      </c>
      <c r="AE98" s="588"/>
    </row>
    <row r="99" spans="1:31" ht="16" thickBot="1">
      <c r="A99" s="555" t="str">
        <f t="shared" si="5"/>
        <v>7.7</v>
      </c>
      <c r="B99" s="782" t="s">
        <v>1275</v>
      </c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783"/>
      <c r="O99" s="784"/>
      <c r="P99" s="779" t="str">
        <f t="shared" si="6"/>
        <v>км</v>
      </c>
      <c r="Q99" s="780"/>
      <c r="R99" s="1284">
        <f>R58/1000</f>
        <v>2.12E-2</v>
      </c>
      <c r="S99" s="1285"/>
      <c r="T99" s="1286"/>
      <c r="U99" s="556">
        <f t="shared" si="7"/>
        <v>7</v>
      </c>
      <c r="V99" s="558">
        <f t="shared" si="10"/>
        <v>7</v>
      </c>
      <c r="W99" s="558"/>
      <c r="X99" s="558"/>
      <c r="Y99" s="558"/>
      <c r="Z99" s="558"/>
      <c r="AA99" s="558"/>
      <c r="AB99" s="625" t="s">
        <v>1275</v>
      </c>
      <c r="AC99" s="626" t="s">
        <v>1192</v>
      </c>
      <c r="AD99" s="631">
        <v>0.02</v>
      </c>
    </row>
    <row r="100" spans="1:31" ht="16" thickBot="1">
      <c r="A100" s="555"/>
      <c r="B100" s="785" t="s">
        <v>1286</v>
      </c>
      <c r="C100" s="786"/>
      <c r="D100" s="786"/>
      <c r="E100" s="786"/>
      <c r="F100" s="786"/>
      <c r="G100" s="786"/>
      <c r="H100" s="786"/>
      <c r="I100" s="786"/>
      <c r="J100" s="786"/>
      <c r="K100" s="786"/>
      <c r="L100" s="786"/>
      <c r="M100" s="786"/>
      <c r="N100" s="786"/>
      <c r="O100" s="787"/>
      <c r="P100" s="779" t="str">
        <f t="shared" si="6"/>
        <v/>
      </c>
      <c r="Q100" s="780"/>
      <c r="R100" s="1284" t="str">
        <f t="shared" si="9"/>
        <v/>
      </c>
      <c r="S100" s="1285"/>
      <c r="T100" s="1286"/>
      <c r="U100" s="556">
        <f t="shared" si="7"/>
        <v>7</v>
      </c>
      <c r="V100" s="558">
        <f t="shared" si="10"/>
        <v>8</v>
      </c>
      <c r="W100" s="558"/>
      <c r="X100" s="558"/>
      <c r="Y100" s="558"/>
      <c r="Z100" s="558"/>
      <c r="AA100" s="558"/>
      <c r="AB100" s="810" t="s">
        <v>1286</v>
      </c>
      <c r="AC100" s="812"/>
      <c r="AD100" s="588"/>
    </row>
    <row r="101" spans="1:31" ht="16" thickBot="1">
      <c r="A101" s="554" t="str">
        <f t="shared" si="5"/>
        <v>8.</v>
      </c>
      <c r="B101" s="785" t="s">
        <v>1191</v>
      </c>
      <c r="C101" s="786"/>
      <c r="D101" s="786"/>
      <c r="E101" s="786"/>
      <c r="F101" s="786"/>
      <c r="G101" s="786"/>
      <c r="H101" s="786"/>
      <c r="I101" s="786"/>
      <c r="J101" s="786"/>
      <c r="K101" s="786"/>
      <c r="L101" s="786"/>
      <c r="M101" s="786"/>
      <c r="N101" s="786"/>
      <c r="O101" s="787"/>
      <c r="P101" s="779" t="str">
        <f t="shared" si="6"/>
        <v/>
      </c>
      <c r="Q101" s="780"/>
      <c r="R101" s="1284" t="str">
        <f t="shared" si="9"/>
        <v/>
      </c>
      <c r="S101" s="1285"/>
      <c r="T101" s="1286"/>
      <c r="U101" s="556">
        <v>8</v>
      </c>
      <c r="V101" s="558"/>
      <c r="W101" s="558"/>
      <c r="X101" s="558"/>
      <c r="Y101" s="558"/>
      <c r="Z101" s="558"/>
      <c r="AA101" s="558"/>
      <c r="AB101" s="635" t="s">
        <v>1191</v>
      </c>
      <c r="AC101" s="588"/>
      <c r="AD101" s="588"/>
    </row>
    <row r="102" spans="1:31" ht="29.5" thickBot="1">
      <c r="A102" s="555" t="str">
        <f t="shared" si="5"/>
        <v>8.1</v>
      </c>
      <c r="B102" s="782" t="s">
        <v>1277</v>
      </c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83"/>
      <c r="N102" s="783"/>
      <c r="O102" s="784"/>
      <c r="P102" s="779" t="str">
        <f t="shared" si="6"/>
        <v>м.</v>
      </c>
      <c r="Q102" s="780"/>
      <c r="R102" s="1284">
        <f>4.8+3.7+176.4+2.14</f>
        <v>187.04</v>
      </c>
      <c r="S102" s="1285"/>
      <c r="T102" s="1286"/>
      <c r="U102" s="556">
        <f t="shared" si="7"/>
        <v>8</v>
      </c>
      <c r="V102" s="558">
        <f t="shared" si="10"/>
        <v>1</v>
      </c>
      <c r="W102" s="558"/>
      <c r="X102" s="558"/>
      <c r="Y102" s="558"/>
      <c r="Z102" s="558"/>
      <c r="AA102" s="558"/>
      <c r="AB102" s="625" t="s">
        <v>1277</v>
      </c>
      <c r="AC102" s="626" t="s">
        <v>193</v>
      </c>
      <c r="AD102" s="627">
        <v>190</v>
      </c>
    </row>
    <row r="103" spans="1:31" ht="16" thickBot="1">
      <c r="A103" s="554" t="str">
        <f t="shared" si="5"/>
        <v>9.</v>
      </c>
      <c r="B103" s="785" t="s">
        <v>1195</v>
      </c>
      <c r="C103" s="786"/>
      <c r="D103" s="786"/>
      <c r="E103" s="786"/>
      <c r="F103" s="786"/>
      <c r="G103" s="786"/>
      <c r="H103" s="786"/>
      <c r="I103" s="786"/>
      <c r="J103" s="786"/>
      <c r="K103" s="786"/>
      <c r="L103" s="786"/>
      <c r="M103" s="786"/>
      <c r="N103" s="786"/>
      <c r="O103" s="787"/>
      <c r="P103" s="779" t="str">
        <f t="shared" si="6"/>
        <v/>
      </c>
      <c r="Q103" s="780"/>
      <c r="R103" s="1284" t="str">
        <f t="shared" si="9"/>
        <v/>
      </c>
      <c r="S103" s="1285"/>
      <c r="T103" s="1286"/>
      <c r="U103" s="556">
        <v>9</v>
      </c>
      <c r="V103" s="558"/>
      <c r="W103" s="558"/>
      <c r="X103" s="558"/>
      <c r="Y103" s="558"/>
      <c r="Z103" s="558"/>
      <c r="AA103" s="558"/>
      <c r="AB103" s="602" t="s">
        <v>1195</v>
      </c>
      <c r="AC103" s="603"/>
      <c r="AD103" s="630"/>
      <c r="AE103" s="588"/>
    </row>
    <row r="104" spans="1:31" ht="29.5" thickBot="1">
      <c r="A104" s="555" t="str">
        <f t="shared" si="5"/>
        <v>9.1</v>
      </c>
      <c r="B104" s="782" t="s">
        <v>1287</v>
      </c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83"/>
      <c r="N104" s="783"/>
      <c r="O104" s="784"/>
      <c r="P104" s="779" t="str">
        <f t="shared" si="6"/>
        <v>т.</v>
      </c>
      <c r="Q104" s="780"/>
      <c r="R104" s="1281">
        <f>(6.46*SUM(R176)/1000+1.323*R158/1000)*1.056</f>
        <v>0.66314320934399995</v>
      </c>
      <c r="S104" s="1282"/>
      <c r="T104" s="1283"/>
      <c r="U104" s="556">
        <f t="shared" si="7"/>
        <v>9</v>
      </c>
      <c r="V104" s="558">
        <f t="shared" si="10"/>
        <v>1</v>
      </c>
      <c r="W104" s="558"/>
      <c r="X104" s="558"/>
      <c r="Y104" s="558"/>
      <c r="Z104" s="558"/>
      <c r="AA104" s="558"/>
      <c r="AB104" s="605" t="s">
        <v>1287</v>
      </c>
      <c r="AC104" s="606" t="s">
        <v>1244</v>
      </c>
      <c r="AD104" s="629">
        <v>0.81699999999999995</v>
      </c>
      <c r="AE104" s="588"/>
    </row>
    <row r="105" spans="1:31" ht="44" thickBot="1">
      <c r="A105" s="555" t="str">
        <f t="shared" si="5"/>
        <v>9.2</v>
      </c>
      <c r="B105" s="782" t="s">
        <v>1288</v>
      </c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83"/>
      <c r="N105" s="783"/>
      <c r="O105" s="784"/>
      <c r="P105" s="779" t="str">
        <f t="shared" si="6"/>
        <v>т.</v>
      </c>
      <c r="Q105" s="780"/>
      <c r="R105" s="1284" t="str">
        <f t="shared" si="9"/>
        <v>0,306</v>
      </c>
      <c r="S105" s="1285"/>
      <c r="T105" s="1286"/>
      <c r="U105" s="556">
        <f t="shared" si="7"/>
        <v>9</v>
      </c>
      <c r="V105" s="558">
        <f t="shared" si="10"/>
        <v>2</v>
      </c>
      <c r="W105" s="558"/>
      <c r="X105" s="558"/>
      <c r="Y105" s="558"/>
      <c r="Z105" s="558"/>
      <c r="AA105" s="558"/>
      <c r="AB105" s="605" t="s">
        <v>1288</v>
      </c>
      <c r="AC105" s="606" t="s">
        <v>1244</v>
      </c>
      <c r="AD105" s="629">
        <v>0.30599999999999999</v>
      </c>
      <c r="AE105" s="588"/>
    </row>
    <row r="106" spans="1:31" ht="29.5" thickBot="1">
      <c r="A106" s="555" t="str">
        <f t="shared" si="5"/>
        <v>9.3</v>
      </c>
      <c r="B106" s="782" t="s">
        <v>1289</v>
      </c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83"/>
      <c r="N106" s="783"/>
      <c r="O106" s="784"/>
      <c r="P106" s="779" t="str">
        <f t="shared" si="6"/>
        <v>т.</v>
      </c>
      <c r="Q106" s="780"/>
      <c r="R106" s="1284" t="str">
        <f t="shared" si="9"/>
        <v>3,6</v>
      </c>
      <c r="S106" s="1285"/>
      <c r="T106" s="1286"/>
      <c r="U106" s="556">
        <f t="shared" si="7"/>
        <v>9</v>
      </c>
      <c r="V106" s="558">
        <f t="shared" si="10"/>
        <v>3</v>
      </c>
      <c r="W106" s="558"/>
      <c r="X106" s="558"/>
      <c r="Y106" s="558"/>
      <c r="Z106" s="558"/>
      <c r="AA106" s="558"/>
      <c r="AB106" s="605" t="s">
        <v>1289</v>
      </c>
      <c r="AC106" s="606" t="s">
        <v>1244</v>
      </c>
      <c r="AD106" s="628">
        <v>3.6</v>
      </c>
      <c r="AE106" s="588"/>
    </row>
    <row r="107" spans="1:31" ht="29.5" thickBot="1">
      <c r="A107" s="555" t="str">
        <f t="shared" si="5"/>
        <v>9.4</v>
      </c>
      <c r="B107" s="782" t="s">
        <v>1290</v>
      </c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83"/>
      <c r="N107" s="783"/>
      <c r="O107" s="784"/>
      <c r="P107" s="779" t="str">
        <f t="shared" si="6"/>
        <v>т.</v>
      </c>
      <c r="Q107" s="780"/>
      <c r="R107" s="1284" t="str">
        <f t="shared" si="9"/>
        <v>0,104</v>
      </c>
      <c r="S107" s="1285"/>
      <c r="T107" s="1286"/>
      <c r="U107" s="556">
        <f t="shared" si="7"/>
        <v>9</v>
      </c>
      <c r="V107" s="558">
        <f t="shared" si="10"/>
        <v>4</v>
      </c>
      <c r="W107" s="558"/>
      <c r="X107" s="558"/>
      <c r="Y107" s="558"/>
      <c r="Z107" s="558"/>
      <c r="AA107" s="558"/>
      <c r="AB107" s="605" t="s">
        <v>1290</v>
      </c>
      <c r="AC107" s="606" t="s">
        <v>1244</v>
      </c>
      <c r="AD107" s="629">
        <v>0.104</v>
      </c>
      <c r="AE107" s="588"/>
    </row>
    <row r="108" spans="1:31" ht="58">
      <c r="A108" s="555" t="str">
        <f t="shared" si="5"/>
        <v>9.5</v>
      </c>
      <c r="B108" s="782" t="s">
        <v>1245</v>
      </c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83"/>
      <c r="N108" s="783"/>
      <c r="O108" s="784"/>
      <c r="P108" s="779" t="str">
        <f t="shared" si="6"/>
        <v>т.</v>
      </c>
      <c r="Q108" s="780"/>
      <c r="R108" s="1284" t="str">
        <f t="shared" si="9"/>
        <v>0,554</v>
      </c>
      <c r="S108" s="1285"/>
      <c r="T108" s="1286"/>
      <c r="U108" s="556">
        <f t="shared" si="7"/>
        <v>9</v>
      </c>
      <c r="V108" s="558">
        <f t="shared" si="10"/>
        <v>5</v>
      </c>
      <c r="W108" s="558"/>
      <c r="X108" s="558"/>
      <c r="Y108" s="558"/>
      <c r="Z108" s="558"/>
      <c r="AA108" s="558"/>
      <c r="AB108" s="605" t="s">
        <v>1245</v>
      </c>
      <c r="AC108" s="606" t="s">
        <v>1244</v>
      </c>
      <c r="AD108" s="629">
        <v>0.55400000000000005</v>
      </c>
      <c r="AE108" s="588"/>
    </row>
    <row r="109" spans="1:31" ht="29.5" thickBot="1">
      <c r="A109" s="555" t="str">
        <f t="shared" si="5"/>
        <v>9.6</v>
      </c>
      <c r="B109" s="782" t="s">
        <v>1199</v>
      </c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83"/>
      <c r="N109" s="783"/>
      <c r="O109" s="784"/>
      <c r="P109" s="779" t="str">
        <f t="shared" si="6"/>
        <v>т.</v>
      </c>
      <c r="Q109" s="780"/>
      <c r="R109" s="1287">
        <f>X19*SUM(R175,R185)</f>
        <v>2.8604866468842731</v>
      </c>
      <c r="S109" s="1288"/>
      <c r="T109" s="1289"/>
      <c r="U109" s="556">
        <f t="shared" si="7"/>
        <v>9</v>
      </c>
      <c r="V109" s="558">
        <f t="shared" si="10"/>
        <v>6</v>
      </c>
      <c r="W109" s="558"/>
      <c r="X109" s="558"/>
      <c r="Y109" s="558"/>
      <c r="Z109" s="558"/>
      <c r="AA109" s="558"/>
      <c r="AB109" s="605" t="s">
        <v>1199</v>
      </c>
      <c r="AC109" s="606" t="s">
        <v>1244</v>
      </c>
      <c r="AD109" s="629">
        <v>4.032</v>
      </c>
      <c r="AE109" s="588"/>
    </row>
    <row r="110" spans="1:31" ht="29.5" thickBot="1">
      <c r="A110" s="555" t="str">
        <f t="shared" si="5"/>
        <v>9.7</v>
      </c>
      <c r="B110" s="782" t="s">
        <v>1291</v>
      </c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83"/>
      <c r="N110" s="783"/>
      <c r="O110" s="784"/>
      <c r="P110" s="779" t="str">
        <f t="shared" si="6"/>
        <v>т.</v>
      </c>
      <c r="Q110" s="780"/>
      <c r="R110" s="1284">
        <f>1.798*R174</f>
        <v>1.798</v>
      </c>
      <c r="S110" s="1285"/>
      <c r="T110" s="1286"/>
      <c r="U110" s="556">
        <f t="shared" si="7"/>
        <v>9</v>
      </c>
      <c r="V110" s="558">
        <f t="shared" si="10"/>
        <v>7</v>
      </c>
      <c r="W110" s="558"/>
      <c r="X110" s="558"/>
      <c r="Y110" s="558"/>
      <c r="Z110" s="558"/>
      <c r="AA110" s="558"/>
      <c r="AB110" s="605" t="s">
        <v>1291</v>
      </c>
      <c r="AC110" s="606" t="s">
        <v>1244</v>
      </c>
      <c r="AD110" s="629">
        <v>1.798</v>
      </c>
      <c r="AE110" s="588"/>
    </row>
    <row r="111" spans="1:31" ht="30" customHeight="1" thickBot="1">
      <c r="A111" s="555" t="str">
        <f t="shared" si="5"/>
        <v>9.8</v>
      </c>
      <c r="B111" s="782" t="s">
        <v>1249</v>
      </c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83"/>
      <c r="N111" s="783"/>
      <c r="O111" s="784"/>
      <c r="P111" s="779" t="str">
        <f t="shared" si="6"/>
        <v>т.</v>
      </c>
      <c r="Q111" s="780"/>
      <c r="R111" s="1287">
        <f>R109</f>
        <v>2.8604866468842731</v>
      </c>
      <c r="S111" s="1288"/>
      <c r="T111" s="1289"/>
      <c r="U111" s="556">
        <f t="shared" si="7"/>
        <v>9</v>
      </c>
      <c r="V111" s="558">
        <f t="shared" si="10"/>
        <v>8</v>
      </c>
      <c r="W111" s="558"/>
      <c r="X111" s="558"/>
      <c r="Y111" s="558"/>
      <c r="Z111" s="558"/>
      <c r="AA111" s="558"/>
      <c r="AB111" s="605" t="s">
        <v>1249</v>
      </c>
      <c r="AC111" s="606" t="s">
        <v>1244</v>
      </c>
      <c r="AD111" s="628">
        <v>3.2</v>
      </c>
      <c r="AE111" s="588"/>
    </row>
    <row r="112" spans="1:31" ht="44" thickBot="1">
      <c r="A112" s="555" t="str">
        <f t="shared" si="5"/>
        <v>9.9</v>
      </c>
      <c r="B112" s="782" t="s">
        <v>1292</v>
      </c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83"/>
      <c r="N112" s="783"/>
      <c r="O112" s="784"/>
      <c r="P112" s="779" t="str">
        <f t="shared" si="6"/>
        <v>т.</v>
      </c>
      <c r="Q112" s="780"/>
      <c r="R112" s="1284">
        <f>R110</f>
        <v>1.798</v>
      </c>
      <c r="S112" s="1285"/>
      <c r="T112" s="1286"/>
      <c r="U112" s="556">
        <f t="shared" si="7"/>
        <v>9</v>
      </c>
      <c r="V112" s="558">
        <f t="shared" si="10"/>
        <v>9</v>
      </c>
      <c r="W112" s="558"/>
      <c r="X112" s="558"/>
      <c r="Y112" s="558"/>
      <c r="Z112" s="558"/>
      <c r="AA112" s="558"/>
      <c r="AB112" s="605" t="s">
        <v>1292</v>
      </c>
      <c r="AC112" s="606" t="s">
        <v>1244</v>
      </c>
      <c r="AD112" s="629">
        <v>1.798</v>
      </c>
      <c r="AE112" s="588"/>
    </row>
    <row r="113" spans="1:31" ht="29.5" thickBot="1">
      <c r="A113" s="555" t="str">
        <f t="shared" si="5"/>
        <v>9.10</v>
      </c>
      <c r="B113" s="782" t="s">
        <v>1200</v>
      </c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83"/>
      <c r="N113" s="783"/>
      <c r="O113" s="784"/>
      <c r="P113" s="779" t="str">
        <f t="shared" si="6"/>
        <v>т.</v>
      </c>
      <c r="Q113" s="780"/>
      <c r="R113" s="1284" t="str">
        <f t="shared" si="9"/>
        <v>0,05</v>
      </c>
      <c r="S113" s="1285"/>
      <c r="T113" s="1286"/>
      <c r="U113" s="556">
        <f t="shared" si="7"/>
        <v>9</v>
      </c>
      <c r="V113" s="558">
        <f t="shared" si="10"/>
        <v>10</v>
      </c>
      <c r="W113" s="558"/>
      <c r="X113" s="558"/>
      <c r="Y113" s="558"/>
      <c r="Z113" s="558"/>
      <c r="AA113" s="558"/>
      <c r="AB113" s="605" t="s">
        <v>1200</v>
      </c>
      <c r="AC113" s="606" t="s">
        <v>1244</v>
      </c>
      <c r="AD113" s="628">
        <v>0.05</v>
      </c>
      <c r="AE113" s="588"/>
    </row>
    <row r="114" spans="1:31" ht="44" thickBot="1">
      <c r="A114" s="555" t="str">
        <f t="shared" si="5"/>
        <v>9.11</v>
      </c>
      <c r="B114" s="782" t="s">
        <v>1246</v>
      </c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83"/>
      <c r="N114" s="783"/>
      <c r="O114" s="784"/>
      <c r="P114" s="779" t="str">
        <f t="shared" si="6"/>
        <v>т.</v>
      </c>
      <c r="Q114" s="780"/>
      <c r="R114" s="1284" t="str">
        <f t="shared" si="9"/>
        <v>0,05</v>
      </c>
      <c r="S114" s="1285"/>
      <c r="T114" s="1286"/>
      <c r="U114" s="556">
        <f t="shared" si="7"/>
        <v>9</v>
      </c>
      <c r="V114" s="558">
        <f t="shared" si="10"/>
        <v>11</v>
      </c>
      <c r="W114" s="558"/>
      <c r="X114" s="558"/>
      <c r="Y114" s="558"/>
      <c r="Z114" s="558"/>
      <c r="AA114" s="558"/>
      <c r="AB114" s="605" t="s">
        <v>1246</v>
      </c>
      <c r="AC114" s="606" t="s">
        <v>1244</v>
      </c>
      <c r="AD114" s="628">
        <v>0.05</v>
      </c>
      <c r="AE114" s="588"/>
    </row>
    <row r="115" spans="1:31" ht="29.5" thickBot="1">
      <c r="A115" s="555" t="str">
        <f t="shared" si="5"/>
        <v>9.12</v>
      </c>
      <c r="B115" s="782" t="s">
        <v>1201</v>
      </c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83"/>
      <c r="N115" s="783"/>
      <c r="O115" s="784"/>
      <c r="P115" s="779" t="str">
        <f t="shared" si="6"/>
        <v>рейс</v>
      </c>
      <c r="Q115" s="780"/>
      <c r="R115" s="1284" t="str">
        <f t="shared" si="9"/>
        <v>30</v>
      </c>
      <c r="S115" s="1285"/>
      <c r="T115" s="1286"/>
      <c r="U115" s="556">
        <f t="shared" si="7"/>
        <v>9</v>
      </c>
      <c r="V115" s="558">
        <f t="shared" si="10"/>
        <v>12</v>
      </c>
      <c r="W115" s="558"/>
      <c r="X115" s="558"/>
      <c r="Y115" s="558"/>
      <c r="Z115" s="558"/>
      <c r="AA115" s="558"/>
      <c r="AB115" s="605" t="s">
        <v>1201</v>
      </c>
      <c r="AC115" s="606" t="s">
        <v>1202</v>
      </c>
      <c r="AD115" s="628">
        <v>30</v>
      </c>
      <c r="AE115" s="588"/>
    </row>
    <row r="116" spans="1:31" ht="16" thickBot="1">
      <c r="A116" s="554" t="str">
        <f t="shared" si="5"/>
        <v>10.</v>
      </c>
      <c r="B116" s="785" t="s">
        <v>1293</v>
      </c>
      <c r="C116" s="786"/>
      <c r="D116" s="786"/>
      <c r="E116" s="786"/>
      <c r="F116" s="786"/>
      <c r="G116" s="786"/>
      <c r="H116" s="786"/>
      <c r="I116" s="786"/>
      <c r="J116" s="786"/>
      <c r="K116" s="786"/>
      <c r="L116" s="786"/>
      <c r="M116" s="786"/>
      <c r="N116" s="786"/>
      <c r="O116" s="787"/>
      <c r="P116" s="779" t="str">
        <f t="shared" si="6"/>
        <v/>
      </c>
      <c r="Q116" s="780"/>
      <c r="R116" s="1284" t="str">
        <f t="shared" si="9"/>
        <v/>
      </c>
      <c r="S116" s="1285"/>
      <c r="T116" s="1286"/>
      <c r="U116" s="556">
        <v>10</v>
      </c>
      <c r="V116" s="558"/>
      <c r="W116" s="558"/>
      <c r="X116" s="558"/>
      <c r="Y116" s="558"/>
      <c r="Z116" s="558"/>
      <c r="AA116" s="558"/>
      <c r="AB116" s="602" t="s">
        <v>1293</v>
      </c>
      <c r="AC116" s="603"/>
      <c r="AD116" s="630"/>
      <c r="AE116" s="588"/>
    </row>
    <row r="117" spans="1:31" ht="16" thickBot="1">
      <c r="A117" s="555" t="str">
        <f t="shared" si="5"/>
        <v>10.1</v>
      </c>
      <c r="B117" s="782" t="s">
        <v>1203</v>
      </c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83"/>
      <c r="N117" s="783"/>
      <c r="O117" s="784"/>
      <c r="P117" s="779" t="str">
        <f t="shared" si="6"/>
        <v/>
      </c>
      <c r="Q117" s="780"/>
      <c r="R117" s="1284" t="str">
        <f t="shared" si="9"/>
        <v/>
      </c>
      <c r="S117" s="1285"/>
      <c r="T117" s="1286"/>
      <c r="U117" s="556">
        <f t="shared" si="7"/>
        <v>10</v>
      </c>
      <c r="V117" s="558">
        <f t="shared" si="10"/>
        <v>1</v>
      </c>
      <c r="W117" s="558"/>
      <c r="X117" s="558"/>
      <c r="Y117" s="558"/>
      <c r="Z117" s="558"/>
      <c r="AA117" s="558"/>
      <c r="AB117" s="636" t="s">
        <v>1203</v>
      </c>
      <c r="AC117" s="589"/>
      <c r="AD117" s="590"/>
      <c r="AE117" s="588"/>
    </row>
    <row r="118" spans="1:31" ht="44" thickBot="1">
      <c r="A118" s="555" t="str">
        <f t="shared" si="5"/>
        <v>10.2</v>
      </c>
      <c r="B118" s="782" t="s">
        <v>1294</v>
      </c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83"/>
      <c r="N118" s="783"/>
      <c r="O118" s="784"/>
      <c r="P118" s="779" t="str">
        <f t="shared" si="6"/>
        <v/>
      </c>
      <c r="Q118" s="780"/>
      <c r="R118" s="1284" t="str">
        <f t="shared" si="9"/>
        <v/>
      </c>
      <c r="S118" s="1285"/>
      <c r="T118" s="1286"/>
      <c r="U118" s="556">
        <f t="shared" si="7"/>
        <v>10</v>
      </c>
      <c r="V118" s="558">
        <f t="shared" si="10"/>
        <v>2</v>
      </c>
      <c r="W118" s="558"/>
      <c r="X118" s="558"/>
      <c r="Y118" s="558"/>
      <c r="Z118" s="558"/>
      <c r="AA118" s="558"/>
      <c r="AB118" s="605" t="s">
        <v>1294</v>
      </c>
      <c r="AC118" s="594"/>
      <c r="AD118" s="593"/>
      <c r="AE118" s="588"/>
    </row>
    <row r="119" spans="1:31" ht="16" thickBot="1">
      <c r="A119" s="555" t="str">
        <f t="shared" si="5"/>
        <v>10.3</v>
      </c>
      <c r="B119" s="782" t="s">
        <v>1295</v>
      </c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83"/>
      <c r="N119" s="783"/>
      <c r="O119" s="784"/>
      <c r="P119" s="779" t="str">
        <f t="shared" si="6"/>
        <v>шт.</v>
      </c>
      <c r="Q119" s="780"/>
      <c r="R119" s="1284" t="str">
        <f t="shared" si="9"/>
        <v>2</v>
      </c>
      <c r="S119" s="1285"/>
      <c r="T119" s="1286"/>
      <c r="U119" s="556">
        <f t="shared" si="7"/>
        <v>10</v>
      </c>
      <c r="V119" s="558">
        <f t="shared" si="10"/>
        <v>3</v>
      </c>
      <c r="W119" s="558"/>
      <c r="X119" s="558" t="s">
        <v>1225</v>
      </c>
      <c r="Y119" s="558"/>
      <c r="Z119" s="558"/>
      <c r="AA119" s="558"/>
      <c r="AB119" s="605" t="s">
        <v>1295</v>
      </c>
      <c r="AC119" s="606" t="s">
        <v>1194</v>
      </c>
      <c r="AD119" s="628">
        <v>2</v>
      </c>
      <c r="AE119" s="588"/>
    </row>
    <row r="120" spans="1:31" ht="16" thickBot="1">
      <c r="A120" s="555" t="str">
        <f t="shared" si="5"/>
        <v>10.4</v>
      </c>
      <c r="B120" s="782" t="s">
        <v>1296</v>
      </c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83"/>
      <c r="N120" s="783"/>
      <c r="O120" s="784"/>
      <c r="P120" s="779" t="str">
        <f t="shared" si="6"/>
        <v>шт.</v>
      </c>
      <c r="Q120" s="780"/>
      <c r="R120" s="1284" t="str">
        <f t="shared" si="9"/>
        <v>2</v>
      </c>
      <c r="S120" s="1285"/>
      <c r="T120" s="1286"/>
      <c r="U120" s="556">
        <f t="shared" si="7"/>
        <v>10</v>
      </c>
      <c r="V120" s="558">
        <f t="shared" si="10"/>
        <v>4</v>
      </c>
      <c r="W120" s="558"/>
      <c r="X120" s="599">
        <f>863.92-142</f>
        <v>721.92</v>
      </c>
      <c r="Y120" s="558"/>
      <c r="Z120" s="558"/>
      <c r="AA120" s="558"/>
      <c r="AB120" s="605" t="s">
        <v>1296</v>
      </c>
      <c r="AC120" s="606" t="s">
        <v>1194</v>
      </c>
      <c r="AD120" s="628">
        <v>2</v>
      </c>
      <c r="AE120" s="588"/>
    </row>
    <row r="121" spans="1:31" ht="16" thickBot="1">
      <c r="A121" s="555" t="str">
        <f t="shared" si="5"/>
        <v>10.5</v>
      </c>
      <c r="B121" s="782" t="s">
        <v>1297</v>
      </c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83"/>
      <c r="N121" s="783"/>
      <c r="O121" s="784"/>
      <c r="P121" s="779" t="str">
        <f t="shared" si="6"/>
        <v>т</v>
      </c>
      <c r="Q121" s="780"/>
      <c r="R121" s="1284" t="str">
        <f t="shared" si="9"/>
        <v>0,02</v>
      </c>
      <c r="S121" s="1285"/>
      <c r="T121" s="1286"/>
      <c r="U121" s="556">
        <f t="shared" si="7"/>
        <v>10</v>
      </c>
      <c r="V121" s="558">
        <f t="shared" si="10"/>
        <v>5</v>
      </c>
      <c r="W121" s="558"/>
      <c r="X121" s="558"/>
      <c r="Y121" s="558"/>
      <c r="Z121" s="558"/>
      <c r="AA121" s="558"/>
      <c r="AB121" s="605" t="s">
        <v>1297</v>
      </c>
      <c r="AC121" s="606" t="s">
        <v>1160</v>
      </c>
      <c r="AD121" s="628">
        <v>0.02</v>
      </c>
      <c r="AE121" s="588"/>
    </row>
    <row r="122" spans="1:31" ht="29">
      <c r="A122" s="555" t="str">
        <f t="shared" si="5"/>
        <v>10.6</v>
      </c>
      <c r="B122" s="782" t="s">
        <v>1196</v>
      </c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83"/>
      <c r="N122" s="783"/>
      <c r="O122" s="784"/>
      <c r="P122" s="779" t="str">
        <f t="shared" si="6"/>
        <v>т</v>
      </c>
      <c r="Q122" s="780"/>
      <c r="R122" s="1284" t="str">
        <f t="shared" si="9"/>
        <v>3,6</v>
      </c>
      <c r="S122" s="1285"/>
      <c r="T122" s="1286"/>
      <c r="U122" s="556">
        <f t="shared" si="7"/>
        <v>10</v>
      </c>
      <c r="V122" s="558">
        <f t="shared" si="10"/>
        <v>6</v>
      </c>
      <c r="W122" s="558"/>
      <c r="X122" s="558"/>
      <c r="Y122" s="558"/>
      <c r="Z122" s="558"/>
      <c r="AA122" s="558"/>
      <c r="AB122" s="624" t="s">
        <v>1196</v>
      </c>
      <c r="AC122" s="613" t="s">
        <v>1160</v>
      </c>
      <c r="AD122" s="634">
        <v>3.6</v>
      </c>
      <c r="AE122" s="588"/>
    </row>
    <row r="123" spans="1:31" ht="29.5" thickBot="1">
      <c r="A123" s="555" t="str">
        <f t="shared" si="5"/>
        <v>10.7</v>
      </c>
      <c r="B123" s="782" t="s">
        <v>1298</v>
      </c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83"/>
      <c r="N123" s="783"/>
      <c r="O123" s="784"/>
      <c r="P123" s="779" t="str">
        <f t="shared" si="6"/>
        <v>т</v>
      </c>
      <c r="Q123" s="780"/>
      <c r="R123" s="1284" t="str">
        <f t="shared" si="9"/>
        <v>0,493</v>
      </c>
      <c r="S123" s="1285"/>
      <c r="T123" s="1286"/>
      <c r="U123" s="556">
        <f t="shared" si="7"/>
        <v>10</v>
      </c>
      <c r="V123" s="558">
        <f t="shared" si="10"/>
        <v>7</v>
      </c>
      <c r="W123" s="558"/>
      <c r="X123" s="558"/>
      <c r="Y123" s="558"/>
      <c r="Z123" s="558"/>
      <c r="AA123" s="558"/>
      <c r="AB123" s="605" t="s">
        <v>1298</v>
      </c>
      <c r="AC123" s="606" t="s">
        <v>1160</v>
      </c>
      <c r="AD123" s="629">
        <v>0.49299999999999999</v>
      </c>
      <c r="AE123" s="588"/>
    </row>
    <row r="124" spans="1:31" ht="29.5" thickBot="1">
      <c r="A124" s="555" t="str">
        <f t="shared" si="5"/>
        <v>10.8</v>
      </c>
      <c r="B124" s="782" t="s">
        <v>1197</v>
      </c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83"/>
      <c r="N124" s="783"/>
      <c r="O124" s="784"/>
      <c r="P124" s="779" t="str">
        <f t="shared" si="6"/>
        <v>т</v>
      </c>
      <c r="Q124" s="780"/>
      <c r="R124" s="1284" t="str">
        <f t="shared" si="9"/>
        <v>3,6</v>
      </c>
      <c r="S124" s="1285"/>
      <c r="T124" s="1286"/>
      <c r="U124" s="556">
        <f t="shared" si="7"/>
        <v>10</v>
      </c>
      <c r="V124" s="558">
        <f t="shared" si="10"/>
        <v>8</v>
      </c>
      <c r="W124" s="558"/>
      <c r="X124" s="558"/>
      <c r="Y124" s="558"/>
      <c r="Z124" s="558"/>
      <c r="AA124" s="558"/>
      <c r="AB124" s="605" t="s">
        <v>1197</v>
      </c>
      <c r="AC124" s="606" t="s">
        <v>1160</v>
      </c>
      <c r="AD124" s="628">
        <v>3.6</v>
      </c>
      <c r="AE124" s="588"/>
    </row>
    <row r="125" spans="1:31" ht="36" customHeight="1" thickBot="1">
      <c r="A125" s="555" t="str">
        <f t="shared" si="5"/>
        <v>10.9</v>
      </c>
      <c r="B125" s="782" t="s">
        <v>1198</v>
      </c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83"/>
      <c r="N125" s="783"/>
      <c r="O125" s="784"/>
      <c r="P125" s="779" t="str">
        <f t="shared" si="6"/>
        <v/>
      </c>
      <c r="Q125" s="780"/>
      <c r="R125" s="1284" t="str">
        <f t="shared" si="9"/>
        <v/>
      </c>
      <c r="S125" s="1285"/>
      <c r="T125" s="1286"/>
      <c r="U125" s="556">
        <f t="shared" si="7"/>
        <v>10</v>
      </c>
      <c r="V125" s="558">
        <f t="shared" si="10"/>
        <v>9</v>
      </c>
      <c r="W125" s="558"/>
      <c r="X125" s="558"/>
      <c r="Y125" s="558"/>
      <c r="Z125" s="558"/>
      <c r="AA125" s="558"/>
      <c r="AB125" s="605" t="s">
        <v>1198</v>
      </c>
      <c r="AC125" s="594"/>
      <c r="AD125" s="593"/>
      <c r="AE125" s="588"/>
    </row>
    <row r="126" spans="1:31" ht="16" thickBot="1">
      <c r="A126" s="554" t="str">
        <f t="shared" si="5"/>
        <v>11.</v>
      </c>
      <c r="B126" s="785" t="s">
        <v>1299</v>
      </c>
      <c r="C126" s="786"/>
      <c r="D126" s="786"/>
      <c r="E126" s="786"/>
      <c r="F126" s="786"/>
      <c r="G126" s="786"/>
      <c r="H126" s="786"/>
      <c r="I126" s="786"/>
      <c r="J126" s="786"/>
      <c r="K126" s="786"/>
      <c r="L126" s="786"/>
      <c r="M126" s="786"/>
      <c r="N126" s="786"/>
      <c r="O126" s="787"/>
      <c r="P126" s="779" t="str">
        <f t="shared" si="6"/>
        <v/>
      </c>
      <c r="Q126" s="780"/>
      <c r="R126" s="1284" t="str">
        <f t="shared" si="9"/>
        <v/>
      </c>
      <c r="S126" s="1285"/>
      <c r="T126" s="1286"/>
      <c r="U126" s="556">
        <v>11</v>
      </c>
      <c r="V126" s="558"/>
      <c r="W126" s="558"/>
      <c r="X126" s="558"/>
      <c r="Y126" s="558"/>
      <c r="Z126" s="558"/>
      <c r="AA126" s="558"/>
      <c r="AB126" s="602" t="s">
        <v>1299</v>
      </c>
      <c r="AC126" s="603"/>
      <c r="AD126" s="630"/>
      <c r="AE126" s="588"/>
    </row>
    <row r="127" spans="1:31" ht="29.5" thickBot="1">
      <c r="A127" s="555" t="str">
        <f t="shared" si="5"/>
        <v>11.1</v>
      </c>
      <c r="B127" s="782" t="s">
        <v>1406</v>
      </c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83"/>
      <c r="N127" s="783"/>
      <c r="O127" s="784"/>
      <c r="P127" s="779" t="str">
        <f t="shared" si="6"/>
        <v>шт./м3</v>
      </c>
      <c r="Q127" s="780"/>
      <c r="R127" s="1284" t="str">
        <f t="shared" si="9"/>
        <v>4/1,12</v>
      </c>
      <c r="S127" s="1285"/>
      <c r="T127" s="1286"/>
      <c r="U127" s="556">
        <f t="shared" si="7"/>
        <v>11</v>
      </c>
      <c r="V127" s="558">
        <f t="shared" si="10"/>
        <v>1</v>
      </c>
      <c r="W127" s="558"/>
      <c r="X127" s="558"/>
      <c r="Y127" s="558"/>
      <c r="Z127" s="558"/>
      <c r="AA127" s="558"/>
      <c r="AB127" s="605" t="s">
        <v>1300</v>
      </c>
      <c r="AC127" s="606" t="s">
        <v>1301</v>
      </c>
      <c r="AD127" s="629" t="s">
        <v>1302</v>
      </c>
      <c r="AE127" s="588"/>
    </row>
    <row r="128" spans="1:31" ht="29.5" thickBot="1">
      <c r="A128" s="555" t="str">
        <f t="shared" si="5"/>
        <v>11.2</v>
      </c>
      <c r="B128" s="782" t="s">
        <v>1303</v>
      </c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83"/>
      <c r="N128" s="783"/>
      <c r="O128" s="784"/>
      <c r="P128" s="779" t="str">
        <f t="shared" si="6"/>
        <v>шт.</v>
      </c>
      <c r="Q128" s="780"/>
      <c r="R128" s="1284" t="str">
        <f t="shared" si="9"/>
        <v>2</v>
      </c>
      <c r="S128" s="1285"/>
      <c r="T128" s="1286"/>
      <c r="U128" s="556">
        <f t="shared" si="7"/>
        <v>11</v>
      </c>
      <c r="V128" s="558">
        <f t="shared" si="10"/>
        <v>2</v>
      </c>
      <c r="W128" s="558"/>
      <c r="X128" s="558"/>
      <c r="Y128" s="558"/>
      <c r="Z128" s="558"/>
      <c r="AA128" s="558"/>
      <c r="AB128" s="624" t="s">
        <v>1303</v>
      </c>
      <c r="AC128" s="624" t="s">
        <v>1194</v>
      </c>
      <c r="AD128" s="637">
        <v>2</v>
      </c>
      <c r="AE128" s="588"/>
    </row>
    <row r="129" spans="1:31" ht="16" thickBot="1">
      <c r="A129" s="555" t="str">
        <f t="shared" si="5"/>
        <v>11.3</v>
      </c>
      <c r="B129" s="782" t="s">
        <v>1304</v>
      </c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83"/>
      <c r="N129" s="783"/>
      <c r="O129" s="784"/>
      <c r="P129" s="779" t="str">
        <f t="shared" si="6"/>
        <v>шт.</v>
      </c>
      <c r="Q129" s="780"/>
      <c r="R129" s="1284" t="str">
        <f t="shared" si="9"/>
        <v>2</v>
      </c>
      <c r="S129" s="1285"/>
      <c r="T129" s="1286"/>
      <c r="U129" s="556">
        <f t="shared" si="7"/>
        <v>11</v>
      </c>
      <c r="V129" s="558">
        <f t="shared" si="10"/>
        <v>3</v>
      </c>
      <c r="W129" s="558"/>
      <c r="X129" s="558"/>
      <c r="Y129" s="558"/>
      <c r="Z129" s="558"/>
      <c r="AA129" s="558"/>
      <c r="AB129" s="625" t="s">
        <v>1304</v>
      </c>
      <c r="AC129" s="626" t="s">
        <v>1194</v>
      </c>
      <c r="AD129" s="627">
        <v>2</v>
      </c>
      <c r="AE129" s="588"/>
    </row>
    <row r="130" spans="1:31" ht="16" thickBot="1">
      <c r="A130" s="555" t="str">
        <f t="shared" si="5"/>
        <v>11.4</v>
      </c>
      <c r="B130" s="782" t="s">
        <v>1305</v>
      </c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83"/>
      <c r="N130" s="783"/>
      <c r="O130" s="784"/>
      <c r="P130" s="779" t="str">
        <f t="shared" si="6"/>
        <v>м3</v>
      </c>
      <c r="Q130" s="780"/>
      <c r="R130" s="1284" t="str">
        <f t="shared" si="9"/>
        <v>1,12</v>
      </c>
      <c r="S130" s="1285"/>
      <c r="T130" s="1286"/>
      <c r="U130" s="556">
        <f t="shared" si="7"/>
        <v>11</v>
      </c>
      <c r="V130" s="558">
        <f t="shared" si="10"/>
        <v>4</v>
      </c>
      <c r="W130" s="558"/>
      <c r="X130" s="558"/>
      <c r="Y130" s="558"/>
      <c r="Z130" s="558"/>
      <c r="AA130" s="558"/>
      <c r="AB130" s="605" t="s">
        <v>1305</v>
      </c>
      <c r="AC130" s="606" t="s">
        <v>1306</v>
      </c>
      <c r="AD130" s="628">
        <v>1.1200000000000001</v>
      </c>
      <c r="AE130" s="588"/>
    </row>
    <row r="131" spans="1:31" ht="29.5" thickBot="1">
      <c r="A131" s="555" t="str">
        <f t="shared" si="5"/>
        <v>11.5</v>
      </c>
      <c r="B131" s="782" t="s">
        <v>1204</v>
      </c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83"/>
      <c r="N131" s="783"/>
      <c r="O131" s="784"/>
      <c r="P131" s="779" t="str">
        <f t="shared" si="6"/>
        <v>шт.</v>
      </c>
      <c r="Q131" s="780"/>
      <c r="R131" s="1284" t="str">
        <f t="shared" si="9"/>
        <v>4</v>
      </c>
      <c r="S131" s="1285"/>
      <c r="T131" s="1286"/>
      <c r="U131" s="556">
        <f t="shared" si="7"/>
        <v>11</v>
      </c>
      <c r="V131" s="558">
        <f t="shared" si="10"/>
        <v>5</v>
      </c>
      <c r="W131" s="558"/>
      <c r="X131" s="558"/>
      <c r="Y131" s="558"/>
      <c r="Z131" s="558"/>
      <c r="AA131" s="558"/>
      <c r="AB131" s="605" t="s">
        <v>1204</v>
      </c>
      <c r="AC131" s="606" t="s">
        <v>1194</v>
      </c>
      <c r="AD131" s="628">
        <v>4</v>
      </c>
      <c r="AE131" s="588"/>
    </row>
    <row r="132" spans="1:31" ht="16" thickBot="1">
      <c r="A132" s="554" t="str">
        <f t="shared" si="5"/>
        <v>12.</v>
      </c>
      <c r="B132" s="785" t="s">
        <v>1307</v>
      </c>
      <c r="C132" s="786"/>
      <c r="D132" s="786"/>
      <c r="E132" s="786"/>
      <c r="F132" s="786"/>
      <c r="G132" s="786"/>
      <c r="H132" s="786"/>
      <c r="I132" s="786"/>
      <c r="J132" s="786"/>
      <c r="K132" s="786"/>
      <c r="L132" s="786"/>
      <c r="M132" s="786"/>
      <c r="N132" s="786"/>
      <c r="O132" s="787"/>
      <c r="P132" s="779" t="str">
        <f t="shared" si="6"/>
        <v/>
      </c>
      <c r="Q132" s="780"/>
      <c r="R132" s="1284" t="str">
        <f t="shared" si="9"/>
        <v/>
      </c>
      <c r="S132" s="1285"/>
      <c r="T132" s="1286"/>
      <c r="U132" s="556">
        <v>12</v>
      </c>
      <c r="V132" s="558"/>
      <c r="W132" s="558"/>
      <c r="X132" s="558"/>
      <c r="Y132" s="558"/>
      <c r="Z132" s="558"/>
      <c r="AA132" s="558"/>
      <c r="AB132" s="602" t="s">
        <v>1307</v>
      </c>
      <c r="AC132" s="603"/>
      <c r="AD132" s="630"/>
      <c r="AE132" s="588"/>
    </row>
    <row r="133" spans="1:31" ht="58.5" thickBot="1">
      <c r="A133" s="555" t="str">
        <f t="shared" ref="A133:A191" si="11">CONCATENATE(U133,".",V133)</f>
        <v>12.1</v>
      </c>
      <c r="B133" s="782" t="s">
        <v>1407</v>
      </c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83"/>
      <c r="N133" s="783"/>
      <c r="O133" s="784"/>
      <c r="P133" s="779" t="str">
        <f t="shared" si="6"/>
        <v>м3</v>
      </c>
      <c r="Q133" s="780"/>
      <c r="R133" s="1284" t="str">
        <f t="shared" si="9"/>
        <v>5,88</v>
      </c>
      <c r="S133" s="1285"/>
      <c r="T133" s="1286"/>
      <c r="U133" s="556">
        <f t="shared" si="7"/>
        <v>12</v>
      </c>
      <c r="V133" s="558">
        <f t="shared" si="10"/>
        <v>1</v>
      </c>
      <c r="W133" s="558"/>
      <c r="X133" s="558"/>
      <c r="Y133" s="558"/>
      <c r="Z133" s="558"/>
      <c r="AA133" s="558"/>
      <c r="AB133" s="605" t="s">
        <v>1308</v>
      </c>
      <c r="AC133" s="606" t="s">
        <v>1306</v>
      </c>
      <c r="AD133" s="628">
        <v>5.88</v>
      </c>
      <c r="AE133" s="588"/>
    </row>
    <row r="134" spans="1:31">
      <c r="A134" s="555" t="str">
        <f t="shared" si="11"/>
        <v>12.2</v>
      </c>
      <c r="B134" s="782" t="s">
        <v>1205</v>
      </c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83"/>
      <c r="N134" s="783"/>
      <c r="O134" s="784"/>
      <c r="P134" s="779" t="str">
        <f t="shared" si="6"/>
        <v>м3</v>
      </c>
      <c r="Q134" s="780"/>
      <c r="R134" s="1284" t="str">
        <f t="shared" si="9"/>
        <v>1,47</v>
      </c>
      <c r="S134" s="1285"/>
      <c r="T134" s="1286"/>
      <c r="U134" s="556">
        <f t="shared" si="7"/>
        <v>12</v>
      </c>
      <c r="V134" s="558">
        <f t="shared" si="10"/>
        <v>2</v>
      </c>
      <c r="W134" s="558"/>
      <c r="X134" s="558"/>
      <c r="Y134" s="558"/>
      <c r="Z134" s="558"/>
      <c r="AA134" s="558"/>
      <c r="AB134" s="605" t="s">
        <v>1205</v>
      </c>
      <c r="AC134" s="606" t="s">
        <v>1306</v>
      </c>
      <c r="AD134" s="628">
        <v>1.47</v>
      </c>
      <c r="AE134" s="588"/>
    </row>
    <row r="135" spans="1:31" ht="16" thickBot="1">
      <c r="A135" s="555" t="str">
        <f t="shared" si="11"/>
        <v>12.3</v>
      </c>
      <c r="B135" s="782" t="s">
        <v>1206</v>
      </c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83"/>
      <c r="N135" s="783"/>
      <c r="O135" s="784"/>
      <c r="P135" s="779" t="str">
        <f t="shared" si="6"/>
        <v>м3</v>
      </c>
      <c r="Q135" s="780"/>
      <c r="R135" s="1284" t="str">
        <f t="shared" si="9"/>
        <v>1,03</v>
      </c>
      <c r="S135" s="1285"/>
      <c r="T135" s="1286"/>
      <c r="U135" s="556">
        <f t="shared" si="7"/>
        <v>12</v>
      </c>
      <c r="V135" s="558">
        <f t="shared" si="10"/>
        <v>3</v>
      </c>
      <c r="W135" s="558"/>
      <c r="X135" s="558"/>
      <c r="Y135" s="558"/>
      <c r="Z135" s="558"/>
      <c r="AA135" s="558"/>
      <c r="AB135" s="605" t="s">
        <v>1206</v>
      </c>
      <c r="AC135" s="606" t="s">
        <v>1306</v>
      </c>
      <c r="AD135" s="628">
        <v>1.03</v>
      </c>
      <c r="AE135" s="588"/>
    </row>
    <row r="136" spans="1:31" ht="16" thickBot="1">
      <c r="A136" s="555" t="str">
        <f t="shared" si="11"/>
        <v>12.4</v>
      </c>
      <c r="B136" s="782" t="s">
        <v>1207</v>
      </c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83"/>
      <c r="N136" s="783"/>
      <c r="O136" s="784"/>
      <c r="P136" s="779" t="str">
        <f t="shared" si="6"/>
        <v>м3</v>
      </c>
      <c r="Q136" s="780"/>
      <c r="R136" s="1284" t="str">
        <f t="shared" si="9"/>
        <v>0,44</v>
      </c>
      <c r="S136" s="1285"/>
      <c r="T136" s="1286"/>
      <c r="U136" s="556">
        <f t="shared" si="7"/>
        <v>12</v>
      </c>
      <c r="V136" s="558">
        <f t="shared" si="10"/>
        <v>4</v>
      </c>
      <c r="W136" s="558"/>
      <c r="X136" s="558"/>
      <c r="Y136" s="558"/>
      <c r="Z136" s="558"/>
      <c r="AA136" s="558"/>
      <c r="AB136" s="605" t="s">
        <v>1207</v>
      </c>
      <c r="AC136" s="606" t="s">
        <v>1306</v>
      </c>
      <c r="AD136" s="628">
        <v>0.44</v>
      </c>
      <c r="AE136" s="588"/>
    </row>
    <row r="137" spans="1:31" ht="16" thickBot="1">
      <c r="A137" s="555" t="str">
        <f t="shared" si="11"/>
        <v>12.5</v>
      </c>
      <c r="B137" s="782" t="s">
        <v>1208</v>
      </c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83"/>
      <c r="N137" s="783"/>
      <c r="O137" s="784"/>
      <c r="P137" s="779" t="str">
        <f t="shared" si="6"/>
        <v>м3</v>
      </c>
      <c r="Q137" s="780"/>
      <c r="R137" s="1284" t="str">
        <f t="shared" si="9"/>
        <v>1,03</v>
      </c>
      <c r="S137" s="1285"/>
      <c r="T137" s="1286"/>
      <c r="U137" s="556">
        <f t="shared" si="7"/>
        <v>12</v>
      </c>
      <c r="V137" s="558">
        <f t="shared" si="10"/>
        <v>5</v>
      </c>
      <c r="W137" s="558"/>
      <c r="X137" s="558"/>
      <c r="Y137" s="558"/>
      <c r="Z137" s="558"/>
      <c r="AA137" s="558"/>
      <c r="AB137" s="605" t="s">
        <v>1208</v>
      </c>
      <c r="AC137" s="606" t="s">
        <v>1306</v>
      </c>
      <c r="AD137" s="628">
        <v>1.03</v>
      </c>
      <c r="AE137" s="588"/>
    </row>
    <row r="138" spans="1:31" ht="16" thickBot="1">
      <c r="A138" s="555" t="str">
        <f t="shared" si="11"/>
        <v>12.6</v>
      </c>
      <c r="B138" s="782" t="s">
        <v>1309</v>
      </c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83"/>
      <c r="N138" s="783"/>
      <c r="O138" s="784"/>
      <c r="P138" s="779" t="str">
        <f t="shared" ref="P138:P201" si="12">CONCATENATE(AC138)</f>
        <v>м3</v>
      </c>
      <c r="Q138" s="780"/>
      <c r="R138" s="1284" t="str">
        <f t="shared" ref="R138:R201" si="13">CONCATENATE(AD138)</f>
        <v>0,44</v>
      </c>
      <c r="S138" s="1285"/>
      <c r="T138" s="1286"/>
      <c r="U138" s="556">
        <f t="shared" ref="U138:U201" si="14">U137</f>
        <v>12</v>
      </c>
      <c r="V138" s="558">
        <f t="shared" ref="V138:V201" si="15">V137+1</f>
        <v>6</v>
      </c>
      <c r="W138" s="558"/>
      <c r="X138" s="558"/>
      <c r="Y138" s="558"/>
      <c r="Z138" s="558"/>
      <c r="AA138" s="558"/>
      <c r="AB138" s="605" t="s">
        <v>1309</v>
      </c>
      <c r="AC138" s="606" t="s">
        <v>1306</v>
      </c>
      <c r="AD138" s="628">
        <v>0.44</v>
      </c>
      <c r="AE138" s="588"/>
    </row>
    <row r="139" spans="1:31" ht="16" thickBot="1">
      <c r="A139" s="555" t="str">
        <f t="shared" si="11"/>
        <v>12.7</v>
      </c>
      <c r="B139" s="782" t="s">
        <v>1310</v>
      </c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783"/>
      <c r="O139" s="784"/>
      <c r="P139" s="779" t="str">
        <f t="shared" si="12"/>
        <v/>
      </c>
      <c r="Q139" s="780"/>
      <c r="R139" s="1284" t="str">
        <f t="shared" si="13"/>
        <v/>
      </c>
      <c r="S139" s="1285"/>
      <c r="T139" s="1286"/>
      <c r="U139" s="556">
        <f t="shared" si="14"/>
        <v>12</v>
      </c>
      <c r="V139" s="558">
        <f t="shared" si="15"/>
        <v>7</v>
      </c>
      <c r="W139" s="558"/>
      <c r="X139" s="558"/>
      <c r="Y139" s="558"/>
      <c r="Z139" s="558"/>
      <c r="AA139" s="558"/>
      <c r="AB139" s="605" t="s">
        <v>1310</v>
      </c>
      <c r="AC139" s="589"/>
      <c r="AD139" s="590"/>
      <c r="AE139" s="588"/>
    </row>
    <row r="140" spans="1:31" ht="16" thickBot="1">
      <c r="A140" s="555" t="str">
        <f t="shared" si="11"/>
        <v>12.8</v>
      </c>
      <c r="B140" s="782" t="s">
        <v>1311</v>
      </c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83"/>
      <c r="N140" s="783"/>
      <c r="O140" s="784"/>
      <c r="P140" s="779" t="str">
        <f t="shared" si="12"/>
        <v>шт./м</v>
      </c>
      <c r="Q140" s="780"/>
      <c r="R140" s="1296" t="s">
        <v>1424</v>
      </c>
      <c r="S140" s="1297"/>
      <c r="T140" s="1298"/>
      <c r="U140" s="556">
        <f t="shared" si="14"/>
        <v>12</v>
      </c>
      <c r="V140" s="558">
        <f t="shared" si="15"/>
        <v>8</v>
      </c>
      <c r="W140" s="558"/>
      <c r="X140" s="558"/>
      <c r="Y140" s="558"/>
      <c r="Z140" s="558"/>
      <c r="AA140" s="558"/>
      <c r="AB140" s="605" t="s">
        <v>1311</v>
      </c>
      <c r="AC140" s="606" t="s">
        <v>1209</v>
      </c>
      <c r="AD140" s="638">
        <v>45569</v>
      </c>
      <c r="AE140" s="588"/>
    </row>
    <row r="141" spans="1:31" ht="29.5" thickBot="1">
      <c r="A141" s="555" t="str">
        <f t="shared" si="11"/>
        <v>12.9</v>
      </c>
      <c r="B141" s="782" t="s">
        <v>1312</v>
      </c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83"/>
      <c r="N141" s="783"/>
      <c r="O141" s="784"/>
      <c r="P141" s="779" t="str">
        <f t="shared" si="12"/>
        <v>шт./м</v>
      </c>
      <c r="Q141" s="780"/>
      <c r="R141" s="1296" t="s">
        <v>1425</v>
      </c>
      <c r="S141" s="1297"/>
      <c r="T141" s="1298"/>
      <c r="U141" s="556">
        <f t="shared" si="14"/>
        <v>12</v>
      </c>
      <c r="V141" s="558">
        <f t="shared" si="15"/>
        <v>9</v>
      </c>
      <c r="W141" s="558"/>
      <c r="X141" s="558"/>
      <c r="Y141" s="558"/>
      <c r="Z141" s="558"/>
      <c r="AA141" s="558"/>
      <c r="AB141" s="605" t="s">
        <v>1312</v>
      </c>
      <c r="AC141" s="606" t="s">
        <v>1209</v>
      </c>
      <c r="AD141" s="638">
        <v>45445</v>
      </c>
      <c r="AE141" s="588"/>
    </row>
    <row r="142" spans="1:31" ht="29.5" thickBot="1">
      <c r="A142" s="555" t="str">
        <f t="shared" si="11"/>
        <v>12.10</v>
      </c>
      <c r="B142" s="782" t="s">
        <v>1313</v>
      </c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83"/>
      <c r="N142" s="783"/>
      <c r="O142" s="784"/>
      <c r="P142" s="779" t="str">
        <f t="shared" si="12"/>
        <v>шт./м</v>
      </c>
      <c r="Q142" s="780"/>
      <c r="R142" s="1284" t="str">
        <f t="shared" si="13"/>
        <v>2/2,6</v>
      </c>
      <c r="S142" s="1285"/>
      <c r="T142" s="1286"/>
      <c r="U142" s="556">
        <f t="shared" si="14"/>
        <v>12</v>
      </c>
      <c r="V142" s="558">
        <f t="shared" si="15"/>
        <v>10</v>
      </c>
      <c r="W142" s="558"/>
      <c r="X142" s="558"/>
      <c r="Y142" s="558"/>
      <c r="Z142" s="558"/>
      <c r="AA142" s="558"/>
      <c r="AB142" s="605" t="s">
        <v>1313</v>
      </c>
      <c r="AC142" s="606" t="s">
        <v>1209</v>
      </c>
      <c r="AD142" s="629" t="s">
        <v>1314</v>
      </c>
      <c r="AE142" s="588"/>
    </row>
    <row r="143" spans="1:31" ht="44" thickBot="1">
      <c r="A143" s="555" t="str">
        <f t="shared" si="11"/>
        <v>12.11</v>
      </c>
      <c r="B143" s="782" t="s">
        <v>1315</v>
      </c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83"/>
      <c r="N143" s="783"/>
      <c r="O143" s="784"/>
      <c r="P143" s="779" t="str">
        <f t="shared" si="12"/>
        <v>шт.</v>
      </c>
      <c r="Q143" s="780"/>
      <c r="R143" s="1284" t="str">
        <f t="shared" si="13"/>
        <v>4</v>
      </c>
      <c r="S143" s="1285"/>
      <c r="T143" s="1286"/>
      <c r="U143" s="556">
        <f t="shared" si="14"/>
        <v>12</v>
      </c>
      <c r="V143" s="558">
        <f t="shared" si="15"/>
        <v>11</v>
      </c>
      <c r="W143" s="557"/>
      <c r="X143" s="557"/>
      <c r="Y143" s="557"/>
      <c r="Z143" s="557"/>
      <c r="AA143" s="557"/>
      <c r="AB143" s="605" t="s">
        <v>1315</v>
      </c>
      <c r="AC143" s="606" t="s">
        <v>1194</v>
      </c>
      <c r="AD143" s="628">
        <v>4</v>
      </c>
      <c r="AE143" s="588"/>
    </row>
    <row r="144" spans="1:31" ht="29.5" thickBot="1">
      <c r="A144" s="555" t="str">
        <f t="shared" si="11"/>
        <v>12.12</v>
      </c>
      <c r="B144" s="782" t="s">
        <v>1316</v>
      </c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83"/>
      <c r="N144" s="783"/>
      <c r="O144" s="784"/>
      <c r="P144" s="779" t="str">
        <f t="shared" si="12"/>
        <v>шт./м</v>
      </c>
      <c r="Q144" s="780"/>
      <c r="R144" s="1284" t="str">
        <f t="shared" si="13"/>
        <v>2/13,2</v>
      </c>
      <c r="S144" s="1285"/>
      <c r="T144" s="1286"/>
      <c r="U144" s="556">
        <f t="shared" si="14"/>
        <v>12</v>
      </c>
      <c r="V144" s="558">
        <f t="shared" si="15"/>
        <v>12</v>
      </c>
      <c r="W144" s="557"/>
      <c r="X144" s="557"/>
      <c r="Y144" s="557"/>
      <c r="Z144" s="557"/>
      <c r="AA144" s="557"/>
      <c r="AB144" s="605" t="s">
        <v>1316</v>
      </c>
      <c r="AC144" s="606" t="s">
        <v>1209</v>
      </c>
      <c r="AD144" s="629" t="s">
        <v>1317</v>
      </c>
      <c r="AE144" s="588"/>
    </row>
    <row r="145" spans="1:31" ht="16" thickBot="1">
      <c r="A145" s="555" t="str">
        <f t="shared" si="11"/>
        <v>12.13</v>
      </c>
      <c r="B145" s="782" t="s">
        <v>1318</v>
      </c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83"/>
      <c r="N145" s="783"/>
      <c r="O145" s="784"/>
      <c r="P145" s="779" t="str">
        <f t="shared" si="12"/>
        <v>м</v>
      </c>
      <c r="Q145" s="780"/>
      <c r="R145" s="1284" t="str">
        <f t="shared" si="13"/>
        <v>1,4</v>
      </c>
      <c r="S145" s="1285"/>
      <c r="T145" s="1286"/>
      <c r="U145" s="556">
        <f t="shared" si="14"/>
        <v>12</v>
      </c>
      <c r="V145" s="558">
        <f t="shared" si="15"/>
        <v>13</v>
      </c>
      <c r="W145" s="557"/>
      <c r="X145" s="557"/>
      <c r="Y145" s="557"/>
      <c r="Z145" s="557"/>
      <c r="AA145" s="557"/>
      <c r="AB145" s="605" t="s">
        <v>1318</v>
      </c>
      <c r="AC145" s="606" t="s">
        <v>1159</v>
      </c>
      <c r="AD145" s="628">
        <v>1.4</v>
      </c>
      <c r="AE145" s="588"/>
    </row>
    <row r="146" spans="1:31" ht="29.5" thickBot="1">
      <c r="A146" s="555" t="str">
        <f t="shared" si="11"/>
        <v>12.14</v>
      </c>
      <c r="B146" s="782" t="s">
        <v>1319</v>
      </c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83"/>
      <c r="N146" s="783"/>
      <c r="O146" s="784"/>
      <c r="P146" s="779" t="str">
        <f t="shared" si="12"/>
        <v>шт.</v>
      </c>
      <c r="Q146" s="780"/>
      <c r="R146" s="1284" t="str">
        <f t="shared" si="13"/>
        <v>2</v>
      </c>
      <c r="S146" s="1285"/>
      <c r="T146" s="1286"/>
      <c r="U146" s="556">
        <f t="shared" si="14"/>
        <v>12</v>
      </c>
      <c r="V146" s="558">
        <f t="shared" si="15"/>
        <v>14</v>
      </c>
      <c r="W146" s="557"/>
      <c r="X146" s="557"/>
      <c r="Y146" s="557"/>
      <c r="Z146" s="557"/>
      <c r="AA146" s="557"/>
      <c r="AB146" s="605" t="s">
        <v>1319</v>
      </c>
      <c r="AC146" s="606" t="s">
        <v>1194</v>
      </c>
      <c r="AD146" s="628">
        <v>2</v>
      </c>
      <c r="AE146" s="588"/>
    </row>
    <row r="147" spans="1:31" ht="16" thickBot="1">
      <c r="A147" s="555" t="str">
        <f t="shared" si="11"/>
        <v>12.15</v>
      </c>
      <c r="B147" s="782" t="s">
        <v>1320</v>
      </c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83"/>
      <c r="N147" s="783"/>
      <c r="O147" s="784"/>
      <c r="P147" s="779" t="str">
        <f t="shared" si="12"/>
        <v>шт./м</v>
      </c>
      <c r="Q147" s="780"/>
      <c r="R147" s="1284" t="str">
        <f t="shared" si="13"/>
        <v>6/1,14</v>
      </c>
      <c r="S147" s="1285"/>
      <c r="T147" s="1286"/>
      <c r="U147" s="556">
        <f t="shared" si="14"/>
        <v>12</v>
      </c>
      <c r="V147" s="558">
        <f t="shared" si="15"/>
        <v>15</v>
      </c>
      <c r="W147" s="557"/>
      <c r="X147" s="557"/>
      <c r="Y147" s="557"/>
      <c r="Z147" s="557"/>
      <c r="AA147" s="557"/>
      <c r="AB147" s="605" t="s">
        <v>1320</v>
      </c>
      <c r="AC147" s="606" t="s">
        <v>1209</v>
      </c>
      <c r="AD147" s="629" t="s">
        <v>1321</v>
      </c>
      <c r="AE147" s="588"/>
    </row>
    <row r="148" spans="1:31" ht="29.5" thickBot="1">
      <c r="A148" s="555" t="str">
        <f t="shared" si="11"/>
        <v>12.16</v>
      </c>
      <c r="B148" s="782" t="s">
        <v>1408</v>
      </c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83"/>
      <c r="N148" s="783"/>
      <c r="O148" s="784"/>
      <c r="P148" s="779" t="str">
        <f t="shared" si="12"/>
        <v>шт./м2</v>
      </c>
      <c r="Q148" s="780"/>
      <c r="R148" s="1284" t="str">
        <f t="shared" si="13"/>
        <v>6/0,0132</v>
      </c>
      <c r="S148" s="1285"/>
      <c r="T148" s="1286"/>
      <c r="U148" s="556">
        <f t="shared" si="14"/>
        <v>12</v>
      </c>
      <c r="V148" s="558">
        <f t="shared" si="15"/>
        <v>16</v>
      </c>
      <c r="W148" s="557"/>
      <c r="X148" s="557"/>
      <c r="Y148" s="557"/>
      <c r="Z148" s="557"/>
      <c r="AA148" s="557"/>
      <c r="AB148" s="605" t="s">
        <v>1322</v>
      </c>
      <c r="AC148" s="606" t="s">
        <v>1323</v>
      </c>
      <c r="AD148" s="639" t="s">
        <v>1324</v>
      </c>
      <c r="AE148" s="588"/>
    </row>
    <row r="149" spans="1:31" ht="29.5" thickBot="1">
      <c r="A149" s="555" t="str">
        <f t="shared" si="11"/>
        <v>12.17</v>
      </c>
      <c r="B149" s="782" t="s">
        <v>1325</v>
      </c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83"/>
      <c r="N149" s="783"/>
      <c r="O149" s="784"/>
      <c r="P149" s="779" t="str">
        <f t="shared" si="12"/>
        <v>м3</v>
      </c>
      <c r="Q149" s="780"/>
      <c r="R149" s="1284" t="str">
        <f t="shared" si="13"/>
        <v>5,88</v>
      </c>
      <c r="S149" s="1285"/>
      <c r="T149" s="1286"/>
      <c r="U149" s="556">
        <f t="shared" si="14"/>
        <v>12</v>
      </c>
      <c r="V149" s="558">
        <f t="shared" si="15"/>
        <v>17</v>
      </c>
      <c r="W149" s="557"/>
      <c r="X149" s="557"/>
      <c r="Y149" s="557"/>
      <c r="Z149" s="557"/>
      <c r="AA149" s="557"/>
      <c r="AB149" s="624" t="s">
        <v>1325</v>
      </c>
      <c r="AC149" s="606" t="s">
        <v>1306</v>
      </c>
      <c r="AD149" s="634">
        <v>5.88</v>
      </c>
      <c r="AE149" s="588"/>
    </row>
    <row r="150" spans="1:31" ht="16" thickBot="1">
      <c r="A150" s="555" t="str">
        <f t="shared" si="11"/>
        <v>12.18</v>
      </c>
      <c r="B150" s="782" t="s">
        <v>1205</v>
      </c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83"/>
      <c r="N150" s="783"/>
      <c r="O150" s="784"/>
      <c r="P150" s="779" t="str">
        <f t="shared" si="12"/>
        <v>м3</v>
      </c>
      <c r="Q150" s="780"/>
      <c r="R150" s="1284" t="str">
        <f t="shared" si="13"/>
        <v>1,47</v>
      </c>
      <c r="S150" s="1285"/>
      <c r="T150" s="1286"/>
      <c r="U150" s="556">
        <f t="shared" si="14"/>
        <v>12</v>
      </c>
      <c r="V150" s="558">
        <f t="shared" si="15"/>
        <v>18</v>
      </c>
      <c r="W150" s="557"/>
      <c r="X150" s="557"/>
      <c r="Y150" s="557"/>
      <c r="Z150" s="557"/>
      <c r="AA150" s="557"/>
      <c r="AB150" s="605" t="s">
        <v>1205</v>
      </c>
      <c r="AC150" s="606" t="s">
        <v>1306</v>
      </c>
      <c r="AD150" s="628">
        <v>1.47</v>
      </c>
      <c r="AE150" s="588"/>
    </row>
    <row r="151" spans="1:31" ht="16" thickBot="1">
      <c r="A151" s="555" t="str">
        <f t="shared" si="11"/>
        <v>12.19</v>
      </c>
      <c r="B151" s="782" t="s">
        <v>1206</v>
      </c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83"/>
      <c r="N151" s="783"/>
      <c r="O151" s="784"/>
      <c r="P151" s="779" t="str">
        <f t="shared" si="12"/>
        <v>м3</v>
      </c>
      <c r="Q151" s="780"/>
      <c r="R151" s="1284" t="str">
        <f t="shared" si="13"/>
        <v>1,03</v>
      </c>
      <c r="S151" s="1285"/>
      <c r="T151" s="1286"/>
      <c r="U151" s="556">
        <f t="shared" si="14"/>
        <v>12</v>
      </c>
      <c r="V151" s="558">
        <f t="shared" si="15"/>
        <v>19</v>
      </c>
      <c r="W151" s="557"/>
      <c r="X151" s="557"/>
      <c r="Y151" s="557"/>
      <c r="Z151" s="557"/>
      <c r="AA151" s="557"/>
      <c r="AB151" s="605" t="s">
        <v>1206</v>
      </c>
      <c r="AC151" s="606" t="s">
        <v>1306</v>
      </c>
      <c r="AD151" s="628">
        <v>1.03</v>
      </c>
      <c r="AE151" s="588"/>
    </row>
    <row r="152" spans="1:31" ht="16" thickBot="1">
      <c r="A152" s="554" t="str">
        <f t="shared" si="11"/>
        <v>13.</v>
      </c>
      <c r="B152" s="785" t="s">
        <v>1326</v>
      </c>
      <c r="C152" s="786"/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7"/>
      <c r="P152" s="779" t="str">
        <f t="shared" si="12"/>
        <v/>
      </c>
      <c r="Q152" s="780"/>
      <c r="R152" s="1284" t="str">
        <f t="shared" si="13"/>
        <v/>
      </c>
      <c r="S152" s="1285"/>
      <c r="T152" s="1286"/>
      <c r="U152" s="556">
        <v>13</v>
      </c>
      <c r="V152" s="558"/>
      <c r="W152" s="557"/>
      <c r="X152" s="557"/>
      <c r="Y152" s="557"/>
      <c r="Z152" s="557"/>
      <c r="AA152" s="557"/>
      <c r="AB152" s="602" t="s">
        <v>1326</v>
      </c>
      <c r="AC152" s="603"/>
      <c r="AD152" s="630"/>
      <c r="AE152" s="588"/>
    </row>
    <row r="153" spans="1:31" ht="16" thickBot="1">
      <c r="A153" s="555" t="str">
        <f t="shared" si="11"/>
        <v>13.1</v>
      </c>
      <c r="B153" s="782" t="s">
        <v>1327</v>
      </c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83"/>
      <c r="N153" s="783"/>
      <c r="O153" s="784"/>
      <c r="P153" s="779" t="str">
        <f t="shared" si="12"/>
        <v>шт.</v>
      </c>
      <c r="Q153" s="780"/>
      <c r="R153" s="1284" t="str">
        <f t="shared" si="13"/>
        <v>12</v>
      </c>
      <c r="S153" s="1285"/>
      <c r="T153" s="1286"/>
      <c r="U153" s="556">
        <f t="shared" si="14"/>
        <v>13</v>
      </c>
      <c r="V153" s="558">
        <f t="shared" si="15"/>
        <v>1</v>
      </c>
      <c r="W153" s="557"/>
      <c r="X153" s="557"/>
      <c r="Y153" s="557"/>
      <c r="Z153" s="557"/>
      <c r="AA153" s="557"/>
      <c r="AB153" s="605" t="s">
        <v>1327</v>
      </c>
      <c r="AC153" s="606" t="s">
        <v>1194</v>
      </c>
      <c r="AD153" s="628">
        <v>12</v>
      </c>
      <c r="AE153" s="588"/>
    </row>
    <row r="154" spans="1:31" ht="16" thickBot="1">
      <c r="A154" s="555" t="str">
        <f t="shared" si="11"/>
        <v>13.2</v>
      </c>
      <c r="B154" s="782" t="s">
        <v>1328</v>
      </c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83"/>
      <c r="N154" s="783"/>
      <c r="O154" s="784"/>
      <c r="P154" s="779" t="str">
        <f t="shared" si="12"/>
        <v>шт.</v>
      </c>
      <c r="Q154" s="780"/>
      <c r="R154" s="1284" t="str">
        <f t="shared" si="13"/>
        <v>3</v>
      </c>
      <c r="S154" s="1285"/>
      <c r="T154" s="1286"/>
      <c r="U154" s="556">
        <f t="shared" si="14"/>
        <v>13</v>
      </c>
      <c r="V154" s="558">
        <f t="shared" si="15"/>
        <v>2</v>
      </c>
      <c r="W154" s="557"/>
      <c r="X154" s="557"/>
      <c r="Y154" s="557"/>
      <c r="Z154" s="557"/>
      <c r="AA154" s="557"/>
      <c r="AB154" s="605" t="s">
        <v>1328</v>
      </c>
      <c r="AC154" s="606" t="s">
        <v>1194</v>
      </c>
      <c r="AD154" s="628">
        <v>3</v>
      </c>
      <c r="AE154" s="588"/>
    </row>
    <row r="155" spans="1:31" ht="16" thickBot="1">
      <c r="A155" s="555" t="str">
        <f t="shared" si="11"/>
        <v>13.3</v>
      </c>
      <c r="B155" s="782" t="s">
        <v>1329</v>
      </c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83"/>
      <c r="N155" s="783"/>
      <c r="O155" s="784"/>
      <c r="P155" s="779" t="str">
        <f t="shared" si="12"/>
        <v>шт.</v>
      </c>
      <c r="Q155" s="780"/>
      <c r="R155" s="1284" t="str">
        <f t="shared" si="13"/>
        <v>16</v>
      </c>
      <c r="S155" s="1285"/>
      <c r="T155" s="1286"/>
      <c r="U155" s="556">
        <f t="shared" si="14"/>
        <v>13</v>
      </c>
      <c r="V155" s="558">
        <f t="shared" si="15"/>
        <v>3</v>
      </c>
      <c r="W155" s="557"/>
      <c r="X155" s="557"/>
      <c r="Y155" s="557"/>
      <c r="Z155" s="557"/>
      <c r="AA155" s="557"/>
      <c r="AB155" s="605" t="s">
        <v>1329</v>
      </c>
      <c r="AC155" s="606" t="s">
        <v>1194</v>
      </c>
      <c r="AD155" s="628">
        <v>16</v>
      </c>
      <c r="AE155" s="588"/>
    </row>
    <row r="156" spans="1:31" ht="16" thickBot="1">
      <c r="A156" s="555" t="str">
        <f t="shared" si="11"/>
        <v>13.4</v>
      </c>
      <c r="B156" s="782" t="s">
        <v>1330</v>
      </c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83"/>
      <c r="N156" s="783"/>
      <c r="O156" s="784"/>
      <c r="P156" s="779" t="str">
        <f t="shared" si="12"/>
        <v/>
      </c>
      <c r="Q156" s="780"/>
      <c r="R156" s="1284" t="str">
        <f t="shared" si="13"/>
        <v/>
      </c>
      <c r="S156" s="1285"/>
      <c r="T156" s="1286"/>
      <c r="U156" s="556">
        <f t="shared" si="14"/>
        <v>13</v>
      </c>
      <c r="V156" s="558">
        <f t="shared" si="15"/>
        <v>4</v>
      </c>
      <c r="W156" s="557"/>
      <c r="X156" s="557"/>
      <c r="Y156" s="557"/>
      <c r="Z156" s="557"/>
      <c r="AA156" s="557"/>
      <c r="AB156" s="602" t="s">
        <v>1330</v>
      </c>
      <c r="AC156" s="603"/>
      <c r="AD156" s="630"/>
      <c r="AE156" s="588"/>
    </row>
    <row r="157" spans="1:31" ht="16" thickBot="1">
      <c r="A157" s="555" t="str">
        <f t="shared" si="11"/>
        <v>13.5</v>
      </c>
      <c r="B157" s="782" t="s">
        <v>1331</v>
      </c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83"/>
      <c r="N157" s="783"/>
      <c r="O157" s="784"/>
      <c r="P157" s="779" t="str">
        <f t="shared" si="12"/>
        <v>м/прол.</v>
      </c>
      <c r="Q157" s="780"/>
      <c r="R157" s="1284" t="str">
        <f>CONCATENATE(176.4*2,"/","6")</f>
        <v>352,8/6</v>
      </c>
      <c r="S157" s="1285"/>
      <c r="T157" s="1286"/>
      <c r="U157" s="556">
        <f t="shared" si="14"/>
        <v>13</v>
      </c>
      <c r="V157" s="558">
        <f t="shared" si="15"/>
        <v>5</v>
      </c>
      <c r="W157" s="557"/>
      <c r="X157" s="557"/>
      <c r="Y157" s="557"/>
      <c r="Z157" s="557"/>
      <c r="AA157" s="557"/>
      <c r="AB157" s="605" t="s">
        <v>1331</v>
      </c>
      <c r="AC157" s="606" t="s">
        <v>1211</v>
      </c>
      <c r="AD157" s="629" t="s">
        <v>1332</v>
      </c>
      <c r="AE157" s="588"/>
    </row>
    <row r="158" spans="1:31" ht="16" thickBot="1">
      <c r="A158" s="555" t="str">
        <f t="shared" si="11"/>
        <v>13.6</v>
      </c>
      <c r="B158" s="782" t="s">
        <v>1333</v>
      </c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83"/>
      <c r="N158" s="783"/>
      <c r="O158" s="784"/>
      <c r="P158" s="779" t="str">
        <f t="shared" si="12"/>
        <v>м</v>
      </c>
      <c r="Q158" s="780"/>
      <c r="R158" s="1293">
        <f>352.8*1.045</f>
        <v>368.67599999999999</v>
      </c>
      <c r="S158" s="1294"/>
      <c r="T158" s="1295"/>
      <c r="U158" s="556">
        <f t="shared" si="14"/>
        <v>13</v>
      </c>
      <c r="V158" s="558">
        <f t="shared" si="15"/>
        <v>6</v>
      </c>
      <c r="W158" s="557"/>
      <c r="X158" s="557"/>
      <c r="Y158" s="557"/>
      <c r="Z158" s="557"/>
      <c r="AA158" s="557"/>
      <c r="AB158" s="605" t="s">
        <v>1333</v>
      </c>
      <c r="AC158" s="606" t="s">
        <v>1159</v>
      </c>
      <c r="AD158" s="628">
        <v>374</v>
      </c>
      <c r="AE158" s="588"/>
    </row>
    <row r="159" spans="1:31" ht="43.5">
      <c r="A159" s="555" t="str">
        <f t="shared" si="11"/>
        <v>13.7</v>
      </c>
      <c r="B159" s="782" t="s">
        <v>1334</v>
      </c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83"/>
      <c r="N159" s="783"/>
      <c r="O159" s="784"/>
      <c r="P159" s="779" t="str">
        <f t="shared" si="12"/>
        <v>м/прол.</v>
      </c>
      <c r="Q159" s="780"/>
      <c r="R159" s="1284" t="str">
        <f>R157</f>
        <v>352,8/6</v>
      </c>
      <c r="S159" s="1285"/>
      <c r="T159" s="1286"/>
      <c r="U159" s="556">
        <f t="shared" si="14"/>
        <v>13</v>
      </c>
      <c r="V159" s="558">
        <f t="shared" si="15"/>
        <v>7</v>
      </c>
      <c r="W159" s="557"/>
      <c r="X159" s="557"/>
      <c r="Y159" s="557"/>
      <c r="Z159" s="557"/>
      <c r="AA159" s="557"/>
      <c r="AB159" s="624" t="s">
        <v>1334</v>
      </c>
      <c r="AC159" s="613" t="s">
        <v>1211</v>
      </c>
      <c r="AD159" s="640" t="s">
        <v>1332</v>
      </c>
      <c r="AE159" s="588"/>
    </row>
    <row r="160" spans="1:31" ht="16" thickBot="1">
      <c r="A160" s="555" t="str">
        <f t="shared" si="11"/>
        <v>13.8</v>
      </c>
      <c r="B160" s="782" t="s">
        <v>1335</v>
      </c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83"/>
      <c r="N160" s="783"/>
      <c r="O160" s="784"/>
      <c r="P160" s="779" t="str">
        <f t="shared" si="12"/>
        <v>шт.</v>
      </c>
      <c r="Q160" s="780"/>
      <c r="R160" s="1284" t="str">
        <f t="shared" si="13"/>
        <v>20</v>
      </c>
      <c r="S160" s="1285"/>
      <c r="T160" s="1286"/>
      <c r="U160" s="556">
        <f t="shared" si="14"/>
        <v>13</v>
      </c>
      <c r="V160" s="558">
        <f t="shared" si="15"/>
        <v>8</v>
      </c>
      <c r="W160" s="557"/>
      <c r="X160" s="557"/>
      <c r="Y160" s="557"/>
      <c r="Z160" s="557"/>
      <c r="AA160" s="557"/>
      <c r="AB160" s="605" t="s">
        <v>1335</v>
      </c>
      <c r="AC160" s="606" t="s">
        <v>1194</v>
      </c>
      <c r="AD160" s="628">
        <v>20</v>
      </c>
      <c r="AE160" s="588"/>
    </row>
    <row r="161" spans="1:31" ht="16" thickBot="1">
      <c r="A161" s="554" t="str">
        <f t="shared" si="11"/>
        <v>14.</v>
      </c>
      <c r="B161" s="785" t="s">
        <v>1336</v>
      </c>
      <c r="C161" s="786"/>
      <c r="D161" s="786"/>
      <c r="E161" s="786"/>
      <c r="F161" s="786"/>
      <c r="G161" s="786"/>
      <c r="H161" s="786"/>
      <c r="I161" s="786"/>
      <c r="J161" s="786"/>
      <c r="K161" s="786"/>
      <c r="L161" s="786"/>
      <c r="M161" s="786"/>
      <c r="N161" s="786"/>
      <c r="O161" s="787"/>
      <c r="P161" s="779" t="str">
        <f t="shared" si="12"/>
        <v/>
      </c>
      <c r="Q161" s="780"/>
      <c r="R161" s="1284" t="str">
        <f t="shared" si="13"/>
        <v/>
      </c>
      <c r="S161" s="1285"/>
      <c r="T161" s="1286"/>
      <c r="U161" s="556">
        <v>14</v>
      </c>
      <c r="V161" s="558"/>
      <c r="W161" s="557"/>
      <c r="X161" s="557"/>
      <c r="Y161" s="557"/>
      <c r="Z161" s="557"/>
      <c r="AA161" s="557"/>
      <c r="AB161" s="602" t="s">
        <v>1336</v>
      </c>
      <c r="AC161" s="603"/>
      <c r="AD161" s="630"/>
      <c r="AE161" s="588"/>
    </row>
    <row r="162" spans="1:31" ht="29.5" thickBot="1">
      <c r="A162" s="555" t="str">
        <f t="shared" si="11"/>
        <v>14.1</v>
      </c>
      <c r="B162" s="782" t="s">
        <v>1337</v>
      </c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83"/>
      <c r="N162" s="783"/>
      <c r="O162" s="784"/>
      <c r="P162" s="779" t="str">
        <f t="shared" si="12"/>
        <v>изм.</v>
      </c>
      <c r="Q162" s="780"/>
      <c r="R162" s="1284" t="str">
        <f t="shared" si="13"/>
        <v>2</v>
      </c>
      <c r="S162" s="1285"/>
      <c r="T162" s="1286"/>
      <c r="U162" s="556">
        <f t="shared" si="14"/>
        <v>14</v>
      </c>
      <c r="V162" s="558">
        <f t="shared" si="15"/>
        <v>1</v>
      </c>
      <c r="W162" s="557"/>
      <c r="X162" s="557"/>
      <c r="Y162" s="557"/>
      <c r="Z162" s="557"/>
      <c r="AA162" s="557"/>
      <c r="AB162" s="605" t="s">
        <v>1337</v>
      </c>
      <c r="AC162" s="606" t="s">
        <v>1213</v>
      </c>
      <c r="AD162" s="628">
        <v>2</v>
      </c>
      <c r="AE162" s="588"/>
    </row>
    <row r="163" spans="1:31" ht="29.5" thickBot="1">
      <c r="A163" s="555" t="str">
        <f t="shared" si="11"/>
        <v>14.2</v>
      </c>
      <c r="B163" s="782" t="s">
        <v>1274</v>
      </c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83"/>
      <c r="N163" s="783"/>
      <c r="O163" s="784"/>
      <c r="P163" s="779" t="str">
        <f t="shared" si="12"/>
        <v>точек</v>
      </c>
      <c r="Q163" s="780"/>
      <c r="R163" s="1284" t="str">
        <f t="shared" si="13"/>
        <v>6</v>
      </c>
      <c r="S163" s="1285"/>
      <c r="T163" s="1286"/>
      <c r="U163" s="556">
        <f t="shared" si="14"/>
        <v>14</v>
      </c>
      <c r="V163" s="558">
        <f t="shared" si="15"/>
        <v>2</v>
      </c>
      <c r="W163" s="557"/>
      <c r="X163" s="557"/>
      <c r="Y163" s="557"/>
      <c r="Z163" s="557"/>
      <c r="AA163" s="557"/>
      <c r="AB163" s="624" t="s">
        <v>1274</v>
      </c>
      <c r="AC163" s="612" t="s">
        <v>1164</v>
      </c>
      <c r="AD163" s="634">
        <v>6</v>
      </c>
      <c r="AE163" s="588"/>
    </row>
    <row r="164" spans="1:31" ht="16" thickBot="1">
      <c r="A164" s="555" t="str">
        <f t="shared" si="11"/>
        <v>14.3</v>
      </c>
      <c r="B164" s="782" t="s">
        <v>1214</v>
      </c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83"/>
      <c r="N164" s="783"/>
      <c r="O164" s="784"/>
      <c r="P164" s="779" t="str">
        <f t="shared" si="12"/>
        <v>изм.</v>
      </c>
      <c r="Q164" s="780"/>
      <c r="R164" s="1284" t="str">
        <f t="shared" si="13"/>
        <v>4</v>
      </c>
      <c r="S164" s="1285"/>
      <c r="T164" s="1286"/>
      <c r="U164" s="556">
        <f t="shared" si="14"/>
        <v>14</v>
      </c>
      <c r="V164" s="558">
        <f t="shared" si="15"/>
        <v>3</v>
      </c>
      <c r="W164" s="557"/>
      <c r="X164" s="557"/>
      <c r="Y164" s="557"/>
      <c r="Z164" s="557"/>
      <c r="AA164" s="557"/>
      <c r="AB164" s="625" t="s">
        <v>1214</v>
      </c>
      <c r="AC164" s="626" t="s">
        <v>1213</v>
      </c>
      <c r="AD164" s="627">
        <v>4</v>
      </c>
      <c r="AE164" s="588"/>
    </row>
    <row r="165" spans="1:31" ht="16" thickBot="1">
      <c r="A165" s="555" t="str">
        <f t="shared" si="11"/>
        <v>14.4</v>
      </c>
      <c r="B165" s="782" t="s">
        <v>1215</v>
      </c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83"/>
      <c r="N165" s="783"/>
      <c r="O165" s="784"/>
      <c r="P165" s="779" t="str">
        <f t="shared" si="12"/>
        <v>изм.</v>
      </c>
      <c r="Q165" s="780"/>
      <c r="R165" s="1284" t="str">
        <f t="shared" si="13"/>
        <v>3</v>
      </c>
      <c r="S165" s="1285"/>
      <c r="T165" s="1286"/>
      <c r="U165" s="556">
        <f t="shared" si="14"/>
        <v>14</v>
      </c>
      <c r="V165" s="558">
        <f t="shared" si="15"/>
        <v>4</v>
      </c>
      <c r="W165" s="557"/>
      <c r="X165" s="557"/>
      <c r="Y165" s="557"/>
      <c r="Z165" s="557"/>
      <c r="AA165" s="557"/>
      <c r="AB165" s="605" t="s">
        <v>1215</v>
      </c>
      <c r="AC165" s="606" t="s">
        <v>1213</v>
      </c>
      <c r="AD165" s="628">
        <v>3</v>
      </c>
      <c r="AE165" s="588"/>
    </row>
    <row r="166" spans="1:31" ht="33" customHeight="1" thickBot="1">
      <c r="A166" s="555" t="str">
        <f t="shared" si="11"/>
        <v>14.5</v>
      </c>
      <c r="B166" s="782" t="s">
        <v>1338</v>
      </c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83"/>
      <c r="N166" s="783"/>
      <c r="O166" s="784"/>
      <c r="P166" s="779" t="str">
        <f t="shared" si="12"/>
        <v>изм.</v>
      </c>
      <c r="Q166" s="780"/>
      <c r="R166" s="1284" t="str">
        <f t="shared" si="13"/>
        <v>1</v>
      </c>
      <c r="S166" s="1285"/>
      <c r="T166" s="1286"/>
      <c r="U166" s="556">
        <f t="shared" si="14"/>
        <v>14</v>
      </c>
      <c r="V166" s="558">
        <f t="shared" si="15"/>
        <v>5</v>
      </c>
      <c r="W166" s="557"/>
      <c r="X166" s="557"/>
      <c r="Y166" s="557"/>
      <c r="Z166" s="557"/>
      <c r="AA166" s="557"/>
      <c r="AB166" s="605" t="s">
        <v>1338</v>
      </c>
      <c r="AC166" s="606" t="s">
        <v>1213</v>
      </c>
      <c r="AD166" s="628">
        <v>1</v>
      </c>
      <c r="AE166" s="588"/>
    </row>
    <row r="167" spans="1:31" ht="16" thickBot="1">
      <c r="A167" s="554" t="str">
        <f t="shared" si="11"/>
        <v>15.</v>
      </c>
      <c r="B167" s="785" t="s">
        <v>1339</v>
      </c>
      <c r="C167" s="786"/>
      <c r="D167" s="786"/>
      <c r="E167" s="786"/>
      <c r="F167" s="786"/>
      <c r="G167" s="786"/>
      <c r="H167" s="786"/>
      <c r="I167" s="786"/>
      <c r="J167" s="786"/>
      <c r="K167" s="786"/>
      <c r="L167" s="786"/>
      <c r="M167" s="786"/>
      <c r="N167" s="786"/>
      <c r="O167" s="787"/>
      <c r="P167" s="779" t="str">
        <f t="shared" si="12"/>
        <v/>
      </c>
      <c r="Q167" s="780"/>
      <c r="R167" s="1284" t="str">
        <f t="shared" si="13"/>
        <v/>
      </c>
      <c r="S167" s="1285"/>
      <c r="T167" s="1286"/>
      <c r="U167" s="556">
        <v>15</v>
      </c>
      <c r="V167" s="558"/>
      <c r="W167" s="557"/>
      <c r="X167" s="557"/>
      <c r="Y167" s="557"/>
      <c r="Z167" s="557"/>
      <c r="AA167" s="557"/>
      <c r="AB167" s="602" t="s">
        <v>1339</v>
      </c>
      <c r="AC167" s="603"/>
      <c r="AD167" s="630"/>
      <c r="AE167" s="588"/>
    </row>
    <row r="168" spans="1:31" ht="30" customHeight="1" thickBot="1">
      <c r="A168" s="555" t="str">
        <f t="shared" si="11"/>
        <v>15.1</v>
      </c>
      <c r="B168" s="782" t="s">
        <v>1409</v>
      </c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83"/>
      <c r="N168" s="783"/>
      <c r="O168" s="784"/>
      <c r="P168" s="779" t="str">
        <f t="shared" si="12"/>
        <v>м/м3</v>
      </c>
      <c r="Q168" s="780"/>
      <c r="R168" s="1284" t="str">
        <f>CONCATENATE(X168,"/",ROUND(X168*0.425,2))</f>
        <v>10,64/4,52</v>
      </c>
      <c r="S168" s="1285"/>
      <c r="T168" s="1286"/>
      <c r="U168" s="556">
        <f t="shared" si="14"/>
        <v>15</v>
      </c>
      <c r="V168" s="558">
        <f t="shared" si="15"/>
        <v>1</v>
      </c>
      <c r="W168" s="557"/>
      <c r="X168" s="600">
        <f>4.8+3.7+2.14</f>
        <v>10.64</v>
      </c>
      <c r="Y168" s="557"/>
      <c r="Z168" s="557"/>
      <c r="AA168" s="557"/>
      <c r="AB168" s="605" t="s">
        <v>1340</v>
      </c>
      <c r="AC168" s="606" t="s">
        <v>1217</v>
      </c>
      <c r="AD168" s="629" t="s">
        <v>1341</v>
      </c>
      <c r="AE168" s="588"/>
    </row>
    <row r="169" spans="1:31" ht="16" thickBot="1">
      <c r="A169" s="555" t="str">
        <f t="shared" si="11"/>
        <v>15.2</v>
      </c>
      <c r="B169" s="782" t="s">
        <v>1207</v>
      </c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83"/>
      <c r="N169" s="783"/>
      <c r="O169" s="784"/>
      <c r="P169" s="779" t="str">
        <f t="shared" si="12"/>
        <v>м3</v>
      </c>
      <c r="Q169" s="780"/>
      <c r="R169" s="1284">
        <f>ROUND(X168*0.425*0.7,2)</f>
        <v>3.17</v>
      </c>
      <c r="S169" s="1285"/>
      <c r="T169" s="1286"/>
      <c r="U169" s="556">
        <f t="shared" si="14"/>
        <v>15</v>
      </c>
      <c r="V169" s="558">
        <f t="shared" si="15"/>
        <v>2</v>
      </c>
      <c r="W169" s="557"/>
      <c r="X169" s="557"/>
      <c r="Y169" s="557"/>
      <c r="Z169" s="557"/>
      <c r="AA169" s="557"/>
      <c r="AB169" s="605" t="s">
        <v>1207</v>
      </c>
      <c r="AC169" s="606" t="s">
        <v>1163</v>
      </c>
      <c r="AD169" s="628">
        <v>6.24</v>
      </c>
      <c r="AE169" s="588"/>
    </row>
    <row r="170" spans="1:31" ht="16" thickBot="1">
      <c r="A170" s="555" t="str">
        <f t="shared" si="11"/>
        <v>15.3</v>
      </c>
      <c r="B170" s="782" t="s">
        <v>1208</v>
      </c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83"/>
      <c r="N170" s="783"/>
      <c r="O170" s="784"/>
      <c r="P170" s="779" t="str">
        <f t="shared" si="12"/>
        <v>м3</v>
      </c>
      <c r="Q170" s="780"/>
      <c r="R170" s="1284">
        <f>ROUND(X168*0.425*0.3,2)</f>
        <v>1.36</v>
      </c>
      <c r="S170" s="1285"/>
      <c r="T170" s="1286"/>
      <c r="U170" s="556">
        <f t="shared" si="14"/>
        <v>15</v>
      </c>
      <c r="V170" s="558">
        <f t="shared" si="15"/>
        <v>3</v>
      </c>
      <c r="W170" s="557"/>
      <c r="X170" s="557"/>
      <c r="Y170" s="557"/>
      <c r="Z170" s="557"/>
      <c r="AA170" s="557"/>
      <c r="AB170" s="605" t="s">
        <v>1208</v>
      </c>
      <c r="AC170" s="606" t="s">
        <v>1163</v>
      </c>
      <c r="AD170" s="628">
        <v>2.68</v>
      </c>
      <c r="AE170" s="588"/>
    </row>
    <row r="171" spans="1:31" ht="16" thickBot="1">
      <c r="A171" s="555" t="str">
        <f t="shared" si="11"/>
        <v>15.4</v>
      </c>
      <c r="B171" s="782" t="s">
        <v>1251</v>
      </c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83"/>
      <c r="N171" s="783"/>
      <c r="O171" s="784"/>
      <c r="P171" s="779" t="str">
        <f t="shared" si="12"/>
        <v>м3</v>
      </c>
      <c r="Q171" s="780"/>
      <c r="R171" s="1284">
        <f>R169</f>
        <v>3.17</v>
      </c>
      <c r="S171" s="1285"/>
      <c r="T171" s="1286"/>
      <c r="U171" s="556">
        <f t="shared" si="14"/>
        <v>15</v>
      </c>
      <c r="V171" s="558">
        <f t="shared" si="15"/>
        <v>4</v>
      </c>
      <c r="W171" s="557"/>
      <c r="X171" s="557">
        <f>78.9*2</f>
        <v>157.80000000000001</v>
      </c>
      <c r="Y171" s="557"/>
      <c r="Z171" s="557"/>
      <c r="AA171" s="557"/>
      <c r="AB171" s="605" t="s">
        <v>1251</v>
      </c>
      <c r="AC171" s="606" t="s">
        <v>1163</v>
      </c>
      <c r="AD171" s="628">
        <v>6.24</v>
      </c>
      <c r="AE171" s="588"/>
    </row>
    <row r="172" spans="1:31" ht="16" thickBot="1">
      <c r="A172" s="555" t="str">
        <f t="shared" si="11"/>
        <v>15.5</v>
      </c>
      <c r="B172" s="782" t="s">
        <v>1252</v>
      </c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83"/>
      <c r="N172" s="783"/>
      <c r="O172" s="784"/>
      <c r="P172" s="779" t="str">
        <f t="shared" si="12"/>
        <v>м3</v>
      </c>
      <c r="Q172" s="780"/>
      <c r="R172" s="1284">
        <f>R170</f>
        <v>1.36</v>
      </c>
      <c r="S172" s="1285"/>
      <c r="T172" s="1286"/>
      <c r="U172" s="556">
        <f t="shared" si="14"/>
        <v>15</v>
      </c>
      <c r="V172" s="558">
        <f t="shared" si="15"/>
        <v>5</v>
      </c>
      <c r="W172" s="557"/>
      <c r="X172" s="557"/>
      <c r="Y172" s="557"/>
      <c r="Z172" s="557"/>
      <c r="AA172" s="557"/>
      <c r="AB172" s="605" t="s">
        <v>1252</v>
      </c>
      <c r="AC172" s="606" t="s">
        <v>1163</v>
      </c>
      <c r="AD172" s="628">
        <v>2.68</v>
      </c>
      <c r="AE172" s="588"/>
    </row>
    <row r="173" spans="1:31" ht="16" thickBot="1">
      <c r="A173" s="555" t="str">
        <f t="shared" si="11"/>
        <v>15.6</v>
      </c>
      <c r="B173" s="782" t="s">
        <v>1218</v>
      </c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83"/>
      <c r="N173" s="783"/>
      <c r="O173" s="784"/>
      <c r="P173" s="779" t="str">
        <f t="shared" si="12"/>
        <v>м3</v>
      </c>
      <c r="Q173" s="780"/>
      <c r="R173" s="1287">
        <f>R172*0.1</f>
        <v>0.13600000000000001</v>
      </c>
      <c r="S173" s="1288"/>
      <c r="T173" s="1289"/>
      <c r="U173" s="556">
        <f t="shared" si="14"/>
        <v>15</v>
      </c>
      <c r="V173" s="558">
        <f t="shared" si="15"/>
        <v>6</v>
      </c>
      <c r="W173" s="557"/>
      <c r="X173" s="557">
        <f>177.12/82</f>
        <v>2.16</v>
      </c>
      <c r="Y173" s="557"/>
      <c r="Z173" s="557"/>
      <c r="AA173" s="557"/>
      <c r="AB173" s="605" t="s">
        <v>1218</v>
      </c>
      <c r="AC173" s="606" t="s">
        <v>1163</v>
      </c>
      <c r="AD173" s="628">
        <v>0.27</v>
      </c>
      <c r="AE173" s="588"/>
    </row>
    <row r="174" spans="1:31" ht="29.5" thickBot="1">
      <c r="A174" s="555" t="str">
        <f t="shared" si="11"/>
        <v>15.7</v>
      </c>
      <c r="B174" s="782" t="s">
        <v>1342</v>
      </c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83"/>
      <c r="N174" s="783"/>
      <c r="O174" s="784"/>
      <c r="P174" s="779" t="str">
        <f t="shared" si="12"/>
        <v>м3</v>
      </c>
      <c r="Q174" s="780"/>
      <c r="R174" s="1284">
        <v>1</v>
      </c>
      <c r="S174" s="1285"/>
      <c r="T174" s="1286"/>
      <c r="U174" s="556">
        <f t="shared" si="14"/>
        <v>15</v>
      </c>
      <c r="V174" s="558">
        <f t="shared" si="15"/>
        <v>7</v>
      </c>
      <c r="W174" s="557"/>
      <c r="X174" s="557"/>
      <c r="Y174" s="557"/>
      <c r="Z174" s="557"/>
      <c r="AA174" s="557"/>
      <c r="AB174" s="605" t="s">
        <v>1342</v>
      </c>
      <c r="AC174" s="606" t="s">
        <v>1163</v>
      </c>
      <c r="AD174" s="628">
        <v>1</v>
      </c>
      <c r="AE174" s="588"/>
    </row>
    <row r="175" spans="1:31" ht="29.5" thickBot="1">
      <c r="A175" s="555" t="str">
        <f t="shared" si="11"/>
        <v>15.8</v>
      </c>
      <c r="B175" s="782" t="s">
        <v>1343</v>
      </c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83"/>
      <c r="N175" s="783"/>
      <c r="O175" s="784"/>
      <c r="P175" s="779" t="str">
        <f t="shared" si="12"/>
        <v>м3</v>
      </c>
      <c r="Q175" s="780"/>
      <c r="R175" s="1284">
        <f>X168*0.15*0.5</f>
        <v>0.79800000000000004</v>
      </c>
      <c r="S175" s="1285"/>
      <c r="T175" s="1286"/>
      <c r="U175" s="556">
        <f t="shared" si="14"/>
        <v>15</v>
      </c>
      <c r="V175" s="558">
        <f t="shared" si="15"/>
        <v>8</v>
      </c>
      <c r="W175" s="557"/>
      <c r="X175" s="557"/>
      <c r="Y175" s="557"/>
      <c r="Z175" s="557"/>
      <c r="AA175" s="557"/>
      <c r="AB175" s="605" t="s">
        <v>1343</v>
      </c>
      <c r="AC175" s="606" t="s">
        <v>1163</v>
      </c>
      <c r="AD175" s="629">
        <v>1.575</v>
      </c>
      <c r="AE175" s="588"/>
    </row>
    <row r="176" spans="1:31" ht="44" thickBot="1">
      <c r="A176" s="555" t="str">
        <f t="shared" si="11"/>
        <v>15.9</v>
      </c>
      <c r="B176" s="782" t="s">
        <v>1412</v>
      </c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83"/>
      <c r="N176" s="783"/>
      <c r="O176" s="784"/>
      <c r="P176" s="779" t="str">
        <f t="shared" si="12"/>
        <v>м</v>
      </c>
      <c r="Q176" s="780"/>
      <c r="R176" s="1287">
        <f>X168*2*1.02</f>
        <v>21.7056</v>
      </c>
      <c r="S176" s="1288"/>
      <c r="T176" s="1289"/>
      <c r="U176" s="556">
        <f t="shared" si="14"/>
        <v>15</v>
      </c>
      <c r="V176" s="558">
        <f t="shared" si="15"/>
        <v>9</v>
      </c>
      <c r="W176" s="557"/>
      <c r="X176" s="557"/>
      <c r="Y176" s="557"/>
      <c r="Z176" s="557"/>
      <c r="AA176" s="557"/>
      <c r="AB176" s="605" t="s">
        <v>1344</v>
      </c>
      <c r="AC176" s="606" t="s">
        <v>1159</v>
      </c>
      <c r="AD176" s="629">
        <v>42.84</v>
      </c>
      <c r="AE176" s="588"/>
    </row>
    <row r="177" spans="1:31" ht="16" thickBot="1">
      <c r="A177" s="555" t="str">
        <f t="shared" si="11"/>
        <v>15.10</v>
      </c>
      <c r="B177" s="782" t="s">
        <v>1255</v>
      </c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4"/>
      <c r="P177" s="779" t="str">
        <f t="shared" si="12"/>
        <v>м</v>
      </c>
      <c r="Q177" s="780"/>
      <c r="R177" s="1284" t="str">
        <f t="shared" si="13"/>
        <v>10</v>
      </c>
      <c r="S177" s="1285"/>
      <c r="T177" s="1286"/>
      <c r="U177" s="556">
        <f t="shared" si="14"/>
        <v>15</v>
      </c>
      <c r="V177" s="558">
        <f t="shared" si="15"/>
        <v>10</v>
      </c>
      <c r="W177" s="557"/>
      <c r="X177" s="557"/>
      <c r="Y177" s="557"/>
      <c r="Z177" s="557"/>
      <c r="AA177" s="557"/>
      <c r="AB177" s="605" t="s">
        <v>1255</v>
      </c>
      <c r="AC177" s="606" t="s">
        <v>1159</v>
      </c>
      <c r="AD177" s="628">
        <v>10</v>
      </c>
      <c r="AE177" s="588"/>
    </row>
    <row r="178" spans="1:31" ht="29.5" thickBot="1">
      <c r="A178" s="555" t="str">
        <f t="shared" si="11"/>
        <v>15.11</v>
      </c>
      <c r="B178" s="782" t="s">
        <v>1256</v>
      </c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83"/>
      <c r="N178" s="783"/>
      <c r="O178" s="784"/>
      <c r="P178" s="779" t="str">
        <f t="shared" si="12"/>
        <v>м</v>
      </c>
      <c r="Q178" s="780"/>
      <c r="R178" s="1284">
        <v>10</v>
      </c>
      <c r="S178" s="1285"/>
      <c r="T178" s="1286"/>
      <c r="U178" s="556">
        <f t="shared" si="14"/>
        <v>15</v>
      </c>
      <c r="V178" s="558">
        <f t="shared" si="15"/>
        <v>11</v>
      </c>
      <c r="W178" s="557"/>
      <c r="X178" s="557"/>
      <c r="Y178" s="557"/>
      <c r="Z178" s="557"/>
      <c r="AA178" s="557"/>
      <c r="AB178" s="605" t="s">
        <v>1256</v>
      </c>
      <c r="AC178" s="606" t="s">
        <v>1159</v>
      </c>
      <c r="AD178" s="628">
        <v>4</v>
      </c>
      <c r="AE178" s="588"/>
    </row>
    <row r="179" spans="1:31" ht="16" thickBot="1">
      <c r="A179" s="555" t="str">
        <f t="shared" si="11"/>
        <v>15.12</v>
      </c>
      <c r="B179" s="782" t="s">
        <v>1413</v>
      </c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83"/>
      <c r="N179" s="783"/>
      <c r="O179" s="784"/>
      <c r="P179" s="779" t="str">
        <f t="shared" si="12"/>
        <v>м</v>
      </c>
      <c r="Q179" s="780"/>
      <c r="R179" s="1284">
        <v>3</v>
      </c>
      <c r="S179" s="1285"/>
      <c r="T179" s="1286"/>
      <c r="U179" s="556">
        <f t="shared" si="14"/>
        <v>15</v>
      </c>
      <c r="V179" s="558">
        <f t="shared" si="15"/>
        <v>12</v>
      </c>
      <c r="W179" s="557"/>
      <c r="X179" s="557"/>
      <c r="Y179" s="557"/>
      <c r="Z179" s="557"/>
      <c r="AA179" s="557"/>
      <c r="AB179" s="605" t="s">
        <v>1257</v>
      </c>
      <c r="AC179" s="606" t="s">
        <v>1159</v>
      </c>
      <c r="AD179" s="628">
        <v>4</v>
      </c>
      <c r="AE179" s="588"/>
    </row>
    <row r="180" spans="1:31" ht="16" thickBot="1">
      <c r="A180" s="555" t="str">
        <f t="shared" si="11"/>
        <v>15.13</v>
      </c>
      <c r="B180" s="782" t="s">
        <v>1258</v>
      </c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83"/>
      <c r="N180" s="783"/>
      <c r="O180" s="784"/>
      <c r="P180" s="779" t="str">
        <f t="shared" si="12"/>
        <v>м</v>
      </c>
      <c r="Q180" s="780"/>
      <c r="R180" s="1284">
        <v>3</v>
      </c>
      <c r="S180" s="1285"/>
      <c r="T180" s="1286"/>
      <c r="U180" s="556">
        <f t="shared" si="14"/>
        <v>15</v>
      </c>
      <c r="V180" s="558">
        <f t="shared" si="15"/>
        <v>13</v>
      </c>
      <c r="W180" s="557"/>
      <c r="X180" s="557"/>
      <c r="Y180" s="557"/>
      <c r="Z180" s="557"/>
      <c r="AA180" s="557"/>
      <c r="AB180" s="605" t="s">
        <v>1258</v>
      </c>
      <c r="AC180" s="606" t="s">
        <v>1159</v>
      </c>
      <c r="AD180" s="628">
        <v>4</v>
      </c>
      <c r="AE180" s="588"/>
    </row>
    <row r="181" spans="1:31" ht="16" thickBot="1">
      <c r="A181" s="555" t="str">
        <f t="shared" si="11"/>
        <v>15.14</v>
      </c>
      <c r="B181" s="782" t="s">
        <v>1345</v>
      </c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83"/>
      <c r="N181" s="783"/>
      <c r="O181" s="784"/>
      <c r="P181" s="779" t="str">
        <f t="shared" si="12"/>
        <v>м</v>
      </c>
      <c r="Q181" s="780"/>
      <c r="R181" s="1284" t="str">
        <f t="shared" si="13"/>
        <v>20</v>
      </c>
      <c r="S181" s="1285"/>
      <c r="T181" s="1286"/>
      <c r="U181" s="556">
        <f t="shared" si="14"/>
        <v>15</v>
      </c>
      <c r="V181" s="558">
        <f t="shared" si="15"/>
        <v>14</v>
      </c>
      <c r="W181" s="557"/>
      <c r="X181" s="557"/>
      <c r="Y181" s="557"/>
      <c r="Z181" s="557"/>
      <c r="AA181" s="557"/>
      <c r="AB181" s="605" t="s">
        <v>1345</v>
      </c>
      <c r="AC181" s="606" t="s">
        <v>1159</v>
      </c>
      <c r="AD181" s="628">
        <v>20</v>
      </c>
      <c r="AE181" s="588"/>
    </row>
    <row r="182" spans="1:31" ht="29.5" thickBot="1">
      <c r="A182" s="555" t="str">
        <f t="shared" si="11"/>
        <v>15.15</v>
      </c>
      <c r="B182" s="782" t="s">
        <v>1417</v>
      </c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83"/>
      <c r="N182" s="783"/>
      <c r="O182" s="784"/>
      <c r="P182" s="779" t="str">
        <f t="shared" si="12"/>
        <v>м</v>
      </c>
      <c r="Q182" s="780"/>
      <c r="R182" s="1284">
        <v>10</v>
      </c>
      <c r="S182" s="1285"/>
      <c r="T182" s="1286"/>
      <c r="U182" s="556">
        <f t="shared" si="14"/>
        <v>15</v>
      </c>
      <c r="V182" s="558">
        <f t="shared" si="15"/>
        <v>15</v>
      </c>
      <c r="W182" s="557"/>
      <c r="X182" s="557"/>
      <c r="Y182" s="557"/>
      <c r="Z182" s="557"/>
      <c r="AA182" s="557"/>
      <c r="AB182" s="605" t="s">
        <v>1346</v>
      </c>
      <c r="AC182" s="606" t="s">
        <v>1159</v>
      </c>
      <c r="AD182" s="628">
        <v>6</v>
      </c>
      <c r="AE182" s="588"/>
    </row>
    <row r="183" spans="1:31" ht="29.5" thickBot="1">
      <c r="A183" s="555" t="str">
        <f t="shared" si="11"/>
        <v>15.16</v>
      </c>
      <c r="B183" s="782" t="s">
        <v>1260</v>
      </c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83"/>
      <c r="N183" s="783"/>
      <c r="O183" s="784"/>
      <c r="P183" s="779" t="str">
        <f t="shared" si="12"/>
        <v>шт</v>
      </c>
      <c r="Q183" s="780"/>
      <c r="R183" s="1284" t="str">
        <f t="shared" si="13"/>
        <v>12</v>
      </c>
      <c r="S183" s="1285"/>
      <c r="T183" s="1286"/>
      <c r="U183" s="556">
        <f t="shared" si="14"/>
        <v>15</v>
      </c>
      <c r="V183" s="558">
        <f t="shared" si="15"/>
        <v>16</v>
      </c>
      <c r="W183" s="557"/>
      <c r="X183" s="557"/>
      <c r="Y183" s="557"/>
      <c r="Z183" s="557"/>
      <c r="AA183" s="557"/>
      <c r="AB183" s="605" t="s">
        <v>1260</v>
      </c>
      <c r="AC183" s="606" t="s">
        <v>1161</v>
      </c>
      <c r="AD183" s="628">
        <v>12</v>
      </c>
      <c r="AE183" s="588"/>
    </row>
    <row r="184" spans="1:31" ht="16" thickBot="1">
      <c r="A184" s="555" t="str">
        <f t="shared" si="11"/>
        <v>15.17</v>
      </c>
      <c r="B184" s="782" t="s">
        <v>1261</v>
      </c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83"/>
      <c r="N184" s="783"/>
      <c r="O184" s="784"/>
      <c r="P184" s="779" t="str">
        <f t="shared" si="12"/>
        <v>шт</v>
      </c>
      <c r="Q184" s="780"/>
      <c r="R184" s="1284" t="str">
        <f t="shared" si="13"/>
        <v>4</v>
      </c>
      <c r="S184" s="1285"/>
      <c r="T184" s="1286"/>
      <c r="U184" s="556">
        <f t="shared" si="14"/>
        <v>15</v>
      </c>
      <c r="V184" s="558">
        <f t="shared" si="15"/>
        <v>17</v>
      </c>
      <c r="W184" s="557"/>
      <c r="X184" s="557"/>
      <c r="Y184" s="557"/>
      <c r="Z184" s="557"/>
      <c r="AA184" s="557"/>
      <c r="AB184" s="605" t="s">
        <v>1261</v>
      </c>
      <c r="AC184" s="606" t="s">
        <v>1161</v>
      </c>
      <c r="AD184" s="628">
        <v>4</v>
      </c>
      <c r="AE184" s="588"/>
    </row>
    <row r="185" spans="1:31" ht="29.5" thickBot="1">
      <c r="A185" s="555" t="str">
        <f t="shared" si="11"/>
        <v>15.18</v>
      </c>
      <c r="B185" s="782" t="s">
        <v>1347</v>
      </c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83"/>
      <c r="N185" s="783"/>
      <c r="O185" s="784"/>
      <c r="P185" s="779" t="str">
        <f t="shared" si="12"/>
        <v>м3</v>
      </c>
      <c r="Q185" s="780"/>
      <c r="R185" s="1284">
        <f>R175</f>
        <v>0.79800000000000004</v>
      </c>
      <c r="S185" s="1285"/>
      <c r="T185" s="1286"/>
      <c r="U185" s="556">
        <f t="shared" si="14"/>
        <v>15</v>
      </c>
      <c r="V185" s="558">
        <f t="shared" si="15"/>
        <v>18</v>
      </c>
      <c r="W185" s="557"/>
      <c r="X185" s="557"/>
      <c r="Y185" s="557"/>
      <c r="Z185" s="557"/>
      <c r="AA185" s="557"/>
      <c r="AB185" s="605" t="s">
        <v>1347</v>
      </c>
      <c r="AC185" s="606" t="s">
        <v>1163</v>
      </c>
      <c r="AD185" s="629">
        <v>1.575</v>
      </c>
      <c r="AE185" s="588"/>
    </row>
    <row r="186" spans="1:31" ht="19.149999999999999" customHeight="1" thickBot="1">
      <c r="A186" s="555" t="str">
        <f t="shared" si="11"/>
        <v>15.19</v>
      </c>
      <c r="B186" s="782" t="s">
        <v>1414</v>
      </c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83"/>
      <c r="N186" s="783"/>
      <c r="O186" s="784"/>
      <c r="P186" s="779" t="str">
        <f t="shared" si="12"/>
        <v>шт</v>
      </c>
      <c r="Q186" s="780"/>
      <c r="R186" s="1290">
        <f>X168*2/0.48</f>
        <v>44.333333333333336</v>
      </c>
      <c r="S186" s="1291"/>
      <c r="T186" s="1292"/>
      <c r="U186" s="556">
        <f t="shared" si="14"/>
        <v>15</v>
      </c>
      <c r="V186" s="558">
        <f t="shared" si="15"/>
        <v>19</v>
      </c>
      <c r="W186" s="557"/>
      <c r="X186" s="557"/>
      <c r="Y186" s="557"/>
      <c r="Z186" s="557"/>
      <c r="AA186" s="557"/>
      <c r="AB186" s="605" t="s">
        <v>1348</v>
      </c>
      <c r="AC186" s="606" t="s">
        <v>1161</v>
      </c>
      <c r="AD186" s="628">
        <v>87</v>
      </c>
      <c r="AE186" s="588"/>
    </row>
    <row r="187" spans="1:31" ht="29.5" thickBot="1">
      <c r="A187" s="555" t="str">
        <f t="shared" si="11"/>
        <v>15.20</v>
      </c>
      <c r="B187" s="782" t="s">
        <v>1416</v>
      </c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83"/>
      <c r="N187" s="783"/>
      <c r="O187" s="784"/>
      <c r="P187" s="779" t="str">
        <f t="shared" si="12"/>
        <v>м3</v>
      </c>
      <c r="Q187" s="780"/>
      <c r="R187" s="1284">
        <f>ROUND(X168*0.425,2)-R175-R185</f>
        <v>2.9239999999999995</v>
      </c>
      <c r="S187" s="1285"/>
      <c r="T187" s="1286"/>
      <c r="U187" s="556">
        <f t="shared" si="14"/>
        <v>15</v>
      </c>
      <c r="V187" s="558">
        <f t="shared" si="15"/>
        <v>20</v>
      </c>
      <c r="W187" s="557"/>
      <c r="X187" s="557"/>
      <c r="Y187" s="557"/>
      <c r="Z187" s="557"/>
      <c r="AA187" s="557"/>
      <c r="AB187" s="605" t="s">
        <v>1349</v>
      </c>
      <c r="AC187" s="606" t="s">
        <v>1163</v>
      </c>
      <c r="AD187" s="628">
        <v>5.77</v>
      </c>
      <c r="AE187" s="588"/>
    </row>
    <row r="188" spans="1:31" ht="29.5" thickBot="1">
      <c r="A188" s="555" t="str">
        <f t="shared" si="11"/>
        <v>15.21</v>
      </c>
      <c r="B188" s="782" t="s">
        <v>1415</v>
      </c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83"/>
      <c r="N188" s="783"/>
      <c r="O188" s="784"/>
      <c r="P188" s="779" t="str">
        <f t="shared" si="12"/>
        <v>т.</v>
      </c>
      <c r="Q188" s="780"/>
      <c r="R188" s="1284">
        <f>(ROUND(X168*0.425,2)-R187)*1.8</f>
        <v>2.8728000000000002</v>
      </c>
      <c r="S188" s="1285"/>
      <c r="T188" s="1286"/>
      <c r="U188" s="556">
        <f t="shared" si="14"/>
        <v>15</v>
      </c>
      <c r="V188" s="558">
        <f t="shared" si="15"/>
        <v>21</v>
      </c>
      <c r="W188" s="557"/>
      <c r="X188" s="557"/>
      <c r="Y188" s="557"/>
      <c r="Z188" s="557"/>
      <c r="AA188" s="557"/>
      <c r="AB188" s="605" t="s">
        <v>1350</v>
      </c>
      <c r="AC188" s="606" t="s">
        <v>1244</v>
      </c>
      <c r="AD188" s="628">
        <v>5.67</v>
      </c>
      <c r="AE188" s="588"/>
    </row>
    <row r="189" spans="1:31" ht="44" thickBot="1">
      <c r="A189" s="555" t="str">
        <f t="shared" si="11"/>
        <v>15.22</v>
      </c>
      <c r="B189" s="782" t="s">
        <v>1266</v>
      </c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83"/>
      <c r="N189" s="783"/>
      <c r="O189" s="784"/>
      <c r="P189" s="779" t="str">
        <f t="shared" si="12"/>
        <v>т.</v>
      </c>
      <c r="Q189" s="780"/>
      <c r="R189" s="1284">
        <f>R188</f>
        <v>2.8728000000000002</v>
      </c>
      <c r="S189" s="1285"/>
      <c r="T189" s="1286"/>
      <c r="U189" s="556">
        <f t="shared" si="14"/>
        <v>15</v>
      </c>
      <c r="V189" s="558">
        <f t="shared" si="15"/>
        <v>22</v>
      </c>
      <c r="W189" s="557"/>
      <c r="X189" s="557"/>
      <c r="Y189" s="557"/>
      <c r="Z189" s="557"/>
      <c r="AA189" s="557"/>
      <c r="AB189" s="605" t="s">
        <v>1266</v>
      </c>
      <c r="AC189" s="606" t="s">
        <v>1244</v>
      </c>
      <c r="AD189" s="628">
        <v>5.67</v>
      </c>
      <c r="AE189" s="588"/>
    </row>
    <row r="190" spans="1:31" ht="29">
      <c r="A190" s="555" t="str">
        <f t="shared" si="11"/>
        <v>15.23</v>
      </c>
      <c r="B190" s="782" t="s">
        <v>1267</v>
      </c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83"/>
      <c r="N190" s="783"/>
      <c r="O190" s="784"/>
      <c r="P190" s="779" t="str">
        <f t="shared" si="12"/>
        <v>компл</v>
      </c>
      <c r="Q190" s="780"/>
      <c r="R190" s="1284" t="str">
        <f t="shared" si="13"/>
        <v>4</v>
      </c>
      <c r="S190" s="1285"/>
      <c r="T190" s="1286"/>
      <c r="U190" s="556">
        <f t="shared" si="14"/>
        <v>15</v>
      </c>
      <c r="V190" s="558">
        <f t="shared" si="15"/>
        <v>23</v>
      </c>
      <c r="W190" s="557"/>
      <c r="X190" s="557"/>
      <c r="Y190" s="557"/>
      <c r="Z190" s="557"/>
      <c r="AA190" s="557"/>
      <c r="AB190" s="624" t="s">
        <v>1267</v>
      </c>
      <c r="AC190" s="612" t="s">
        <v>1162</v>
      </c>
      <c r="AD190" s="634">
        <v>4</v>
      </c>
      <c r="AE190" s="588"/>
    </row>
    <row r="191" spans="1:31" ht="29.5" thickBot="1">
      <c r="A191" s="555" t="str">
        <f t="shared" si="11"/>
        <v>15.24</v>
      </c>
      <c r="B191" s="782" t="s">
        <v>1351</v>
      </c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83"/>
      <c r="N191" s="783"/>
      <c r="O191" s="784"/>
      <c r="P191" s="779" t="str">
        <f t="shared" si="12"/>
        <v>компл</v>
      </c>
      <c r="Q191" s="780"/>
      <c r="R191" s="1284" t="str">
        <f t="shared" si="13"/>
        <v>4</v>
      </c>
      <c r="S191" s="1285"/>
      <c r="T191" s="1286"/>
      <c r="U191" s="556">
        <f t="shared" si="14"/>
        <v>15</v>
      </c>
      <c r="V191" s="558">
        <f t="shared" si="15"/>
        <v>24</v>
      </c>
      <c r="W191" s="557"/>
      <c r="X191" s="557"/>
      <c r="Y191" s="557"/>
      <c r="Z191" s="557"/>
      <c r="AA191" s="557"/>
      <c r="AB191" s="605" t="s">
        <v>1351</v>
      </c>
      <c r="AC191" s="606" t="s">
        <v>1162</v>
      </c>
      <c r="AD191" s="628">
        <v>4</v>
      </c>
      <c r="AE191" s="588"/>
    </row>
    <row r="192" spans="1:31" ht="16.5" customHeight="1" thickBot="1">
      <c r="A192" s="555" t="str">
        <f t="shared" ref="A192:A246" si="16">CONCATENATE(U192,".",V192)</f>
        <v>15.25</v>
      </c>
      <c r="B192" s="782" t="s">
        <v>1268</v>
      </c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83"/>
      <c r="N192" s="783"/>
      <c r="O192" s="784"/>
      <c r="P192" s="779" t="str">
        <f t="shared" si="12"/>
        <v>шт</v>
      </c>
      <c r="Q192" s="780"/>
      <c r="R192" s="1284" t="str">
        <f t="shared" si="13"/>
        <v>8</v>
      </c>
      <c r="S192" s="1285"/>
      <c r="T192" s="1286"/>
      <c r="U192" s="556">
        <f t="shared" si="14"/>
        <v>15</v>
      </c>
      <c r="V192" s="558">
        <f t="shared" si="15"/>
        <v>25</v>
      </c>
      <c r="W192" s="557"/>
      <c r="X192" s="557"/>
      <c r="Y192" s="557"/>
      <c r="Z192" s="557"/>
      <c r="AA192" s="557"/>
      <c r="AB192" s="605" t="s">
        <v>1268</v>
      </c>
      <c r="AC192" s="606" t="s">
        <v>1161</v>
      </c>
      <c r="AD192" s="628">
        <v>8</v>
      </c>
      <c r="AE192" s="588"/>
    </row>
    <row r="193" spans="1:31" ht="16" thickBot="1">
      <c r="A193" s="555" t="str">
        <f t="shared" si="16"/>
        <v>15.26</v>
      </c>
      <c r="B193" s="782" t="s">
        <v>1269</v>
      </c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83"/>
      <c r="N193" s="783"/>
      <c r="O193" s="784"/>
      <c r="P193" s="779" t="str">
        <f t="shared" si="12"/>
        <v>шт</v>
      </c>
      <c r="Q193" s="780"/>
      <c r="R193" s="1284" t="str">
        <f t="shared" si="13"/>
        <v>8</v>
      </c>
      <c r="S193" s="1285"/>
      <c r="T193" s="1286"/>
      <c r="U193" s="556">
        <f t="shared" si="14"/>
        <v>15</v>
      </c>
      <c r="V193" s="558">
        <f t="shared" si="15"/>
        <v>26</v>
      </c>
      <c r="W193" s="557"/>
      <c r="X193" s="557"/>
      <c r="Y193" s="557"/>
      <c r="Z193" s="557"/>
      <c r="AA193" s="557"/>
      <c r="AB193" s="605" t="s">
        <v>1269</v>
      </c>
      <c r="AC193" s="606" t="s">
        <v>1161</v>
      </c>
      <c r="AD193" s="628">
        <v>8</v>
      </c>
      <c r="AE193" s="588"/>
    </row>
    <row r="194" spans="1:31">
      <c r="A194" s="555" t="str">
        <f t="shared" si="16"/>
        <v>15.27</v>
      </c>
      <c r="B194" s="782" t="s">
        <v>1352</v>
      </c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83"/>
      <c r="N194" s="783"/>
      <c r="O194" s="784"/>
      <c r="P194" s="779" t="str">
        <f t="shared" si="12"/>
        <v>шт</v>
      </c>
      <c r="Q194" s="780"/>
      <c r="R194" s="1284" t="str">
        <f t="shared" si="13"/>
        <v>16</v>
      </c>
      <c r="S194" s="1285"/>
      <c r="T194" s="1286"/>
      <c r="U194" s="556">
        <f t="shared" si="14"/>
        <v>15</v>
      </c>
      <c r="V194" s="558">
        <f t="shared" si="15"/>
        <v>27</v>
      </c>
      <c r="W194" s="557"/>
      <c r="X194" s="557"/>
      <c r="Y194" s="557"/>
      <c r="Z194" s="557"/>
      <c r="AA194" s="557"/>
      <c r="AB194" s="624" t="s">
        <v>1352</v>
      </c>
      <c r="AC194" s="613" t="s">
        <v>1161</v>
      </c>
      <c r="AD194" s="634">
        <v>16</v>
      </c>
      <c r="AE194" s="588"/>
    </row>
    <row r="195" spans="1:31" ht="16" thickBot="1">
      <c r="A195" s="555" t="str">
        <f t="shared" si="16"/>
        <v>15.28</v>
      </c>
      <c r="B195" s="782" t="s">
        <v>1270</v>
      </c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83"/>
      <c r="N195" s="783"/>
      <c r="O195" s="784"/>
      <c r="P195" s="779" t="str">
        <f t="shared" si="12"/>
        <v>шт</v>
      </c>
      <c r="Q195" s="780"/>
      <c r="R195" s="1284" t="str">
        <f t="shared" si="13"/>
        <v>8</v>
      </c>
      <c r="S195" s="1285"/>
      <c r="T195" s="1286"/>
      <c r="U195" s="556">
        <f t="shared" si="14"/>
        <v>15</v>
      </c>
      <c r="V195" s="558">
        <f t="shared" si="15"/>
        <v>28</v>
      </c>
      <c r="W195" s="557"/>
      <c r="X195" s="557"/>
      <c r="Y195" s="557"/>
      <c r="Z195" s="557"/>
      <c r="AA195" s="557"/>
      <c r="AB195" s="605" t="s">
        <v>1270</v>
      </c>
      <c r="AC195" s="606" t="s">
        <v>1161</v>
      </c>
      <c r="AD195" s="628">
        <v>8</v>
      </c>
      <c r="AE195" s="588"/>
    </row>
    <row r="196" spans="1:31" ht="16" thickBot="1">
      <c r="A196" s="555" t="str">
        <f t="shared" si="16"/>
        <v>15.29</v>
      </c>
      <c r="B196" s="782" t="s">
        <v>1353</v>
      </c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83"/>
      <c r="N196" s="783"/>
      <c r="O196" s="784"/>
      <c r="P196" s="779" t="str">
        <f t="shared" si="12"/>
        <v>м3</v>
      </c>
      <c r="Q196" s="780"/>
      <c r="R196" s="1284" t="str">
        <f t="shared" si="13"/>
        <v>1</v>
      </c>
      <c r="S196" s="1285"/>
      <c r="T196" s="1286"/>
      <c r="U196" s="556">
        <f t="shared" si="14"/>
        <v>15</v>
      </c>
      <c r="V196" s="558">
        <f t="shared" si="15"/>
        <v>29</v>
      </c>
      <c r="W196" s="557"/>
      <c r="X196" s="557"/>
      <c r="Y196" s="557"/>
      <c r="Z196" s="557"/>
      <c r="AA196" s="557"/>
      <c r="AB196" s="605" t="s">
        <v>1353</v>
      </c>
      <c r="AC196" s="606" t="s">
        <v>1163</v>
      </c>
      <c r="AD196" s="628">
        <v>1</v>
      </c>
      <c r="AE196" s="588"/>
    </row>
    <row r="197" spans="1:31" ht="16" thickBot="1">
      <c r="A197" s="554" t="str">
        <f t="shared" si="16"/>
        <v>16.</v>
      </c>
      <c r="B197" s="785" t="s">
        <v>1219</v>
      </c>
      <c r="C197" s="786"/>
      <c r="D197" s="786"/>
      <c r="E197" s="786"/>
      <c r="F197" s="786"/>
      <c r="G197" s="786"/>
      <c r="H197" s="786"/>
      <c r="I197" s="786"/>
      <c r="J197" s="786"/>
      <c r="K197" s="786"/>
      <c r="L197" s="786"/>
      <c r="M197" s="786"/>
      <c r="N197" s="786"/>
      <c r="O197" s="787"/>
      <c r="P197" s="779" t="str">
        <f t="shared" si="12"/>
        <v/>
      </c>
      <c r="Q197" s="780"/>
      <c r="R197" s="1284" t="str">
        <f t="shared" si="13"/>
        <v/>
      </c>
      <c r="S197" s="1285"/>
      <c r="T197" s="1286"/>
      <c r="U197" s="556">
        <v>16</v>
      </c>
      <c r="V197" s="558"/>
      <c r="W197" s="557"/>
      <c r="X197" s="557">
        <f>63.1*2</f>
        <v>126.2</v>
      </c>
      <c r="Y197" s="557"/>
      <c r="Z197" s="557"/>
      <c r="AA197" s="557"/>
      <c r="AB197" s="602" t="s">
        <v>1219</v>
      </c>
      <c r="AC197" s="603"/>
      <c r="AD197" s="630"/>
      <c r="AE197" s="588"/>
    </row>
    <row r="198" spans="1:31" ht="16" thickBot="1">
      <c r="A198" s="555" t="str">
        <f t="shared" si="16"/>
        <v>16.1</v>
      </c>
      <c r="B198" s="782" t="s">
        <v>1220</v>
      </c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83"/>
      <c r="N198" s="783"/>
      <c r="O198" s="784"/>
      <c r="P198" s="779" t="str">
        <f t="shared" si="12"/>
        <v>шт.</v>
      </c>
      <c r="Q198" s="780"/>
      <c r="R198" s="1284" t="str">
        <f t="shared" si="13"/>
        <v>2</v>
      </c>
      <c r="S198" s="1285"/>
      <c r="T198" s="1286"/>
      <c r="U198" s="556">
        <f t="shared" si="14"/>
        <v>16</v>
      </c>
      <c r="V198" s="558">
        <f t="shared" si="15"/>
        <v>1</v>
      </c>
      <c r="W198" s="557"/>
      <c r="X198" s="557"/>
      <c r="Y198" s="557"/>
      <c r="Z198" s="557"/>
      <c r="AA198" s="557"/>
      <c r="AB198" s="605" t="s">
        <v>1220</v>
      </c>
      <c r="AC198" s="606" t="s">
        <v>1194</v>
      </c>
      <c r="AD198" s="628">
        <v>2</v>
      </c>
      <c r="AE198" s="588"/>
    </row>
    <row r="199" spans="1:31" ht="17.25" customHeight="1" thickBot="1">
      <c r="A199" s="555" t="str">
        <f t="shared" si="16"/>
        <v>16.2</v>
      </c>
      <c r="B199" s="782" t="s">
        <v>1271</v>
      </c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83"/>
      <c r="N199" s="783"/>
      <c r="O199" s="784"/>
      <c r="P199" s="779" t="str">
        <f t="shared" si="12"/>
        <v>изм.</v>
      </c>
      <c r="Q199" s="780"/>
      <c r="R199" s="1284" t="str">
        <f t="shared" si="13"/>
        <v>2</v>
      </c>
      <c r="S199" s="1285"/>
      <c r="T199" s="1286"/>
      <c r="U199" s="556">
        <f t="shared" si="14"/>
        <v>16</v>
      </c>
      <c r="V199" s="558">
        <f t="shared" si="15"/>
        <v>2</v>
      </c>
      <c r="W199" s="557"/>
      <c r="X199" s="557"/>
      <c r="Y199" s="557">
        <f>149.04/69</f>
        <v>2.1599999999999997</v>
      </c>
      <c r="Z199" s="557"/>
      <c r="AA199" s="557"/>
      <c r="AB199" s="605" t="s">
        <v>1271</v>
      </c>
      <c r="AC199" s="606" t="s">
        <v>1213</v>
      </c>
      <c r="AD199" s="628">
        <v>2</v>
      </c>
      <c r="AE199" s="588"/>
    </row>
    <row r="200" spans="1:31">
      <c r="A200" s="555" t="str">
        <f t="shared" si="16"/>
        <v>16.3</v>
      </c>
      <c r="B200" s="782" t="s">
        <v>1272</v>
      </c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83"/>
      <c r="N200" s="783"/>
      <c r="O200" s="784"/>
      <c r="P200" s="779" t="str">
        <f t="shared" si="12"/>
        <v>изм.</v>
      </c>
      <c r="Q200" s="780"/>
      <c r="R200" s="1284" t="str">
        <f t="shared" si="13"/>
        <v>3</v>
      </c>
      <c r="S200" s="1285"/>
      <c r="T200" s="1286"/>
      <c r="U200" s="556">
        <f t="shared" si="14"/>
        <v>16</v>
      </c>
      <c r="V200" s="558">
        <f t="shared" si="15"/>
        <v>3</v>
      </c>
      <c r="W200" s="557"/>
      <c r="X200" s="557"/>
      <c r="Y200" s="557"/>
      <c r="Z200" s="557"/>
      <c r="AA200" s="557"/>
      <c r="AB200" s="624" t="s">
        <v>1272</v>
      </c>
      <c r="AC200" s="612" t="s">
        <v>1213</v>
      </c>
      <c r="AD200" s="634">
        <v>3</v>
      </c>
      <c r="AE200" s="588"/>
    </row>
    <row r="201" spans="1:31" ht="29.5" thickBot="1">
      <c r="A201" s="555" t="str">
        <f t="shared" si="16"/>
        <v>16.4</v>
      </c>
      <c r="B201" s="782" t="s">
        <v>1221</v>
      </c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83"/>
      <c r="N201" s="783"/>
      <c r="O201" s="784"/>
      <c r="P201" s="779" t="str">
        <f t="shared" si="12"/>
        <v>изм.</v>
      </c>
      <c r="Q201" s="780"/>
      <c r="R201" s="1284" t="str">
        <f t="shared" si="13"/>
        <v>4</v>
      </c>
      <c r="S201" s="1285"/>
      <c r="T201" s="1286"/>
      <c r="U201" s="556">
        <f t="shared" si="14"/>
        <v>16</v>
      </c>
      <c r="V201" s="558">
        <f t="shared" si="15"/>
        <v>4</v>
      </c>
      <c r="W201" s="557"/>
      <c r="X201" s="557"/>
      <c r="Y201" s="557"/>
      <c r="Z201" s="557"/>
      <c r="AA201" s="557"/>
      <c r="AB201" s="605" t="s">
        <v>1221</v>
      </c>
      <c r="AC201" s="606" t="s">
        <v>1213</v>
      </c>
      <c r="AD201" s="628">
        <v>4</v>
      </c>
      <c r="AE201" s="588"/>
    </row>
    <row r="202" spans="1:31" ht="29.5" thickBot="1">
      <c r="A202" s="555" t="str">
        <f t="shared" si="16"/>
        <v>16.5</v>
      </c>
      <c r="B202" s="782" t="s">
        <v>1273</v>
      </c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83"/>
      <c r="N202" s="783"/>
      <c r="O202" s="784"/>
      <c r="P202" s="779" t="str">
        <f t="shared" ref="P202:P265" si="17">CONCATENATE(AC202)</f>
        <v>изм.</v>
      </c>
      <c r="Q202" s="780"/>
      <c r="R202" s="1284" t="str">
        <f t="shared" ref="R202:R265" si="18">CONCATENATE(AD202)</f>
        <v>1</v>
      </c>
      <c r="S202" s="1285"/>
      <c r="T202" s="1286"/>
      <c r="U202" s="556">
        <f t="shared" ref="U202:U265" si="19">U201</f>
        <v>16</v>
      </c>
      <c r="V202" s="558">
        <f t="shared" ref="V202:V265" si="20">V201+1</f>
        <v>5</v>
      </c>
      <c r="W202" s="558"/>
      <c r="X202" s="558"/>
      <c r="Y202" s="558"/>
      <c r="Z202" s="558"/>
      <c r="AA202" s="558"/>
      <c r="AB202" s="625" t="s">
        <v>1273</v>
      </c>
      <c r="AC202" s="626" t="s">
        <v>1213</v>
      </c>
      <c r="AD202" s="627">
        <v>1</v>
      </c>
      <c r="AE202" s="588"/>
    </row>
    <row r="203" spans="1:31" ht="29.5" thickBot="1">
      <c r="A203" s="555" t="str">
        <f t="shared" si="16"/>
        <v>16.6</v>
      </c>
      <c r="B203" s="782" t="s">
        <v>1274</v>
      </c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83"/>
      <c r="N203" s="783"/>
      <c r="O203" s="784"/>
      <c r="P203" s="779" t="str">
        <f t="shared" si="17"/>
        <v>точек</v>
      </c>
      <c r="Q203" s="780"/>
      <c r="R203" s="1284" t="str">
        <f t="shared" si="18"/>
        <v>1</v>
      </c>
      <c r="S203" s="1285"/>
      <c r="T203" s="1286"/>
      <c r="U203" s="556">
        <f t="shared" si="19"/>
        <v>16</v>
      </c>
      <c r="V203" s="558">
        <f t="shared" si="20"/>
        <v>6</v>
      </c>
      <c r="W203" s="558"/>
      <c r="X203" s="558"/>
      <c r="Y203" s="558"/>
      <c r="Z203" s="558"/>
      <c r="AA203" s="558"/>
      <c r="AB203" s="605" t="s">
        <v>1274</v>
      </c>
      <c r="AC203" s="606" t="s">
        <v>1164</v>
      </c>
      <c r="AD203" s="628">
        <v>1</v>
      </c>
      <c r="AE203" s="588"/>
    </row>
    <row r="204" spans="1:31" ht="16" thickBot="1">
      <c r="A204" s="555" t="str">
        <f t="shared" si="16"/>
        <v>16.7</v>
      </c>
      <c r="B204" s="782" t="s">
        <v>1275</v>
      </c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83"/>
      <c r="N204" s="783"/>
      <c r="O204" s="784"/>
      <c r="P204" s="779" t="str">
        <f t="shared" si="17"/>
        <v>км</v>
      </c>
      <c r="Q204" s="780"/>
      <c r="R204" s="1284">
        <f>R102/1000</f>
        <v>0.18703999999999998</v>
      </c>
      <c r="S204" s="1285"/>
      <c r="T204" s="1286"/>
      <c r="U204" s="556">
        <f t="shared" si="19"/>
        <v>16</v>
      </c>
      <c r="V204" s="558">
        <f t="shared" si="20"/>
        <v>7</v>
      </c>
      <c r="W204" s="558"/>
      <c r="X204" s="558"/>
      <c r="Y204" s="558"/>
      <c r="Z204" s="558"/>
      <c r="AA204" s="558"/>
      <c r="AB204" s="625" t="s">
        <v>1275</v>
      </c>
      <c r="AC204" s="626" t="s">
        <v>1192</v>
      </c>
      <c r="AD204" s="631">
        <v>0.19</v>
      </c>
      <c r="AE204" s="588"/>
    </row>
    <row r="205" spans="1:31" ht="16" thickBot="1">
      <c r="A205" s="555"/>
      <c r="B205" s="785" t="s">
        <v>1354</v>
      </c>
      <c r="C205" s="786"/>
      <c r="D205" s="786"/>
      <c r="E205" s="786"/>
      <c r="F205" s="786"/>
      <c r="G205" s="786"/>
      <c r="H205" s="786"/>
      <c r="I205" s="786"/>
      <c r="J205" s="786"/>
      <c r="K205" s="786"/>
      <c r="L205" s="786"/>
      <c r="M205" s="786"/>
      <c r="N205" s="786"/>
      <c r="O205" s="787"/>
      <c r="P205" s="779" t="str">
        <f t="shared" si="17"/>
        <v/>
      </c>
      <c r="Q205" s="780"/>
      <c r="R205" s="1284" t="str">
        <f t="shared" si="18"/>
        <v/>
      </c>
      <c r="S205" s="1285"/>
      <c r="T205" s="1286"/>
      <c r="U205" s="556">
        <f t="shared" si="19"/>
        <v>16</v>
      </c>
      <c r="V205" s="558">
        <f t="shared" si="20"/>
        <v>8</v>
      </c>
      <c r="W205" s="558"/>
      <c r="X205" s="558"/>
      <c r="Y205" s="558"/>
      <c r="Z205" s="558"/>
      <c r="AA205" s="558"/>
      <c r="AB205" s="810" t="s">
        <v>1354</v>
      </c>
      <c r="AC205" s="811"/>
      <c r="AD205" s="811"/>
      <c r="AE205" s="812"/>
    </row>
    <row r="206" spans="1:31" ht="16" thickBot="1">
      <c r="A206" s="554" t="str">
        <f t="shared" si="16"/>
        <v>17.</v>
      </c>
      <c r="B206" s="785" t="s">
        <v>1191</v>
      </c>
      <c r="C206" s="786"/>
      <c r="D206" s="786"/>
      <c r="E206" s="786"/>
      <c r="F206" s="786"/>
      <c r="G206" s="786"/>
      <c r="H206" s="786"/>
      <c r="I206" s="786"/>
      <c r="J206" s="786"/>
      <c r="K206" s="786"/>
      <c r="L206" s="786"/>
      <c r="M206" s="786"/>
      <c r="N206" s="786"/>
      <c r="O206" s="787"/>
      <c r="P206" s="779" t="str">
        <f t="shared" si="17"/>
        <v/>
      </c>
      <c r="Q206" s="780"/>
      <c r="R206" s="1284" t="str">
        <f t="shared" si="18"/>
        <v/>
      </c>
      <c r="S206" s="1285"/>
      <c r="T206" s="1286"/>
      <c r="U206" s="556">
        <v>17</v>
      </c>
      <c r="V206" s="558"/>
      <c r="W206" s="558"/>
      <c r="X206" s="558"/>
      <c r="Y206" s="558"/>
      <c r="Z206" s="558"/>
      <c r="AA206" s="558"/>
      <c r="AB206" s="632" t="s">
        <v>1191</v>
      </c>
      <c r="AC206" s="589"/>
      <c r="AD206" s="590"/>
      <c r="AE206" s="588"/>
    </row>
    <row r="207" spans="1:31" ht="29.5" thickBot="1">
      <c r="A207" s="555" t="str">
        <f t="shared" si="16"/>
        <v>17.1</v>
      </c>
      <c r="B207" s="782" t="s">
        <v>1277</v>
      </c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83"/>
      <c r="N207" s="783"/>
      <c r="O207" s="784"/>
      <c r="P207" s="779" t="str">
        <f t="shared" si="17"/>
        <v>м.</v>
      </c>
      <c r="Q207" s="780"/>
      <c r="R207" s="1284">
        <f>4.8+3.7+176.4+2.14</f>
        <v>187.04</v>
      </c>
      <c r="S207" s="1285"/>
      <c r="T207" s="1286"/>
      <c r="U207" s="556">
        <f t="shared" si="19"/>
        <v>17</v>
      </c>
      <c r="V207" s="558">
        <f t="shared" si="20"/>
        <v>1</v>
      </c>
      <c r="W207" s="558"/>
      <c r="X207" s="558"/>
      <c r="Y207" s="558"/>
      <c r="Z207" s="558"/>
      <c r="AA207" s="558"/>
      <c r="AB207" s="605" t="s">
        <v>1277</v>
      </c>
      <c r="AC207" s="606" t="s">
        <v>193</v>
      </c>
      <c r="AD207" s="628">
        <v>190</v>
      </c>
      <c r="AE207" s="588"/>
    </row>
    <row r="208" spans="1:31" ht="16" thickBot="1">
      <c r="A208" s="554" t="str">
        <f t="shared" si="16"/>
        <v>18.</v>
      </c>
      <c r="B208" s="785" t="s">
        <v>1195</v>
      </c>
      <c r="C208" s="786"/>
      <c r="D208" s="786"/>
      <c r="E208" s="786"/>
      <c r="F208" s="786"/>
      <c r="G208" s="786"/>
      <c r="H208" s="786"/>
      <c r="I208" s="786"/>
      <c r="J208" s="786"/>
      <c r="K208" s="786"/>
      <c r="L208" s="786"/>
      <c r="M208" s="786"/>
      <c r="N208" s="786"/>
      <c r="O208" s="787"/>
      <c r="P208" s="779" t="str">
        <f t="shared" si="17"/>
        <v/>
      </c>
      <c r="Q208" s="780"/>
      <c r="R208" s="1284" t="str">
        <f t="shared" si="18"/>
        <v/>
      </c>
      <c r="S208" s="1285"/>
      <c r="T208" s="1286"/>
      <c r="U208" s="556">
        <v>18</v>
      </c>
      <c r="V208" s="558"/>
      <c r="W208" s="558"/>
      <c r="X208" s="558"/>
      <c r="Y208" s="558"/>
      <c r="Z208" s="558"/>
      <c r="AA208" s="558"/>
      <c r="AB208" s="602" t="s">
        <v>1195</v>
      </c>
      <c r="AC208" s="603"/>
      <c r="AD208" s="630"/>
    </row>
    <row r="209" spans="1:31" ht="29.5" thickBot="1">
      <c r="A209" s="555" t="str">
        <f t="shared" si="16"/>
        <v>18.1</v>
      </c>
      <c r="B209" s="782" t="s">
        <v>1287</v>
      </c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83"/>
      <c r="N209" s="783"/>
      <c r="O209" s="784"/>
      <c r="P209" s="779" t="str">
        <f t="shared" si="17"/>
        <v>т.</v>
      </c>
      <c r="Q209" s="780"/>
      <c r="R209" s="1281">
        <f>(6.46*SUM(R247)/1000+1.323*R231/1000)*1.056</f>
        <v>0.66314320934399995</v>
      </c>
      <c r="S209" s="1282"/>
      <c r="T209" s="1283"/>
      <c r="U209" s="556">
        <f t="shared" si="19"/>
        <v>18</v>
      </c>
      <c r="V209" s="558">
        <f t="shared" si="20"/>
        <v>1</v>
      </c>
      <c r="W209" s="558"/>
      <c r="X209" s="558"/>
      <c r="Y209" s="558"/>
      <c r="Z209" s="558"/>
      <c r="AA209" s="558"/>
      <c r="AB209" s="605" t="s">
        <v>1287</v>
      </c>
      <c r="AC209" s="606" t="s">
        <v>1244</v>
      </c>
      <c r="AD209" s="629">
        <v>0.81699999999999995</v>
      </c>
    </row>
    <row r="210" spans="1:31" ht="44" thickBot="1">
      <c r="A210" s="555" t="str">
        <f t="shared" si="16"/>
        <v>18.2</v>
      </c>
      <c r="B210" s="782" t="s">
        <v>1288</v>
      </c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83"/>
      <c r="N210" s="783"/>
      <c r="O210" s="784"/>
      <c r="P210" s="779" t="str">
        <f t="shared" si="17"/>
        <v>т.</v>
      </c>
      <c r="Q210" s="780"/>
      <c r="R210" s="1284" t="str">
        <f t="shared" si="18"/>
        <v>0,306</v>
      </c>
      <c r="S210" s="1285"/>
      <c r="T210" s="1286"/>
      <c r="U210" s="556">
        <f t="shared" si="19"/>
        <v>18</v>
      </c>
      <c r="V210" s="558">
        <f t="shared" si="20"/>
        <v>2</v>
      </c>
      <c r="W210" s="557"/>
      <c r="X210" s="557"/>
      <c r="Y210" s="557"/>
      <c r="Z210" s="557"/>
      <c r="AA210" s="557"/>
      <c r="AB210" s="605" t="s">
        <v>1288</v>
      </c>
      <c r="AC210" s="606" t="s">
        <v>1244</v>
      </c>
      <c r="AD210" s="629">
        <v>0.30599999999999999</v>
      </c>
    </row>
    <row r="211" spans="1:31" ht="29.5" thickBot="1">
      <c r="A211" s="555" t="str">
        <f t="shared" si="16"/>
        <v>18.3</v>
      </c>
      <c r="B211" s="782" t="s">
        <v>1290</v>
      </c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83"/>
      <c r="N211" s="783"/>
      <c r="O211" s="784"/>
      <c r="P211" s="779" t="str">
        <f t="shared" si="17"/>
        <v>т.</v>
      </c>
      <c r="Q211" s="780"/>
      <c r="R211" s="1284" t="str">
        <f t="shared" si="18"/>
        <v>0,104</v>
      </c>
      <c r="S211" s="1285"/>
      <c r="T211" s="1286"/>
      <c r="U211" s="556">
        <f t="shared" si="19"/>
        <v>18</v>
      </c>
      <c r="V211" s="558">
        <f t="shared" si="20"/>
        <v>3</v>
      </c>
      <c r="W211" s="557"/>
      <c r="X211" s="557"/>
      <c r="Y211" s="557"/>
      <c r="Z211" s="557"/>
      <c r="AA211" s="557"/>
      <c r="AB211" s="605" t="s">
        <v>1290</v>
      </c>
      <c r="AC211" s="606" t="s">
        <v>1244</v>
      </c>
      <c r="AD211" s="629">
        <v>0.104</v>
      </c>
    </row>
    <row r="212" spans="1:31" ht="58.5" thickBot="1">
      <c r="A212" s="555" t="str">
        <f t="shared" si="16"/>
        <v>18.4</v>
      </c>
      <c r="B212" s="782" t="s">
        <v>1245</v>
      </c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83"/>
      <c r="N212" s="783"/>
      <c r="O212" s="784"/>
      <c r="P212" s="779" t="str">
        <f t="shared" si="17"/>
        <v>т.</v>
      </c>
      <c r="Q212" s="780"/>
      <c r="R212" s="1284" t="str">
        <f t="shared" si="18"/>
        <v>0,554</v>
      </c>
      <c r="S212" s="1285"/>
      <c r="T212" s="1286"/>
      <c r="U212" s="556">
        <f t="shared" si="19"/>
        <v>18</v>
      </c>
      <c r="V212" s="558">
        <f t="shared" si="20"/>
        <v>4</v>
      </c>
      <c r="W212" s="557"/>
      <c r="X212" s="557"/>
      <c r="Y212" s="557"/>
      <c r="Z212" s="557"/>
      <c r="AA212" s="557"/>
      <c r="AB212" s="605" t="s">
        <v>1245</v>
      </c>
      <c r="AC212" s="606" t="s">
        <v>1244</v>
      </c>
      <c r="AD212" s="629">
        <v>0.55400000000000005</v>
      </c>
    </row>
    <row r="213" spans="1:31" ht="29.5" thickBot="1">
      <c r="A213" s="555" t="str">
        <f t="shared" si="16"/>
        <v>18.5</v>
      </c>
      <c r="B213" s="782" t="s">
        <v>1199</v>
      </c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83"/>
      <c r="N213" s="783"/>
      <c r="O213" s="784"/>
      <c r="P213" s="779" t="str">
        <f t="shared" si="17"/>
        <v>т.</v>
      </c>
      <c r="Q213" s="780"/>
      <c r="R213" s="1290">
        <f>X19*SUM(R246,R256)</f>
        <v>2.8604866468842731</v>
      </c>
      <c r="S213" s="1291"/>
      <c r="T213" s="1292"/>
      <c r="U213" s="556">
        <f t="shared" si="19"/>
        <v>18</v>
      </c>
      <c r="V213" s="558">
        <f t="shared" si="20"/>
        <v>5</v>
      </c>
      <c r="W213" s="557"/>
      <c r="X213" s="557"/>
      <c r="Y213" s="557"/>
      <c r="Z213" s="557"/>
      <c r="AA213" s="557"/>
      <c r="AB213" s="605" t="s">
        <v>1199</v>
      </c>
      <c r="AC213" s="606" t="s">
        <v>1244</v>
      </c>
      <c r="AD213" s="629">
        <v>4.032</v>
      </c>
    </row>
    <row r="214" spans="1:31" ht="29.5" thickBot="1">
      <c r="A214" s="555" t="str">
        <f t="shared" si="16"/>
        <v>18.6</v>
      </c>
      <c r="B214" s="782" t="s">
        <v>1291</v>
      </c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83"/>
      <c r="N214" s="783"/>
      <c r="O214" s="784"/>
      <c r="P214" s="779" t="str">
        <f t="shared" si="17"/>
        <v>т.</v>
      </c>
      <c r="Q214" s="780"/>
      <c r="R214" s="1284">
        <f>1.798*R245</f>
        <v>1.798</v>
      </c>
      <c r="S214" s="1285"/>
      <c r="T214" s="1286"/>
      <c r="U214" s="556">
        <f t="shared" si="19"/>
        <v>18</v>
      </c>
      <c r="V214" s="558">
        <f t="shared" si="20"/>
        <v>6</v>
      </c>
      <c r="W214" s="557"/>
      <c r="X214" s="557"/>
      <c r="Y214" s="557"/>
      <c r="Z214" s="557"/>
      <c r="AA214" s="557"/>
      <c r="AB214" s="605" t="s">
        <v>1291</v>
      </c>
      <c r="AC214" s="606" t="s">
        <v>1244</v>
      </c>
      <c r="AD214" s="629">
        <v>1.798</v>
      </c>
    </row>
    <row r="215" spans="1:31" ht="31.9" customHeight="1" thickBot="1">
      <c r="A215" s="555" t="str">
        <f t="shared" si="16"/>
        <v>18.7</v>
      </c>
      <c r="B215" s="782" t="s">
        <v>1249</v>
      </c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83"/>
      <c r="N215" s="783"/>
      <c r="O215" s="784"/>
      <c r="P215" s="779" t="str">
        <f t="shared" si="17"/>
        <v>т.</v>
      </c>
      <c r="Q215" s="780"/>
      <c r="R215" s="1290">
        <f>R213</f>
        <v>2.8604866468842731</v>
      </c>
      <c r="S215" s="1285"/>
      <c r="T215" s="1286"/>
      <c r="U215" s="556">
        <f t="shared" si="19"/>
        <v>18</v>
      </c>
      <c r="V215" s="558">
        <f t="shared" si="20"/>
        <v>7</v>
      </c>
      <c r="W215" s="557"/>
      <c r="X215" s="557"/>
      <c r="Y215" s="557"/>
      <c r="Z215" s="557"/>
      <c r="AA215" s="557"/>
      <c r="AB215" s="605" t="s">
        <v>1249</v>
      </c>
      <c r="AC215" s="606" t="s">
        <v>1244</v>
      </c>
      <c r="AD215" s="628">
        <v>3.2</v>
      </c>
    </row>
    <row r="216" spans="1:31" ht="44" thickBot="1">
      <c r="A216" s="555" t="str">
        <f t="shared" si="16"/>
        <v>18.8</v>
      </c>
      <c r="B216" s="782" t="s">
        <v>1418</v>
      </c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83"/>
      <c r="N216" s="783"/>
      <c r="O216" s="784"/>
      <c r="P216" s="779" t="str">
        <f t="shared" si="17"/>
        <v>т.</v>
      </c>
      <c r="Q216" s="780"/>
      <c r="R216" s="1284">
        <f>R214</f>
        <v>1.798</v>
      </c>
      <c r="S216" s="1285"/>
      <c r="T216" s="1286"/>
      <c r="U216" s="556">
        <f t="shared" si="19"/>
        <v>18</v>
      </c>
      <c r="V216" s="558">
        <f t="shared" si="20"/>
        <v>8</v>
      </c>
      <c r="W216" s="557"/>
      <c r="X216" s="557"/>
      <c r="Y216" s="557"/>
      <c r="Z216" s="557"/>
      <c r="AA216" s="557"/>
      <c r="AB216" s="605" t="s">
        <v>1292</v>
      </c>
      <c r="AC216" s="606" t="s">
        <v>1244</v>
      </c>
      <c r="AD216" s="629">
        <v>1.798</v>
      </c>
    </row>
    <row r="217" spans="1:31" ht="29.5" thickBot="1">
      <c r="A217" s="555" t="str">
        <f t="shared" si="16"/>
        <v>18.9</v>
      </c>
      <c r="B217" s="782" t="s">
        <v>1200</v>
      </c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83"/>
      <c r="N217" s="783"/>
      <c r="O217" s="784"/>
      <c r="P217" s="779" t="str">
        <f t="shared" si="17"/>
        <v>т.</v>
      </c>
      <c r="Q217" s="780"/>
      <c r="R217" s="1284" t="str">
        <f t="shared" si="18"/>
        <v>0,05</v>
      </c>
      <c r="S217" s="1285"/>
      <c r="T217" s="1286"/>
      <c r="U217" s="556">
        <f t="shared" si="19"/>
        <v>18</v>
      </c>
      <c r="V217" s="558">
        <f t="shared" si="20"/>
        <v>9</v>
      </c>
      <c r="W217" s="557"/>
      <c r="X217" s="557"/>
      <c r="Y217" s="557"/>
      <c r="Z217" s="557"/>
      <c r="AA217" s="557"/>
      <c r="AB217" s="605" t="s">
        <v>1200</v>
      </c>
      <c r="AC217" s="606" t="s">
        <v>1244</v>
      </c>
      <c r="AD217" s="628">
        <v>0.05</v>
      </c>
    </row>
    <row r="218" spans="1:31" ht="44" thickBot="1">
      <c r="A218" s="555" t="str">
        <f t="shared" si="16"/>
        <v>18.10</v>
      </c>
      <c r="B218" s="782" t="s">
        <v>1246</v>
      </c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83"/>
      <c r="N218" s="783"/>
      <c r="O218" s="784"/>
      <c r="P218" s="779" t="str">
        <f t="shared" si="17"/>
        <v>т.</v>
      </c>
      <c r="Q218" s="780"/>
      <c r="R218" s="1284" t="str">
        <f t="shared" si="18"/>
        <v>0,05</v>
      </c>
      <c r="S218" s="1285"/>
      <c r="T218" s="1286"/>
      <c r="U218" s="556">
        <f t="shared" si="19"/>
        <v>18</v>
      </c>
      <c r="V218" s="558">
        <f t="shared" si="20"/>
        <v>10</v>
      </c>
      <c r="W218" s="557"/>
      <c r="X218" s="557"/>
      <c r="Y218" s="557"/>
      <c r="Z218" s="557"/>
      <c r="AA218" s="557"/>
      <c r="AB218" s="624" t="s">
        <v>1246</v>
      </c>
      <c r="AC218" s="606" t="s">
        <v>1244</v>
      </c>
      <c r="AD218" s="628">
        <v>0.05</v>
      </c>
    </row>
    <row r="219" spans="1:31" ht="29.5" thickBot="1">
      <c r="A219" s="555" t="str">
        <f t="shared" si="16"/>
        <v>18.11</v>
      </c>
      <c r="B219" s="782" t="s">
        <v>1201</v>
      </c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83"/>
      <c r="N219" s="783"/>
      <c r="O219" s="784"/>
      <c r="P219" s="779" t="str">
        <f t="shared" si="17"/>
        <v>рейс</v>
      </c>
      <c r="Q219" s="780"/>
      <c r="R219" s="1284" t="str">
        <f t="shared" si="18"/>
        <v>30</v>
      </c>
      <c r="S219" s="1285"/>
      <c r="T219" s="1286"/>
      <c r="U219" s="556">
        <f t="shared" si="19"/>
        <v>18</v>
      </c>
      <c r="V219" s="558">
        <f t="shared" si="20"/>
        <v>11</v>
      </c>
      <c r="W219" s="557"/>
      <c r="X219" s="557">
        <f>26.96+11.33+4.42</f>
        <v>42.71</v>
      </c>
      <c r="Y219" s="557"/>
      <c r="Z219" s="557"/>
      <c r="AA219" s="557"/>
      <c r="AB219" s="605" t="s">
        <v>1201</v>
      </c>
      <c r="AC219" s="606" t="s">
        <v>1202</v>
      </c>
      <c r="AD219" s="628">
        <v>30</v>
      </c>
    </row>
    <row r="220" spans="1:31" ht="16" thickBot="1">
      <c r="A220" s="554" t="str">
        <f t="shared" si="16"/>
        <v>19.</v>
      </c>
      <c r="B220" s="785" t="s">
        <v>1293</v>
      </c>
      <c r="C220" s="786"/>
      <c r="D220" s="786"/>
      <c r="E220" s="786"/>
      <c r="F220" s="786"/>
      <c r="G220" s="786"/>
      <c r="H220" s="786"/>
      <c r="I220" s="786"/>
      <c r="J220" s="786"/>
      <c r="K220" s="786"/>
      <c r="L220" s="786"/>
      <c r="M220" s="786"/>
      <c r="N220" s="786"/>
      <c r="O220" s="787"/>
      <c r="P220" s="779" t="str">
        <f t="shared" si="17"/>
        <v/>
      </c>
      <c r="Q220" s="780"/>
      <c r="R220" s="1284" t="str">
        <f t="shared" si="18"/>
        <v/>
      </c>
      <c r="S220" s="1285"/>
      <c r="T220" s="1286"/>
      <c r="U220" s="556">
        <v>19</v>
      </c>
      <c r="V220" s="558"/>
      <c r="W220" s="557"/>
      <c r="X220" s="557">
        <f>7.1+6.6+47.5+0.9+4.3+63.1+8.1</f>
        <v>137.6</v>
      </c>
      <c r="Y220" s="557"/>
      <c r="Z220" s="557"/>
      <c r="AA220" s="557"/>
      <c r="AB220" s="602" t="s">
        <v>1293</v>
      </c>
      <c r="AC220" s="603"/>
      <c r="AD220" s="630"/>
      <c r="AE220" s="588"/>
    </row>
    <row r="221" spans="1:31" ht="16" thickBot="1">
      <c r="A221" s="555" t="str">
        <f t="shared" si="16"/>
        <v>19.1</v>
      </c>
      <c r="B221" s="782" t="s">
        <v>1203</v>
      </c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83"/>
      <c r="N221" s="783"/>
      <c r="O221" s="784"/>
      <c r="P221" s="779" t="str">
        <f t="shared" si="17"/>
        <v/>
      </c>
      <c r="Q221" s="780"/>
      <c r="R221" s="1284" t="str">
        <f t="shared" si="18"/>
        <v/>
      </c>
      <c r="S221" s="1285"/>
      <c r="T221" s="1286"/>
      <c r="U221" s="556">
        <f t="shared" si="19"/>
        <v>19</v>
      </c>
      <c r="V221" s="558">
        <f t="shared" si="20"/>
        <v>1</v>
      </c>
      <c r="W221" s="557"/>
      <c r="X221" s="557"/>
      <c r="Y221" s="557"/>
      <c r="Z221" s="557"/>
      <c r="AA221" s="557"/>
      <c r="AB221" s="636" t="s">
        <v>1203</v>
      </c>
      <c r="AC221" s="589"/>
      <c r="AD221" s="590"/>
      <c r="AE221" s="588"/>
    </row>
    <row r="222" spans="1:31">
      <c r="A222" s="555" t="str">
        <f t="shared" si="16"/>
        <v>19.2</v>
      </c>
      <c r="B222" s="782" t="s">
        <v>1297</v>
      </c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83"/>
      <c r="N222" s="783"/>
      <c r="O222" s="784"/>
      <c r="P222" s="779" t="str">
        <f t="shared" si="17"/>
        <v>т</v>
      </c>
      <c r="Q222" s="780"/>
      <c r="R222" s="1284" t="str">
        <f t="shared" si="18"/>
        <v>0,02</v>
      </c>
      <c r="S222" s="1285"/>
      <c r="T222" s="1286"/>
      <c r="U222" s="556">
        <f t="shared" si="19"/>
        <v>19</v>
      </c>
      <c r="V222" s="558">
        <f t="shared" si="20"/>
        <v>2</v>
      </c>
      <c r="W222" s="557"/>
      <c r="X222" s="557"/>
      <c r="Y222" s="557"/>
      <c r="Z222" s="557"/>
      <c r="AA222" s="557"/>
      <c r="AB222" s="624" t="s">
        <v>1297</v>
      </c>
      <c r="AC222" s="613" t="s">
        <v>1160</v>
      </c>
      <c r="AD222" s="634">
        <v>0.02</v>
      </c>
      <c r="AE222" s="588"/>
    </row>
    <row r="223" spans="1:31" ht="29.5" thickBot="1">
      <c r="A223" s="555" t="str">
        <f t="shared" si="16"/>
        <v>19.3</v>
      </c>
      <c r="B223" s="782" t="s">
        <v>1298</v>
      </c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83"/>
      <c r="N223" s="783"/>
      <c r="O223" s="784"/>
      <c r="P223" s="779" t="str">
        <f t="shared" si="17"/>
        <v>т</v>
      </c>
      <c r="Q223" s="780"/>
      <c r="R223" s="1284" t="str">
        <f t="shared" si="18"/>
        <v>0,493</v>
      </c>
      <c r="S223" s="1285"/>
      <c r="T223" s="1286"/>
      <c r="U223" s="556">
        <f t="shared" si="19"/>
        <v>19</v>
      </c>
      <c r="V223" s="558">
        <f t="shared" si="20"/>
        <v>3</v>
      </c>
      <c r="W223" s="557"/>
      <c r="X223" s="557"/>
      <c r="Y223" s="557"/>
      <c r="Z223" s="557"/>
      <c r="AA223" s="557"/>
      <c r="AB223" s="605" t="s">
        <v>1298</v>
      </c>
      <c r="AC223" s="606" t="s">
        <v>1160</v>
      </c>
      <c r="AD223" s="629">
        <v>0.49299999999999999</v>
      </c>
      <c r="AE223" s="588"/>
    </row>
    <row r="224" spans="1:31" ht="29.5" thickBot="1">
      <c r="A224" s="555" t="str">
        <f t="shared" si="16"/>
        <v>19.4</v>
      </c>
      <c r="B224" s="782" t="s">
        <v>1198</v>
      </c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83"/>
      <c r="N224" s="783"/>
      <c r="O224" s="784"/>
      <c r="P224" s="779" t="str">
        <f t="shared" si="17"/>
        <v>т</v>
      </c>
      <c r="Q224" s="780"/>
      <c r="R224" s="1284" t="str">
        <f t="shared" si="18"/>
        <v>0,104</v>
      </c>
      <c r="S224" s="1285"/>
      <c r="T224" s="1286"/>
      <c r="U224" s="556">
        <f t="shared" si="19"/>
        <v>19</v>
      </c>
      <c r="V224" s="558">
        <f t="shared" si="20"/>
        <v>4</v>
      </c>
      <c r="W224" s="557"/>
      <c r="X224" s="557"/>
      <c r="Y224" s="557"/>
      <c r="Z224" s="557"/>
      <c r="AA224" s="557"/>
      <c r="AB224" s="605" t="s">
        <v>1198</v>
      </c>
      <c r="AC224" s="606" t="s">
        <v>1160</v>
      </c>
      <c r="AD224" s="629">
        <v>0.104</v>
      </c>
      <c r="AE224" s="588"/>
    </row>
    <row r="225" spans="1:31" ht="16" thickBot="1">
      <c r="A225" s="554" t="str">
        <f t="shared" si="16"/>
        <v>20.</v>
      </c>
      <c r="B225" s="785" t="s">
        <v>1326</v>
      </c>
      <c r="C225" s="786"/>
      <c r="D225" s="786"/>
      <c r="E225" s="786"/>
      <c r="F225" s="786"/>
      <c r="G225" s="786"/>
      <c r="H225" s="786"/>
      <c r="I225" s="786"/>
      <c r="J225" s="786"/>
      <c r="K225" s="786"/>
      <c r="L225" s="786"/>
      <c r="M225" s="786"/>
      <c r="N225" s="786"/>
      <c r="O225" s="787"/>
      <c r="P225" s="779" t="str">
        <f t="shared" si="17"/>
        <v/>
      </c>
      <c r="Q225" s="780"/>
      <c r="R225" s="1284" t="str">
        <f t="shared" si="18"/>
        <v/>
      </c>
      <c r="S225" s="1285"/>
      <c r="T225" s="1286"/>
      <c r="U225" s="556">
        <v>20</v>
      </c>
      <c r="V225" s="558"/>
      <c r="W225" s="557"/>
      <c r="X225" s="557"/>
      <c r="Y225" s="557"/>
      <c r="Z225" s="557"/>
      <c r="AA225" s="557"/>
      <c r="AB225" s="602" t="s">
        <v>1326</v>
      </c>
      <c r="AC225" s="603"/>
      <c r="AD225" s="630"/>
      <c r="AE225" s="588"/>
    </row>
    <row r="226" spans="1:31" ht="16" thickBot="1">
      <c r="A226" s="555" t="str">
        <f t="shared" si="16"/>
        <v>20.1</v>
      </c>
      <c r="B226" s="782" t="s">
        <v>1327</v>
      </c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83"/>
      <c r="N226" s="783"/>
      <c r="O226" s="784"/>
      <c r="P226" s="779" t="str">
        <f t="shared" si="17"/>
        <v>шт.</v>
      </c>
      <c r="Q226" s="780"/>
      <c r="R226" s="1284" t="str">
        <f t="shared" si="18"/>
        <v>12</v>
      </c>
      <c r="S226" s="1285"/>
      <c r="T226" s="1286"/>
      <c r="U226" s="556">
        <f t="shared" si="19"/>
        <v>20</v>
      </c>
      <c r="V226" s="558">
        <f t="shared" si="20"/>
        <v>1</v>
      </c>
      <c r="W226" s="557"/>
      <c r="X226" s="557"/>
      <c r="Y226" s="557"/>
      <c r="Z226" s="557"/>
      <c r="AA226" s="557"/>
      <c r="AB226" s="605" t="s">
        <v>1327</v>
      </c>
      <c r="AC226" s="606" t="s">
        <v>1194</v>
      </c>
      <c r="AD226" s="628">
        <v>12</v>
      </c>
      <c r="AE226" s="588"/>
    </row>
    <row r="227" spans="1:31" ht="16" thickBot="1">
      <c r="A227" s="555" t="str">
        <f t="shared" si="16"/>
        <v>20.2</v>
      </c>
      <c r="B227" s="782" t="s">
        <v>1328</v>
      </c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83"/>
      <c r="N227" s="783"/>
      <c r="O227" s="784"/>
      <c r="P227" s="779" t="str">
        <f t="shared" si="17"/>
        <v>шт.</v>
      </c>
      <c r="Q227" s="780"/>
      <c r="R227" s="1284" t="str">
        <f t="shared" si="18"/>
        <v>3</v>
      </c>
      <c r="S227" s="1285"/>
      <c r="T227" s="1286"/>
      <c r="U227" s="556">
        <f t="shared" si="19"/>
        <v>20</v>
      </c>
      <c r="V227" s="558">
        <f t="shared" si="20"/>
        <v>2</v>
      </c>
      <c r="W227" s="557"/>
      <c r="X227" s="557"/>
      <c r="Y227" s="557"/>
      <c r="Z227" s="557"/>
      <c r="AA227" s="557"/>
      <c r="AB227" s="605" t="s">
        <v>1328</v>
      </c>
      <c r="AC227" s="606" t="s">
        <v>1194</v>
      </c>
      <c r="AD227" s="628">
        <v>3</v>
      </c>
      <c r="AE227" s="588"/>
    </row>
    <row r="228" spans="1:31" ht="16" thickBot="1">
      <c r="A228" s="555" t="str">
        <f t="shared" si="16"/>
        <v>20.3</v>
      </c>
      <c r="B228" s="782" t="s">
        <v>1329</v>
      </c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83"/>
      <c r="N228" s="783"/>
      <c r="O228" s="784"/>
      <c r="P228" s="779" t="str">
        <f t="shared" si="17"/>
        <v>шт.</v>
      </c>
      <c r="Q228" s="780"/>
      <c r="R228" s="1284" t="str">
        <f t="shared" si="18"/>
        <v>16</v>
      </c>
      <c r="S228" s="1285"/>
      <c r="T228" s="1286"/>
      <c r="U228" s="556">
        <f t="shared" si="19"/>
        <v>20</v>
      </c>
      <c r="V228" s="558">
        <f t="shared" si="20"/>
        <v>3</v>
      </c>
      <c r="W228" s="557"/>
      <c r="X228" s="557"/>
      <c r="Y228" s="557"/>
      <c r="Z228" s="557"/>
      <c r="AA228" s="557"/>
      <c r="AB228" s="605" t="s">
        <v>1329</v>
      </c>
      <c r="AC228" s="606" t="s">
        <v>1194</v>
      </c>
      <c r="AD228" s="628">
        <v>16</v>
      </c>
    </row>
    <row r="229" spans="1:31" ht="16" thickBot="1">
      <c r="A229" s="555" t="str">
        <f t="shared" si="16"/>
        <v>20.4</v>
      </c>
      <c r="B229" s="782" t="s">
        <v>1330</v>
      </c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83"/>
      <c r="N229" s="783"/>
      <c r="O229" s="784"/>
      <c r="P229" s="779" t="str">
        <f t="shared" si="17"/>
        <v/>
      </c>
      <c r="Q229" s="780"/>
      <c r="R229" s="1284" t="str">
        <f t="shared" si="18"/>
        <v/>
      </c>
      <c r="S229" s="1285"/>
      <c r="T229" s="1286"/>
      <c r="U229" s="556">
        <f t="shared" si="19"/>
        <v>20</v>
      </c>
      <c r="V229" s="558">
        <f t="shared" si="20"/>
        <v>4</v>
      </c>
      <c r="W229" s="557"/>
      <c r="X229" s="557"/>
      <c r="Y229" s="557"/>
      <c r="Z229" s="557"/>
      <c r="AA229" s="557"/>
      <c r="AB229" s="641" t="s">
        <v>1330</v>
      </c>
      <c r="AC229" s="615"/>
      <c r="AD229" s="615"/>
    </row>
    <row r="230" spans="1:31" ht="16" thickBot="1">
      <c r="A230" s="555" t="str">
        <f t="shared" si="16"/>
        <v>20.5</v>
      </c>
      <c r="B230" s="782" t="s">
        <v>1331</v>
      </c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83"/>
      <c r="N230" s="783"/>
      <c r="O230" s="784"/>
      <c r="P230" s="779" t="str">
        <f t="shared" si="17"/>
        <v>м/прол.</v>
      </c>
      <c r="Q230" s="780"/>
      <c r="R230" s="1284" t="str">
        <f>R159</f>
        <v>352,8/6</v>
      </c>
      <c r="S230" s="1285"/>
      <c r="T230" s="1286"/>
      <c r="U230" s="556">
        <f t="shared" si="19"/>
        <v>20</v>
      </c>
      <c r="V230" s="558">
        <f t="shared" si="20"/>
        <v>5</v>
      </c>
      <c r="W230" s="557"/>
      <c r="X230" s="557"/>
      <c r="Y230" s="557"/>
      <c r="Z230" s="557"/>
      <c r="AA230" s="557"/>
      <c r="AB230" s="625" t="s">
        <v>1331</v>
      </c>
      <c r="AC230" s="626" t="s">
        <v>1211</v>
      </c>
      <c r="AD230" s="631" t="s">
        <v>1332</v>
      </c>
    </row>
    <row r="231" spans="1:31" ht="16" thickBot="1">
      <c r="A231" s="555" t="str">
        <f t="shared" si="16"/>
        <v>20.6</v>
      </c>
      <c r="B231" s="782" t="s">
        <v>1333</v>
      </c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83"/>
      <c r="N231" s="783"/>
      <c r="O231" s="784"/>
      <c r="P231" s="779" t="str">
        <f t="shared" si="17"/>
        <v>м</v>
      </c>
      <c r="Q231" s="780"/>
      <c r="R231" s="1293">
        <f>R158</f>
        <v>368.67599999999999</v>
      </c>
      <c r="S231" s="1285"/>
      <c r="T231" s="1286"/>
      <c r="U231" s="556">
        <f t="shared" si="19"/>
        <v>20</v>
      </c>
      <c r="V231" s="558">
        <f t="shared" si="20"/>
        <v>6</v>
      </c>
      <c r="W231" s="557"/>
      <c r="X231" s="557"/>
      <c r="Y231" s="557"/>
      <c r="Z231" s="557"/>
      <c r="AA231" s="557"/>
      <c r="AB231" s="605" t="s">
        <v>1333</v>
      </c>
      <c r="AC231" s="606" t="s">
        <v>1159</v>
      </c>
      <c r="AD231" s="628">
        <v>374</v>
      </c>
    </row>
    <row r="232" spans="1:31" ht="44" thickBot="1">
      <c r="A232" s="555" t="str">
        <f t="shared" si="16"/>
        <v>20.7</v>
      </c>
      <c r="B232" s="782" t="s">
        <v>1334</v>
      </c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83"/>
      <c r="N232" s="783"/>
      <c r="O232" s="784"/>
      <c r="P232" s="779" t="str">
        <f t="shared" si="17"/>
        <v>м/прол.</v>
      </c>
      <c r="Q232" s="780"/>
      <c r="R232" s="1284" t="str">
        <f>R230</f>
        <v>352,8/6</v>
      </c>
      <c r="S232" s="1285"/>
      <c r="T232" s="1286"/>
      <c r="U232" s="556">
        <f t="shared" si="19"/>
        <v>20</v>
      </c>
      <c r="V232" s="558">
        <f t="shared" si="20"/>
        <v>7</v>
      </c>
      <c r="W232" s="557"/>
      <c r="X232" s="557"/>
      <c r="Y232" s="557"/>
      <c r="Z232" s="557"/>
      <c r="AA232" s="557"/>
      <c r="AB232" s="605" t="s">
        <v>1334</v>
      </c>
      <c r="AC232" s="606" t="s">
        <v>1211</v>
      </c>
      <c r="AD232" s="629" t="s">
        <v>1332</v>
      </c>
    </row>
    <row r="233" spans="1:31" ht="16" thickBot="1">
      <c r="A233" s="555" t="str">
        <f t="shared" si="16"/>
        <v>20.8</v>
      </c>
      <c r="B233" s="782" t="s">
        <v>1335</v>
      </c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83"/>
      <c r="N233" s="783"/>
      <c r="O233" s="784"/>
      <c r="P233" s="779" t="str">
        <f t="shared" si="17"/>
        <v>шт.</v>
      </c>
      <c r="Q233" s="780"/>
      <c r="R233" s="1284" t="str">
        <f t="shared" si="18"/>
        <v>20</v>
      </c>
      <c r="S233" s="1285"/>
      <c r="T233" s="1286"/>
      <c r="U233" s="556">
        <f t="shared" si="19"/>
        <v>20</v>
      </c>
      <c r="V233" s="558">
        <f t="shared" si="20"/>
        <v>8</v>
      </c>
      <c r="W233" s="557"/>
      <c r="X233" s="557"/>
      <c r="Y233" s="557"/>
      <c r="Z233" s="557"/>
      <c r="AA233" s="557"/>
      <c r="AB233" s="605" t="s">
        <v>1335</v>
      </c>
      <c r="AC233" s="606" t="s">
        <v>1194</v>
      </c>
      <c r="AD233" s="628">
        <v>20</v>
      </c>
    </row>
    <row r="234" spans="1:31" ht="16" thickBot="1">
      <c r="A234" s="554" t="str">
        <f t="shared" si="16"/>
        <v>21.</v>
      </c>
      <c r="B234" s="785" t="s">
        <v>1336</v>
      </c>
      <c r="C234" s="786"/>
      <c r="D234" s="786"/>
      <c r="E234" s="786"/>
      <c r="F234" s="786"/>
      <c r="G234" s="786"/>
      <c r="H234" s="786"/>
      <c r="I234" s="786"/>
      <c r="J234" s="786"/>
      <c r="K234" s="786"/>
      <c r="L234" s="786"/>
      <c r="M234" s="786"/>
      <c r="N234" s="786"/>
      <c r="O234" s="787"/>
      <c r="P234" s="779" t="str">
        <f t="shared" si="17"/>
        <v/>
      </c>
      <c r="Q234" s="780"/>
      <c r="R234" s="1284" t="str">
        <f t="shared" si="18"/>
        <v/>
      </c>
      <c r="S234" s="1285"/>
      <c r="T234" s="1286"/>
      <c r="U234" s="556">
        <v>21</v>
      </c>
      <c r="V234" s="558"/>
      <c r="W234" s="557"/>
      <c r="X234" s="557"/>
      <c r="Y234" s="557"/>
      <c r="Z234" s="557"/>
      <c r="AA234" s="557"/>
      <c r="AB234" s="602" t="s">
        <v>1336</v>
      </c>
      <c r="AC234" s="603"/>
      <c r="AD234" s="630"/>
      <c r="AE234" s="588"/>
    </row>
    <row r="235" spans="1:31" ht="16" thickBot="1">
      <c r="A235" s="555" t="str">
        <f t="shared" si="16"/>
        <v>21.1</v>
      </c>
      <c r="B235" s="782" t="s">
        <v>1214</v>
      </c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83"/>
      <c r="N235" s="783"/>
      <c r="O235" s="784"/>
      <c r="P235" s="779" t="str">
        <f t="shared" si="17"/>
        <v>изм.</v>
      </c>
      <c r="Q235" s="780"/>
      <c r="R235" s="1284" t="str">
        <f t="shared" si="18"/>
        <v>4</v>
      </c>
      <c r="S235" s="1285"/>
      <c r="T235" s="1286"/>
      <c r="U235" s="556">
        <f t="shared" si="19"/>
        <v>21</v>
      </c>
      <c r="V235" s="558">
        <f t="shared" si="20"/>
        <v>1</v>
      </c>
      <c r="W235" s="557"/>
      <c r="X235" s="557"/>
      <c r="Y235" s="557"/>
      <c r="Z235" s="557"/>
      <c r="AA235" s="557"/>
      <c r="AB235" s="605" t="s">
        <v>1214</v>
      </c>
      <c r="AC235" s="606" t="s">
        <v>1213</v>
      </c>
      <c r="AD235" s="628">
        <v>4</v>
      </c>
      <c r="AE235" s="588"/>
    </row>
    <row r="236" spans="1:31" ht="16" thickBot="1">
      <c r="A236" s="555" t="str">
        <f t="shared" si="16"/>
        <v>21.2</v>
      </c>
      <c r="B236" s="782" t="s">
        <v>1215</v>
      </c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83"/>
      <c r="N236" s="783"/>
      <c r="O236" s="784"/>
      <c r="P236" s="779" t="str">
        <f t="shared" si="17"/>
        <v>изм.</v>
      </c>
      <c r="Q236" s="780"/>
      <c r="R236" s="1284" t="str">
        <f t="shared" si="18"/>
        <v>3</v>
      </c>
      <c r="S236" s="1285"/>
      <c r="T236" s="1286"/>
      <c r="U236" s="556">
        <f t="shared" si="19"/>
        <v>21</v>
      </c>
      <c r="V236" s="558">
        <f t="shared" si="20"/>
        <v>2</v>
      </c>
      <c r="W236" s="557"/>
      <c r="X236" s="557"/>
      <c r="Y236" s="557"/>
      <c r="Z236" s="557"/>
      <c r="AA236" s="557"/>
      <c r="AB236" s="605" t="s">
        <v>1215</v>
      </c>
      <c r="AC236" s="606" t="s">
        <v>1213</v>
      </c>
      <c r="AD236" s="628">
        <v>3</v>
      </c>
      <c r="AE236" s="588"/>
    </row>
    <row r="237" spans="1:31" ht="29.5" thickBot="1">
      <c r="A237" s="555" t="str">
        <f t="shared" si="16"/>
        <v>21.3</v>
      </c>
      <c r="B237" s="782" t="s">
        <v>1338</v>
      </c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83"/>
      <c r="N237" s="783"/>
      <c r="O237" s="784"/>
      <c r="P237" s="779" t="str">
        <f t="shared" si="17"/>
        <v>изм.</v>
      </c>
      <c r="Q237" s="780"/>
      <c r="R237" s="1284" t="str">
        <f t="shared" si="18"/>
        <v>1</v>
      </c>
      <c r="S237" s="1285"/>
      <c r="T237" s="1286"/>
      <c r="U237" s="556">
        <f t="shared" si="19"/>
        <v>21</v>
      </c>
      <c r="V237" s="558">
        <f t="shared" si="20"/>
        <v>3</v>
      </c>
      <c r="W237" s="557"/>
      <c r="X237" s="557"/>
      <c r="Y237" s="557"/>
      <c r="Z237" s="557"/>
      <c r="AA237" s="557"/>
      <c r="AB237" s="605" t="s">
        <v>1338</v>
      </c>
      <c r="AC237" s="606" t="s">
        <v>1213</v>
      </c>
      <c r="AD237" s="628">
        <v>1</v>
      </c>
      <c r="AE237" s="588"/>
    </row>
    <row r="238" spans="1:31" ht="16" thickBot="1">
      <c r="A238" s="554" t="str">
        <f t="shared" si="16"/>
        <v>22.</v>
      </c>
      <c r="B238" s="785" t="s">
        <v>1339</v>
      </c>
      <c r="C238" s="786"/>
      <c r="D238" s="786"/>
      <c r="E238" s="786"/>
      <c r="F238" s="786"/>
      <c r="G238" s="786"/>
      <c r="H238" s="786"/>
      <c r="I238" s="786"/>
      <c r="J238" s="786"/>
      <c r="K238" s="786"/>
      <c r="L238" s="786"/>
      <c r="M238" s="786"/>
      <c r="N238" s="786"/>
      <c r="O238" s="787"/>
      <c r="P238" s="779" t="str">
        <f t="shared" si="17"/>
        <v/>
      </c>
      <c r="Q238" s="780"/>
      <c r="R238" s="1284" t="str">
        <f t="shared" si="18"/>
        <v/>
      </c>
      <c r="S238" s="1285"/>
      <c r="T238" s="1286"/>
      <c r="U238" s="556">
        <v>22</v>
      </c>
      <c r="V238" s="558"/>
      <c r="W238" s="558"/>
      <c r="X238" s="558"/>
      <c r="Y238" s="558"/>
      <c r="Z238" s="558"/>
      <c r="AA238" s="558"/>
      <c r="AB238" s="602" t="s">
        <v>1339</v>
      </c>
      <c r="AC238" s="603"/>
      <c r="AD238" s="630"/>
      <c r="AE238" s="588"/>
    </row>
    <row r="239" spans="1:31" ht="33.75" customHeight="1" thickBot="1">
      <c r="A239" s="555" t="str">
        <f t="shared" si="16"/>
        <v>22.1</v>
      </c>
      <c r="B239" s="782" t="s">
        <v>1409</v>
      </c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83"/>
      <c r="N239" s="783"/>
      <c r="O239" s="784"/>
      <c r="P239" s="779" t="str">
        <f t="shared" si="17"/>
        <v>м/м3</v>
      </c>
      <c r="Q239" s="780"/>
      <c r="R239" s="1284" t="str">
        <f>CONCATENATE(X239,"/",ROUND(X239*0.425,2))</f>
        <v>10,64/4,52</v>
      </c>
      <c r="S239" s="1285"/>
      <c r="T239" s="1286"/>
      <c r="U239" s="556">
        <f t="shared" si="19"/>
        <v>22</v>
      </c>
      <c r="V239" s="558">
        <f t="shared" si="20"/>
        <v>1</v>
      </c>
      <c r="W239" s="558"/>
      <c r="X239" s="600">
        <f>X168</f>
        <v>10.64</v>
      </c>
      <c r="Y239" s="558"/>
      <c r="Z239" s="558"/>
      <c r="AA239" s="558"/>
      <c r="AB239" s="605" t="s">
        <v>1340</v>
      </c>
      <c r="AC239" s="606" t="s">
        <v>1217</v>
      </c>
      <c r="AD239" s="629" t="s">
        <v>1341</v>
      </c>
      <c r="AE239" s="588"/>
    </row>
    <row r="240" spans="1:31" ht="16" thickBot="1">
      <c r="A240" s="555" t="str">
        <f t="shared" si="16"/>
        <v>22.2</v>
      </c>
      <c r="B240" s="782" t="s">
        <v>1207</v>
      </c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83"/>
      <c r="N240" s="783"/>
      <c r="O240" s="784"/>
      <c r="P240" s="779" t="str">
        <f t="shared" si="17"/>
        <v>м3</v>
      </c>
      <c r="Q240" s="780"/>
      <c r="R240" s="1287">
        <f>ROUND(X239*0.425,2)*0.7</f>
        <v>3.1639999999999997</v>
      </c>
      <c r="S240" s="1288"/>
      <c r="T240" s="1289"/>
      <c r="U240" s="556">
        <f t="shared" si="19"/>
        <v>22</v>
      </c>
      <c r="V240" s="558">
        <f t="shared" si="20"/>
        <v>2</v>
      </c>
      <c r="W240" s="558"/>
      <c r="X240" s="558"/>
      <c r="Y240" s="558"/>
      <c r="Z240" s="558"/>
      <c r="AA240" s="558"/>
      <c r="AB240" s="605" t="s">
        <v>1207</v>
      </c>
      <c r="AC240" s="606" t="s">
        <v>1163</v>
      </c>
      <c r="AD240" s="628">
        <v>6.24</v>
      </c>
      <c r="AE240" s="588"/>
    </row>
    <row r="241" spans="1:31" ht="16" thickBot="1">
      <c r="A241" s="555" t="str">
        <f t="shared" si="16"/>
        <v>22.3</v>
      </c>
      <c r="B241" s="782" t="s">
        <v>1208</v>
      </c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83"/>
      <c r="N241" s="783"/>
      <c r="O241" s="784"/>
      <c r="P241" s="779" t="str">
        <f t="shared" si="17"/>
        <v>м3</v>
      </c>
      <c r="Q241" s="780"/>
      <c r="R241" s="1287">
        <f>ROUND(X239*0.425,2)*0.3</f>
        <v>1.3559999999999999</v>
      </c>
      <c r="S241" s="1288"/>
      <c r="T241" s="1289"/>
      <c r="U241" s="556">
        <f t="shared" si="19"/>
        <v>22</v>
      </c>
      <c r="V241" s="558">
        <f t="shared" si="20"/>
        <v>3</v>
      </c>
      <c r="W241" s="558"/>
      <c r="X241" s="558"/>
      <c r="Y241" s="558"/>
      <c r="Z241" s="558"/>
      <c r="AA241" s="558"/>
      <c r="AB241" s="605" t="s">
        <v>1208</v>
      </c>
      <c r="AC241" s="606" t="s">
        <v>1163</v>
      </c>
      <c r="AD241" s="628">
        <v>2.68</v>
      </c>
      <c r="AE241" s="588"/>
    </row>
    <row r="242" spans="1:31" ht="16" thickBot="1">
      <c r="A242" s="555" t="str">
        <f t="shared" si="16"/>
        <v>22.4</v>
      </c>
      <c r="B242" s="782" t="s">
        <v>1251</v>
      </c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83"/>
      <c r="N242" s="783"/>
      <c r="O242" s="784"/>
      <c r="P242" s="779" t="str">
        <f t="shared" si="17"/>
        <v>м3</v>
      </c>
      <c r="Q242" s="780"/>
      <c r="R242" s="1287">
        <f>R240</f>
        <v>3.1639999999999997</v>
      </c>
      <c r="S242" s="1285"/>
      <c r="T242" s="1286"/>
      <c r="U242" s="556">
        <f t="shared" si="19"/>
        <v>22</v>
      </c>
      <c r="V242" s="558">
        <f t="shared" si="20"/>
        <v>4</v>
      </c>
      <c r="W242" s="558"/>
      <c r="X242" s="558"/>
      <c r="Y242" s="558"/>
      <c r="Z242" s="558"/>
      <c r="AA242" s="558"/>
      <c r="AB242" s="605" t="s">
        <v>1251</v>
      </c>
      <c r="AC242" s="606" t="s">
        <v>1163</v>
      </c>
      <c r="AD242" s="628">
        <v>6.24</v>
      </c>
      <c r="AE242" s="588"/>
    </row>
    <row r="243" spans="1:31" ht="16" thickBot="1">
      <c r="A243" s="555" t="str">
        <f t="shared" si="16"/>
        <v>22.5</v>
      </c>
      <c r="B243" s="782" t="s">
        <v>1252</v>
      </c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83"/>
      <c r="N243" s="783"/>
      <c r="O243" s="784"/>
      <c r="P243" s="779" t="str">
        <f t="shared" si="17"/>
        <v>м3</v>
      </c>
      <c r="Q243" s="780"/>
      <c r="R243" s="1287">
        <f>R241</f>
        <v>1.3559999999999999</v>
      </c>
      <c r="S243" s="1285"/>
      <c r="T243" s="1286"/>
      <c r="U243" s="556">
        <f t="shared" si="19"/>
        <v>22</v>
      </c>
      <c r="V243" s="558">
        <f t="shared" si="20"/>
        <v>5</v>
      </c>
      <c r="W243" s="557"/>
      <c r="X243" s="557"/>
      <c r="Y243" s="557"/>
      <c r="Z243" s="557"/>
      <c r="AA243" s="557"/>
      <c r="AB243" s="605" t="s">
        <v>1252</v>
      </c>
      <c r="AC243" s="606" t="s">
        <v>1163</v>
      </c>
      <c r="AD243" s="628">
        <v>2.68</v>
      </c>
      <c r="AE243" s="588"/>
    </row>
    <row r="244" spans="1:31" ht="16" thickBot="1">
      <c r="A244" s="555" t="str">
        <f t="shared" si="16"/>
        <v>22.6</v>
      </c>
      <c r="B244" s="782" t="s">
        <v>1218</v>
      </c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83"/>
      <c r="N244" s="783"/>
      <c r="O244" s="784"/>
      <c r="P244" s="779" t="str">
        <f t="shared" si="17"/>
        <v>м3</v>
      </c>
      <c r="Q244" s="780"/>
      <c r="R244" s="1287">
        <f>R243*0.1</f>
        <v>0.1356</v>
      </c>
      <c r="S244" s="1288"/>
      <c r="T244" s="1289"/>
      <c r="U244" s="556">
        <f t="shared" si="19"/>
        <v>22</v>
      </c>
      <c r="V244" s="558">
        <f t="shared" si="20"/>
        <v>6</v>
      </c>
      <c r="W244" s="557"/>
      <c r="X244" s="557"/>
      <c r="Y244" s="557"/>
      <c r="Z244" s="557"/>
      <c r="AA244" s="557"/>
      <c r="AB244" s="605" t="s">
        <v>1218</v>
      </c>
      <c r="AC244" s="606" t="s">
        <v>1163</v>
      </c>
      <c r="AD244" s="628">
        <v>0.27</v>
      </c>
      <c r="AE244" s="588"/>
    </row>
    <row r="245" spans="1:31" ht="29.5" thickBot="1">
      <c r="A245" s="555" t="str">
        <f t="shared" si="16"/>
        <v>22.7</v>
      </c>
      <c r="B245" s="782" t="s">
        <v>1342</v>
      </c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83"/>
      <c r="N245" s="783"/>
      <c r="O245" s="784"/>
      <c r="P245" s="779" t="str">
        <f t="shared" si="17"/>
        <v>м3</v>
      </c>
      <c r="Q245" s="780"/>
      <c r="R245" s="1284">
        <v>1</v>
      </c>
      <c r="S245" s="1285"/>
      <c r="T245" s="1286"/>
      <c r="U245" s="556">
        <f t="shared" si="19"/>
        <v>22</v>
      </c>
      <c r="V245" s="558">
        <f t="shared" si="20"/>
        <v>7</v>
      </c>
      <c r="W245" s="557"/>
      <c r="X245" s="557"/>
      <c r="Y245" s="557"/>
      <c r="Z245" s="557"/>
      <c r="AA245" s="557"/>
      <c r="AB245" s="605" t="s">
        <v>1342</v>
      </c>
      <c r="AC245" s="606" t="s">
        <v>1163</v>
      </c>
      <c r="AD245" s="628">
        <v>1</v>
      </c>
      <c r="AE245" s="588"/>
    </row>
    <row r="246" spans="1:31" ht="29.5" thickBot="1">
      <c r="A246" s="555" t="str">
        <f t="shared" si="16"/>
        <v>22.8</v>
      </c>
      <c r="B246" s="782" t="s">
        <v>1419</v>
      </c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83"/>
      <c r="N246" s="783"/>
      <c r="O246" s="784"/>
      <c r="P246" s="779" t="str">
        <f t="shared" si="17"/>
        <v>м3</v>
      </c>
      <c r="Q246" s="780"/>
      <c r="R246" s="1284">
        <f>X239*0.5*0.15</f>
        <v>0.79800000000000004</v>
      </c>
      <c r="S246" s="1285"/>
      <c r="T246" s="1286"/>
      <c r="U246" s="556">
        <f t="shared" si="19"/>
        <v>22</v>
      </c>
      <c r="V246" s="558">
        <f t="shared" si="20"/>
        <v>8</v>
      </c>
      <c r="W246" s="557"/>
      <c r="X246" s="557"/>
      <c r="Y246" s="557"/>
      <c r="Z246" s="557"/>
      <c r="AA246" s="557"/>
      <c r="AB246" s="605" t="s">
        <v>1343</v>
      </c>
      <c r="AC246" s="606" t="s">
        <v>1163</v>
      </c>
      <c r="AD246" s="629">
        <v>1.575</v>
      </c>
      <c r="AE246" s="588"/>
    </row>
    <row r="247" spans="1:31" ht="31.5" customHeight="1" thickBot="1">
      <c r="A247" s="555" t="str">
        <f t="shared" ref="A247:A305" si="21">CONCATENATE(U247,".",V247)</f>
        <v>22.9</v>
      </c>
      <c r="B247" s="782" t="s">
        <v>1412</v>
      </c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83"/>
      <c r="N247" s="783"/>
      <c r="O247" s="784"/>
      <c r="P247" s="779" t="str">
        <f t="shared" si="17"/>
        <v>м</v>
      </c>
      <c r="Q247" s="780"/>
      <c r="R247" s="1284">
        <f>X239*2*1.02</f>
        <v>21.7056</v>
      </c>
      <c r="S247" s="1285"/>
      <c r="T247" s="1286"/>
      <c r="U247" s="556">
        <f t="shared" si="19"/>
        <v>22</v>
      </c>
      <c r="V247" s="558">
        <f t="shared" si="20"/>
        <v>9</v>
      </c>
      <c r="W247" s="557"/>
      <c r="X247" s="557"/>
      <c r="Y247" s="557"/>
      <c r="Z247" s="557"/>
      <c r="AA247" s="557"/>
      <c r="AB247" s="605" t="s">
        <v>1344</v>
      </c>
      <c r="AC247" s="606" t="s">
        <v>1159</v>
      </c>
      <c r="AD247" s="629">
        <v>42.84</v>
      </c>
      <c r="AE247" s="588"/>
    </row>
    <row r="248" spans="1:31" ht="18.75" customHeight="1" thickBot="1">
      <c r="A248" s="555" t="str">
        <f t="shared" si="21"/>
        <v>22.10</v>
      </c>
      <c r="B248" s="782" t="s">
        <v>1255</v>
      </c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83"/>
      <c r="N248" s="783"/>
      <c r="O248" s="784"/>
      <c r="P248" s="779" t="str">
        <f t="shared" si="17"/>
        <v>м</v>
      </c>
      <c r="Q248" s="780"/>
      <c r="R248" s="1284" t="str">
        <f t="shared" si="18"/>
        <v>10</v>
      </c>
      <c r="S248" s="1285"/>
      <c r="T248" s="1286"/>
      <c r="U248" s="556">
        <f t="shared" si="19"/>
        <v>22</v>
      </c>
      <c r="V248" s="558">
        <f t="shared" si="20"/>
        <v>10</v>
      </c>
      <c r="W248" s="557"/>
      <c r="X248" s="557"/>
      <c r="Y248" s="557"/>
      <c r="Z248" s="557"/>
      <c r="AA248" s="557"/>
      <c r="AB248" s="605" t="s">
        <v>1255</v>
      </c>
      <c r="AC248" s="606" t="s">
        <v>1159</v>
      </c>
      <c r="AD248" s="628">
        <v>10</v>
      </c>
      <c r="AE248" s="588"/>
    </row>
    <row r="249" spans="1:31" ht="29.5" thickBot="1">
      <c r="A249" s="555" t="str">
        <f t="shared" si="21"/>
        <v>22.11</v>
      </c>
      <c r="B249" s="782" t="s">
        <v>1256</v>
      </c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83"/>
      <c r="N249" s="783"/>
      <c r="O249" s="784"/>
      <c r="P249" s="779" t="str">
        <f t="shared" si="17"/>
        <v>м</v>
      </c>
      <c r="Q249" s="780"/>
      <c r="R249" s="1284">
        <v>10</v>
      </c>
      <c r="S249" s="1285"/>
      <c r="T249" s="1286"/>
      <c r="U249" s="556">
        <f t="shared" si="19"/>
        <v>22</v>
      </c>
      <c r="V249" s="558">
        <f t="shared" si="20"/>
        <v>11</v>
      </c>
      <c r="W249" s="557"/>
      <c r="X249" s="557"/>
      <c r="Y249" s="557"/>
      <c r="Z249" s="557"/>
      <c r="AA249" s="557"/>
      <c r="AB249" s="605" t="s">
        <v>1256</v>
      </c>
      <c r="AC249" s="606" t="s">
        <v>1159</v>
      </c>
      <c r="AD249" s="628">
        <v>4</v>
      </c>
      <c r="AE249" s="588"/>
    </row>
    <row r="250" spans="1:31" ht="18.75" customHeight="1" thickBot="1">
      <c r="A250" s="555" t="str">
        <f t="shared" si="21"/>
        <v>22.12</v>
      </c>
      <c r="B250" s="782" t="s">
        <v>1413</v>
      </c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83"/>
      <c r="N250" s="783"/>
      <c r="O250" s="784"/>
      <c r="P250" s="779" t="str">
        <f t="shared" si="17"/>
        <v>м</v>
      </c>
      <c r="Q250" s="780"/>
      <c r="R250" s="1284">
        <v>3</v>
      </c>
      <c r="S250" s="1285"/>
      <c r="T250" s="1286"/>
      <c r="U250" s="556">
        <f t="shared" si="19"/>
        <v>22</v>
      </c>
      <c r="V250" s="558">
        <f t="shared" si="20"/>
        <v>12</v>
      </c>
      <c r="W250" s="557"/>
      <c r="X250" s="557"/>
      <c r="Y250" s="557"/>
      <c r="Z250" s="557"/>
      <c r="AA250" s="557"/>
      <c r="AB250" s="605" t="s">
        <v>1257</v>
      </c>
      <c r="AC250" s="606" t="s">
        <v>1159</v>
      </c>
      <c r="AD250" s="628">
        <v>4</v>
      </c>
      <c r="AE250" s="588"/>
    </row>
    <row r="251" spans="1:31" ht="14.25" customHeight="1" thickBot="1">
      <c r="A251" s="555" t="str">
        <f t="shared" si="21"/>
        <v>22.13</v>
      </c>
      <c r="B251" s="782" t="s">
        <v>1258</v>
      </c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83"/>
      <c r="N251" s="783"/>
      <c r="O251" s="784"/>
      <c r="P251" s="779" t="str">
        <f t="shared" si="17"/>
        <v>м</v>
      </c>
      <c r="Q251" s="780"/>
      <c r="R251" s="1284">
        <v>3</v>
      </c>
      <c r="S251" s="1285"/>
      <c r="T251" s="1286"/>
      <c r="U251" s="556">
        <f t="shared" si="19"/>
        <v>22</v>
      </c>
      <c r="V251" s="558">
        <f t="shared" si="20"/>
        <v>13</v>
      </c>
      <c r="W251" s="557"/>
      <c r="X251" s="557"/>
      <c r="Y251" s="557"/>
      <c r="Z251" s="557"/>
      <c r="AA251" s="557"/>
      <c r="AB251" s="605" t="s">
        <v>1258</v>
      </c>
      <c r="AC251" s="606" t="s">
        <v>1159</v>
      </c>
      <c r="AD251" s="628">
        <v>4</v>
      </c>
      <c r="AE251" s="588"/>
    </row>
    <row r="252" spans="1:31" ht="16" thickBot="1">
      <c r="A252" s="555" t="str">
        <f t="shared" si="21"/>
        <v>22.14</v>
      </c>
      <c r="B252" s="782" t="s">
        <v>1345</v>
      </c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4"/>
      <c r="P252" s="779" t="str">
        <f t="shared" si="17"/>
        <v>м</v>
      </c>
      <c r="Q252" s="780"/>
      <c r="R252" s="1284" t="str">
        <f t="shared" si="18"/>
        <v>20</v>
      </c>
      <c r="S252" s="1285"/>
      <c r="T252" s="1286"/>
      <c r="U252" s="556">
        <f t="shared" si="19"/>
        <v>22</v>
      </c>
      <c r="V252" s="558">
        <f t="shared" si="20"/>
        <v>14</v>
      </c>
      <c r="W252" s="557"/>
      <c r="X252" s="557"/>
      <c r="Y252" s="557"/>
      <c r="Z252" s="557"/>
      <c r="AA252" s="557"/>
      <c r="AB252" s="605" t="s">
        <v>1345</v>
      </c>
      <c r="AC252" s="606" t="s">
        <v>1159</v>
      </c>
      <c r="AD252" s="628">
        <v>20</v>
      </c>
      <c r="AE252" s="588"/>
    </row>
    <row r="253" spans="1:31" ht="29.5" thickBot="1">
      <c r="A253" s="555" t="str">
        <f t="shared" si="21"/>
        <v>22.15</v>
      </c>
      <c r="B253" s="782" t="s">
        <v>1346</v>
      </c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83"/>
      <c r="N253" s="783"/>
      <c r="O253" s="784"/>
      <c r="P253" s="779" t="str">
        <f t="shared" si="17"/>
        <v>м</v>
      </c>
      <c r="Q253" s="780"/>
      <c r="R253" s="1284">
        <v>10</v>
      </c>
      <c r="S253" s="1285"/>
      <c r="T253" s="1286"/>
      <c r="U253" s="556">
        <f t="shared" si="19"/>
        <v>22</v>
      </c>
      <c r="V253" s="558">
        <f t="shared" si="20"/>
        <v>15</v>
      </c>
      <c r="W253" s="557"/>
      <c r="X253" s="557"/>
      <c r="Y253" s="557"/>
      <c r="Z253" s="557"/>
      <c r="AA253" s="557"/>
      <c r="AB253" s="605" t="s">
        <v>1346</v>
      </c>
      <c r="AC253" s="606" t="s">
        <v>1159</v>
      </c>
      <c r="AD253" s="628">
        <v>6</v>
      </c>
      <c r="AE253" s="588"/>
    </row>
    <row r="254" spans="1:31" ht="29.5" thickBot="1">
      <c r="A254" s="555" t="str">
        <f t="shared" si="21"/>
        <v>22.16</v>
      </c>
      <c r="B254" s="782" t="s">
        <v>1260</v>
      </c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83"/>
      <c r="N254" s="783"/>
      <c r="O254" s="784"/>
      <c r="P254" s="779" t="str">
        <f t="shared" si="17"/>
        <v>шт</v>
      </c>
      <c r="Q254" s="780"/>
      <c r="R254" s="1284" t="str">
        <f t="shared" si="18"/>
        <v>12</v>
      </c>
      <c r="S254" s="1285"/>
      <c r="T254" s="1286"/>
      <c r="U254" s="556">
        <f t="shared" si="19"/>
        <v>22</v>
      </c>
      <c r="V254" s="558">
        <f t="shared" si="20"/>
        <v>16</v>
      </c>
      <c r="W254" s="557"/>
      <c r="X254" s="557"/>
      <c r="Y254" s="557"/>
      <c r="Z254" s="557"/>
      <c r="AA254" s="557"/>
      <c r="AB254" s="605" t="s">
        <v>1260</v>
      </c>
      <c r="AC254" s="606" t="s">
        <v>1161</v>
      </c>
      <c r="AD254" s="628">
        <v>12</v>
      </c>
      <c r="AE254" s="588"/>
    </row>
    <row r="255" spans="1:31" ht="16" thickBot="1">
      <c r="A255" s="555" t="str">
        <f t="shared" si="21"/>
        <v>22.17</v>
      </c>
      <c r="B255" s="782" t="s">
        <v>1261</v>
      </c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83"/>
      <c r="N255" s="783"/>
      <c r="O255" s="784"/>
      <c r="P255" s="779" t="str">
        <f t="shared" si="17"/>
        <v>шт</v>
      </c>
      <c r="Q255" s="780"/>
      <c r="R255" s="1284" t="str">
        <f t="shared" si="18"/>
        <v>4</v>
      </c>
      <c r="S255" s="1285"/>
      <c r="T255" s="1286"/>
      <c r="U255" s="556">
        <f t="shared" si="19"/>
        <v>22</v>
      </c>
      <c r="V255" s="558">
        <f t="shared" si="20"/>
        <v>17</v>
      </c>
      <c r="W255" s="557"/>
      <c r="X255" s="557"/>
      <c r="Y255" s="557"/>
      <c r="Z255" s="557"/>
      <c r="AA255" s="557"/>
      <c r="AB255" s="605" t="s">
        <v>1261</v>
      </c>
      <c r="AC255" s="606" t="s">
        <v>1161</v>
      </c>
      <c r="AD255" s="628">
        <v>4</v>
      </c>
      <c r="AE255" s="588"/>
    </row>
    <row r="256" spans="1:31" ht="29.5" thickBot="1">
      <c r="A256" s="555" t="str">
        <f t="shared" si="21"/>
        <v>22.18</v>
      </c>
      <c r="B256" s="782" t="s">
        <v>1347</v>
      </c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83"/>
      <c r="N256" s="783"/>
      <c r="O256" s="784"/>
      <c r="P256" s="779" t="str">
        <f t="shared" si="17"/>
        <v>м3</v>
      </c>
      <c r="Q256" s="780"/>
      <c r="R256" s="1284">
        <f>R246</f>
        <v>0.79800000000000004</v>
      </c>
      <c r="S256" s="1285"/>
      <c r="T256" s="1286"/>
      <c r="U256" s="556">
        <f t="shared" si="19"/>
        <v>22</v>
      </c>
      <c r="V256" s="558">
        <f t="shared" si="20"/>
        <v>18</v>
      </c>
      <c r="W256" s="557"/>
      <c r="X256" s="557"/>
      <c r="Y256" s="557"/>
      <c r="Z256" s="557"/>
      <c r="AA256" s="557"/>
      <c r="AB256" s="605" t="s">
        <v>1347</v>
      </c>
      <c r="AC256" s="606" t="s">
        <v>1163</v>
      </c>
      <c r="AD256" s="629">
        <v>1.575</v>
      </c>
      <c r="AE256" s="588"/>
    </row>
    <row r="257" spans="1:31" ht="29.5" thickBot="1">
      <c r="A257" s="555" t="str">
        <f t="shared" si="21"/>
        <v>22.19</v>
      </c>
      <c r="B257" s="782" t="s">
        <v>1414</v>
      </c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83"/>
      <c r="N257" s="783"/>
      <c r="O257" s="784"/>
      <c r="P257" s="779" t="str">
        <f t="shared" si="17"/>
        <v>шт</v>
      </c>
      <c r="Q257" s="780"/>
      <c r="R257" s="1290">
        <f>X239*2/0.48</f>
        <v>44.333333333333336</v>
      </c>
      <c r="S257" s="1291"/>
      <c r="T257" s="1292"/>
      <c r="U257" s="556">
        <f t="shared" si="19"/>
        <v>22</v>
      </c>
      <c r="V257" s="558">
        <f t="shared" si="20"/>
        <v>19</v>
      </c>
      <c r="W257" s="557"/>
      <c r="X257" s="557"/>
      <c r="Y257" s="557"/>
      <c r="Z257" s="557"/>
      <c r="AA257" s="557"/>
      <c r="AB257" s="605" t="s">
        <v>1348</v>
      </c>
      <c r="AC257" s="606" t="s">
        <v>1161</v>
      </c>
      <c r="AD257" s="628">
        <v>87</v>
      </c>
      <c r="AE257" s="588"/>
    </row>
    <row r="258" spans="1:31" ht="29.5" thickBot="1">
      <c r="A258" s="555" t="str">
        <f t="shared" si="21"/>
        <v>22.20</v>
      </c>
      <c r="B258" s="782" t="s">
        <v>1420</v>
      </c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83"/>
      <c r="N258" s="783"/>
      <c r="O258" s="784"/>
      <c r="P258" s="779" t="str">
        <f t="shared" si="17"/>
        <v>м3</v>
      </c>
      <c r="Q258" s="780"/>
      <c r="R258" s="1284">
        <f>ROUND(X239*0.425,2)-R246-R256</f>
        <v>2.9239999999999995</v>
      </c>
      <c r="S258" s="1285"/>
      <c r="T258" s="1286"/>
      <c r="U258" s="556">
        <f t="shared" si="19"/>
        <v>22</v>
      </c>
      <c r="V258" s="558">
        <f t="shared" si="20"/>
        <v>20</v>
      </c>
      <c r="W258" s="557"/>
      <c r="X258" s="557"/>
      <c r="Y258" s="557"/>
      <c r="Z258" s="557"/>
      <c r="AA258" s="557"/>
      <c r="AB258" s="605" t="s">
        <v>1349</v>
      </c>
      <c r="AC258" s="606" t="s">
        <v>1163</v>
      </c>
      <c r="AD258" s="628">
        <v>5.77</v>
      </c>
      <c r="AE258" s="588"/>
    </row>
    <row r="259" spans="1:31" ht="29.5" thickBot="1">
      <c r="A259" s="555" t="str">
        <f t="shared" si="21"/>
        <v>22.21</v>
      </c>
      <c r="B259" s="782" t="s">
        <v>1350</v>
      </c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83"/>
      <c r="N259" s="783"/>
      <c r="O259" s="784"/>
      <c r="P259" s="779" t="str">
        <f t="shared" si="17"/>
        <v>т.</v>
      </c>
      <c r="Q259" s="780"/>
      <c r="R259" s="1284">
        <f>(ROUND(X239*0.425,2)-R258)*1.8</f>
        <v>2.8728000000000002</v>
      </c>
      <c r="S259" s="1285"/>
      <c r="T259" s="1286"/>
      <c r="U259" s="556">
        <f t="shared" si="19"/>
        <v>22</v>
      </c>
      <c r="V259" s="558">
        <f t="shared" si="20"/>
        <v>21</v>
      </c>
      <c r="W259" s="557"/>
      <c r="X259" s="557"/>
      <c r="Y259" s="557"/>
      <c r="Z259" s="557"/>
      <c r="AA259" s="557"/>
      <c r="AB259" s="605" t="s">
        <v>1350</v>
      </c>
      <c r="AC259" s="606" t="s">
        <v>1244</v>
      </c>
      <c r="AD259" s="628">
        <v>5.67</v>
      </c>
      <c r="AE259" s="588"/>
    </row>
    <row r="260" spans="1:31" ht="44" thickBot="1">
      <c r="A260" s="555" t="str">
        <f t="shared" si="21"/>
        <v>22.22</v>
      </c>
      <c r="B260" s="782" t="s">
        <v>1266</v>
      </c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83"/>
      <c r="N260" s="783"/>
      <c r="O260" s="784"/>
      <c r="P260" s="779" t="str">
        <f t="shared" si="17"/>
        <v>т.</v>
      </c>
      <c r="Q260" s="780"/>
      <c r="R260" s="1284">
        <f>R259</f>
        <v>2.8728000000000002</v>
      </c>
      <c r="S260" s="1285"/>
      <c r="T260" s="1286"/>
      <c r="U260" s="556">
        <f t="shared" si="19"/>
        <v>22</v>
      </c>
      <c r="V260" s="558">
        <f t="shared" si="20"/>
        <v>22</v>
      </c>
      <c r="W260" s="557"/>
      <c r="X260" s="557"/>
      <c r="Y260" s="557"/>
      <c r="Z260" s="557"/>
      <c r="AA260" s="557"/>
      <c r="AB260" s="624" t="s">
        <v>1266</v>
      </c>
      <c r="AC260" s="606" t="s">
        <v>1244</v>
      </c>
      <c r="AD260" s="628">
        <v>5.67</v>
      </c>
      <c r="AE260" s="588"/>
    </row>
    <row r="261" spans="1:31" ht="29.5" thickBot="1">
      <c r="A261" s="555" t="str">
        <f t="shared" si="21"/>
        <v>22.23</v>
      </c>
      <c r="B261" s="782" t="s">
        <v>1267</v>
      </c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83"/>
      <c r="N261" s="783"/>
      <c r="O261" s="784"/>
      <c r="P261" s="779" t="str">
        <f t="shared" si="17"/>
        <v>компл</v>
      </c>
      <c r="Q261" s="780"/>
      <c r="R261" s="1284" t="str">
        <f t="shared" si="18"/>
        <v>4</v>
      </c>
      <c r="S261" s="1285"/>
      <c r="T261" s="1286"/>
      <c r="U261" s="556">
        <f t="shared" si="19"/>
        <v>22</v>
      </c>
      <c r="V261" s="558">
        <f t="shared" si="20"/>
        <v>23</v>
      </c>
      <c r="W261" s="557"/>
      <c r="X261" s="557"/>
      <c r="Y261" s="557"/>
      <c r="Z261" s="557"/>
      <c r="AA261" s="557"/>
      <c r="AB261" s="605" t="s">
        <v>1267</v>
      </c>
      <c r="AC261" s="606" t="s">
        <v>1162</v>
      </c>
      <c r="AD261" s="628">
        <v>4</v>
      </c>
      <c r="AE261" s="588"/>
    </row>
    <row r="262" spans="1:31" ht="29.5" thickBot="1">
      <c r="A262" s="555" t="str">
        <f t="shared" si="21"/>
        <v>22.24</v>
      </c>
      <c r="B262" s="782" t="s">
        <v>1351</v>
      </c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83"/>
      <c r="N262" s="783"/>
      <c r="O262" s="784"/>
      <c r="P262" s="779" t="str">
        <f t="shared" si="17"/>
        <v>компл</v>
      </c>
      <c r="Q262" s="780"/>
      <c r="R262" s="1284" t="str">
        <f t="shared" si="18"/>
        <v>4</v>
      </c>
      <c r="S262" s="1285"/>
      <c r="T262" s="1286"/>
      <c r="U262" s="556">
        <f t="shared" si="19"/>
        <v>22</v>
      </c>
      <c r="V262" s="558">
        <f t="shared" si="20"/>
        <v>24</v>
      </c>
      <c r="W262" s="557"/>
      <c r="X262" s="557"/>
      <c r="Y262" s="557"/>
      <c r="Z262" s="557"/>
      <c r="AA262" s="557"/>
      <c r="AB262" s="605" t="s">
        <v>1351</v>
      </c>
      <c r="AC262" s="606" t="s">
        <v>1162</v>
      </c>
      <c r="AD262" s="628">
        <v>4</v>
      </c>
      <c r="AE262" s="588"/>
    </row>
    <row r="263" spans="1:31" ht="15" customHeight="1" thickBot="1">
      <c r="A263" s="555" t="str">
        <f t="shared" si="21"/>
        <v>22.25</v>
      </c>
      <c r="B263" s="782" t="s">
        <v>1268</v>
      </c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83"/>
      <c r="N263" s="783"/>
      <c r="O263" s="784"/>
      <c r="P263" s="779" t="str">
        <f t="shared" si="17"/>
        <v>шт</v>
      </c>
      <c r="Q263" s="780"/>
      <c r="R263" s="1284" t="str">
        <f t="shared" si="18"/>
        <v>8</v>
      </c>
      <c r="S263" s="1285"/>
      <c r="T263" s="1286"/>
      <c r="U263" s="556">
        <f t="shared" si="19"/>
        <v>22</v>
      </c>
      <c r="V263" s="558">
        <f t="shared" si="20"/>
        <v>25</v>
      </c>
      <c r="W263" s="557"/>
      <c r="X263" s="557"/>
      <c r="Y263" s="557"/>
      <c r="Z263" s="557"/>
      <c r="AA263" s="557"/>
      <c r="AB263" s="605" t="s">
        <v>1268</v>
      </c>
      <c r="AC263" s="606" t="s">
        <v>1161</v>
      </c>
      <c r="AD263" s="628">
        <v>8</v>
      </c>
      <c r="AE263" s="588"/>
    </row>
    <row r="264" spans="1:31">
      <c r="A264" s="555" t="str">
        <f t="shared" si="21"/>
        <v>22.26</v>
      </c>
      <c r="B264" s="782" t="s">
        <v>1269</v>
      </c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83"/>
      <c r="N264" s="783"/>
      <c r="O264" s="784"/>
      <c r="P264" s="779" t="str">
        <f t="shared" si="17"/>
        <v>шт</v>
      </c>
      <c r="Q264" s="780"/>
      <c r="R264" s="1284" t="str">
        <f t="shared" si="18"/>
        <v>8</v>
      </c>
      <c r="S264" s="1285"/>
      <c r="T264" s="1286"/>
      <c r="U264" s="556">
        <f t="shared" si="19"/>
        <v>22</v>
      </c>
      <c r="V264" s="558">
        <f t="shared" si="20"/>
        <v>26</v>
      </c>
      <c r="W264" s="557"/>
      <c r="X264" s="557"/>
      <c r="Y264" s="557"/>
      <c r="Z264" s="557"/>
      <c r="AA264" s="557"/>
      <c r="AB264" s="624" t="s">
        <v>1269</v>
      </c>
      <c r="AC264" s="613" t="s">
        <v>1161</v>
      </c>
      <c r="AD264" s="634">
        <v>8</v>
      </c>
      <c r="AE264" s="588"/>
    </row>
    <row r="265" spans="1:31" ht="16" thickBot="1">
      <c r="A265" s="555" t="str">
        <f t="shared" si="21"/>
        <v>22.27</v>
      </c>
      <c r="B265" s="782" t="s">
        <v>1352</v>
      </c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83"/>
      <c r="N265" s="783"/>
      <c r="O265" s="784"/>
      <c r="P265" s="779" t="str">
        <f t="shared" si="17"/>
        <v>шт</v>
      </c>
      <c r="Q265" s="780"/>
      <c r="R265" s="1284" t="str">
        <f t="shared" si="18"/>
        <v>16</v>
      </c>
      <c r="S265" s="1285"/>
      <c r="T265" s="1286"/>
      <c r="U265" s="556">
        <f t="shared" si="19"/>
        <v>22</v>
      </c>
      <c r="V265" s="558">
        <f t="shared" si="20"/>
        <v>27</v>
      </c>
      <c r="W265" s="557"/>
      <c r="X265" s="557">
        <f>5.5/4</f>
        <v>1.375</v>
      </c>
      <c r="Y265" s="557"/>
      <c r="Z265" s="557"/>
      <c r="AA265" s="557"/>
      <c r="AB265" s="605" t="s">
        <v>1352</v>
      </c>
      <c r="AC265" s="606" t="s">
        <v>1161</v>
      </c>
      <c r="AD265" s="628">
        <v>16</v>
      </c>
      <c r="AE265" s="588"/>
    </row>
    <row r="266" spans="1:31" ht="16" thickBot="1">
      <c r="A266" s="555" t="str">
        <f t="shared" si="21"/>
        <v>22.28</v>
      </c>
      <c r="B266" s="782" t="s">
        <v>1270</v>
      </c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83"/>
      <c r="N266" s="783"/>
      <c r="O266" s="784"/>
      <c r="P266" s="779" t="str">
        <f t="shared" ref="P266:P290" si="22">CONCATENATE(AC266)</f>
        <v>шт</v>
      </c>
      <c r="Q266" s="780"/>
      <c r="R266" s="1284" t="str">
        <f t="shared" ref="R266:R288" si="23">CONCATENATE(AD266)</f>
        <v>8</v>
      </c>
      <c r="S266" s="1285"/>
      <c r="T266" s="1286"/>
      <c r="U266" s="556">
        <f t="shared" ref="U266:U326" si="24">U265</f>
        <v>22</v>
      </c>
      <c r="V266" s="558">
        <f t="shared" ref="V266:V326" si="25">V265+1</f>
        <v>28</v>
      </c>
      <c r="W266" s="557"/>
      <c r="X266" s="557"/>
      <c r="Y266" s="557"/>
      <c r="Z266" s="557"/>
      <c r="AA266" s="557"/>
      <c r="AB266" s="625" t="s">
        <v>1270</v>
      </c>
      <c r="AC266" s="626" t="s">
        <v>1161</v>
      </c>
      <c r="AD266" s="627">
        <v>8</v>
      </c>
      <c r="AE266" s="588"/>
    </row>
    <row r="267" spans="1:31" ht="16" thickBot="1">
      <c r="A267" s="555" t="str">
        <f t="shared" si="21"/>
        <v>22.29</v>
      </c>
      <c r="B267" s="782" t="s">
        <v>1353</v>
      </c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83"/>
      <c r="N267" s="783"/>
      <c r="O267" s="784"/>
      <c r="P267" s="779" t="str">
        <f t="shared" si="22"/>
        <v>м3</v>
      </c>
      <c r="Q267" s="780"/>
      <c r="R267" s="1284" t="str">
        <f t="shared" si="23"/>
        <v>1</v>
      </c>
      <c r="S267" s="1285"/>
      <c r="T267" s="1286"/>
      <c r="U267" s="556">
        <f t="shared" si="24"/>
        <v>22</v>
      </c>
      <c r="V267" s="558">
        <f t="shared" si="25"/>
        <v>29</v>
      </c>
      <c r="W267" s="557"/>
      <c r="X267" s="557"/>
      <c r="Y267" s="557"/>
      <c r="Z267" s="557"/>
      <c r="AA267" s="557"/>
      <c r="AB267" s="605" t="s">
        <v>1353</v>
      </c>
      <c r="AC267" s="606" t="s">
        <v>1163</v>
      </c>
      <c r="AD267" s="628">
        <v>1</v>
      </c>
      <c r="AE267" s="588"/>
    </row>
    <row r="268" spans="1:31" ht="16" thickBot="1">
      <c r="A268" s="554" t="str">
        <f t="shared" si="21"/>
        <v>23.</v>
      </c>
      <c r="B268" s="785" t="s">
        <v>1219</v>
      </c>
      <c r="C268" s="786"/>
      <c r="D268" s="786"/>
      <c r="E268" s="786"/>
      <c r="F268" s="786"/>
      <c r="G268" s="786"/>
      <c r="H268" s="786"/>
      <c r="I268" s="786"/>
      <c r="J268" s="786"/>
      <c r="K268" s="786"/>
      <c r="L268" s="786"/>
      <c r="M268" s="786"/>
      <c r="N268" s="786"/>
      <c r="O268" s="787"/>
      <c r="P268" s="779" t="str">
        <f t="shared" si="22"/>
        <v/>
      </c>
      <c r="Q268" s="780"/>
      <c r="R268" s="1284" t="str">
        <f t="shared" si="23"/>
        <v/>
      </c>
      <c r="S268" s="1285"/>
      <c r="T268" s="1286"/>
      <c r="U268" s="556">
        <v>23</v>
      </c>
      <c r="V268" s="558"/>
      <c r="W268" s="557"/>
      <c r="X268" s="557"/>
      <c r="Y268" s="557"/>
      <c r="Z268" s="557"/>
      <c r="AA268" s="557"/>
      <c r="AB268" s="602" t="s">
        <v>1219</v>
      </c>
      <c r="AC268" s="603"/>
      <c r="AD268" s="630"/>
      <c r="AE268" s="588"/>
    </row>
    <row r="269" spans="1:31" ht="16" thickBot="1">
      <c r="A269" s="555" t="str">
        <f t="shared" si="21"/>
        <v>23.1</v>
      </c>
      <c r="B269" s="782" t="s">
        <v>1220</v>
      </c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83"/>
      <c r="N269" s="783"/>
      <c r="O269" s="784"/>
      <c r="P269" s="779" t="str">
        <f t="shared" si="22"/>
        <v>шт.</v>
      </c>
      <c r="Q269" s="780"/>
      <c r="R269" s="1284" t="str">
        <f t="shared" si="23"/>
        <v>2</v>
      </c>
      <c r="S269" s="1285"/>
      <c r="T269" s="1286"/>
      <c r="U269" s="556">
        <f t="shared" si="24"/>
        <v>23</v>
      </c>
      <c r="V269" s="558">
        <f t="shared" si="25"/>
        <v>1</v>
      </c>
      <c r="W269" s="557"/>
      <c r="X269" s="557"/>
      <c r="Y269" s="557"/>
      <c r="Z269" s="557"/>
      <c r="AA269" s="557"/>
      <c r="AB269" s="605" t="s">
        <v>1220</v>
      </c>
      <c r="AC269" s="606" t="s">
        <v>1194</v>
      </c>
      <c r="AD269" s="628">
        <v>2</v>
      </c>
      <c r="AE269" s="588"/>
    </row>
    <row r="270" spans="1:31" ht="16.5" customHeight="1" thickBot="1">
      <c r="A270" s="555" t="str">
        <f t="shared" si="21"/>
        <v>23.2</v>
      </c>
      <c r="B270" s="782" t="s">
        <v>1271</v>
      </c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83"/>
      <c r="N270" s="783"/>
      <c r="O270" s="784"/>
      <c r="P270" s="779" t="str">
        <f t="shared" si="22"/>
        <v>изм.</v>
      </c>
      <c r="Q270" s="780"/>
      <c r="R270" s="1284" t="str">
        <f t="shared" si="23"/>
        <v>2</v>
      </c>
      <c r="S270" s="1285"/>
      <c r="T270" s="1286"/>
      <c r="U270" s="556">
        <f t="shared" si="24"/>
        <v>23</v>
      </c>
      <c r="V270" s="558">
        <f t="shared" si="25"/>
        <v>2</v>
      </c>
      <c r="W270" s="557"/>
      <c r="X270" s="557"/>
      <c r="Y270" s="557"/>
      <c r="Z270" s="557"/>
      <c r="AA270" s="557"/>
      <c r="AB270" s="605" t="s">
        <v>1271</v>
      </c>
      <c r="AC270" s="606" t="s">
        <v>1213</v>
      </c>
      <c r="AD270" s="628">
        <v>2</v>
      </c>
      <c r="AE270" s="588"/>
    </row>
    <row r="271" spans="1:31" ht="16" thickBot="1">
      <c r="A271" s="555" t="str">
        <f t="shared" si="21"/>
        <v>23.3</v>
      </c>
      <c r="B271" s="782" t="s">
        <v>1272</v>
      </c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83"/>
      <c r="N271" s="783"/>
      <c r="O271" s="784"/>
      <c r="P271" s="779" t="str">
        <f t="shared" si="22"/>
        <v>изм.</v>
      </c>
      <c r="Q271" s="780"/>
      <c r="R271" s="1284" t="str">
        <f t="shared" si="23"/>
        <v>3</v>
      </c>
      <c r="S271" s="1285"/>
      <c r="T271" s="1286"/>
      <c r="U271" s="556">
        <f t="shared" si="24"/>
        <v>23</v>
      </c>
      <c r="V271" s="558">
        <f t="shared" si="25"/>
        <v>3</v>
      </c>
      <c r="W271" s="557"/>
      <c r="X271" s="557"/>
      <c r="Y271" s="557"/>
      <c r="Z271" s="557"/>
      <c r="AA271" s="557"/>
      <c r="AB271" s="605" t="s">
        <v>1272</v>
      </c>
      <c r="AC271" s="606" t="s">
        <v>1213</v>
      </c>
      <c r="AD271" s="628">
        <v>3</v>
      </c>
      <c r="AE271" s="588"/>
    </row>
    <row r="272" spans="1:31" ht="29.5" thickBot="1">
      <c r="A272" s="555" t="str">
        <f t="shared" si="21"/>
        <v>23.4</v>
      </c>
      <c r="B272" s="782" t="s">
        <v>1221</v>
      </c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83"/>
      <c r="N272" s="783"/>
      <c r="O272" s="784"/>
      <c r="P272" s="779" t="str">
        <f t="shared" si="22"/>
        <v>изм.</v>
      </c>
      <c r="Q272" s="780"/>
      <c r="R272" s="1284" t="str">
        <f t="shared" si="23"/>
        <v>4</v>
      </c>
      <c r="S272" s="1285"/>
      <c r="T272" s="1286"/>
      <c r="U272" s="556">
        <f t="shared" si="24"/>
        <v>23</v>
      </c>
      <c r="V272" s="558">
        <f t="shared" si="25"/>
        <v>4</v>
      </c>
      <c r="W272" s="557"/>
      <c r="X272" s="557"/>
      <c r="Y272" s="557"/>
      <c r="Z272" s="557"/>
      <c r="AA272" s="557"/>
      <c r="AB272" s="605" t="s">
        <v>1221</v>
      </c>
      <c r="AC272" s="606" t="s">
        <v>1213</v>
      </c>
      <c r="AD272" s="628">
        <v>4</v>
      </c>
      <c r="AE272" s="588"/>
    </row>
    <row r="273" spans="1:31" ht="29.5" thickBot="1">
      <c r="A273" s="555" t="str">
        <f t="shared" si="21"/>
        <v>23.5</v>
      </c>
      <c r="B273" s="782" t="s">
        <v>1273</v>
      </c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83"/>
      <c r="N273" s="783"/>
      <c r="O273" s="784"/>
      <c r="P273" s="779" t="str">
        <f t="shared" si="22"/>
        <v>изм.</v>
      </c>
      <c r="Q273" s="780"/>
      <c r="R273" s="1284" t="str">
        <f t="shared" si="23"/>
        <v>1</v>
      </c>
      <c r="S273" s="1285"/>
      <c r="T273" s="1286"/>
      <c r="U273" s="556">
        <f t="shared" si="24"/>
        <v>23</v>
      </c>
      <c r="V273" s="558">
        <f t="shared" si="25"/>
        <v>5</v>
      </c>
      <c r="W273" s="557"/>
      <c r="X273" s="557"/>
      <c r="Y273" s="557"/>
      <c r="Z273" s="557"/>
      <c r="AA273" s="557"/>
      <c r="AB273" s="605" t="s">
        <v>1273</v>
      </c>
      <c r="AC273" s="606" t="s">
        <v>1213</v>
      </c>
      <c r="AD273" s="628">
        <v>1</v>
      </c>
      <c r="AE273" s="588"/>
    </row>
    <row r="274" spans="1:31" ht="29.5" thickBot="1">
      <c r="A274" s="555" t="str">
        <f t="shared" si="21"/>
        <v>23.6</v>
      </c>
      <c r="B274" s="782" t="s">
        <v>1274</v>
      </c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83"/>
      <c r="N274" s="783"/>
      <c r="O274" s="784"/>
      <c r="P274" s="779" t="str">
        <f t="shared" si="22"/>
        <v>точек</v>
      </c>
      <c r="Q274" s="780"/>
      <c r="R274" s="1284" t="str">
        <f t="shared" si="23"/>
        <v>1</v>
      </c>
      <c r="S274" s="1285"/>
      <c r="T274" s="1286"/>
      <c r="U274" s="556">
        <f t="shared" si="24"/>
        <v>23</v>
      </c>
      <c r="V274" s="558">
        <f t="shared" si="25"/>
        <v>6</v>
      </c>
      <c r="W274" s="557"/>
      <c r="X274" s="557"/>
      <c r="Y274" s="557"/>
      <c r="Z274" s="557"/>
      <c r="AA274" s="557"/>
      <c r="AB274" s="605" t="s">
        <v>1274</v>
      </c>
      <c r="AC274" s="606" t="s">
        <v>1164</v>
      </c>
      <c r="AD274" s="628">
        <v>1</v>
      </c>
      <c r="AE274" s="588"/>
    </row>
    <row r="275" spans="1:31" ht="16" thickBot="1">
      <c r="A275" s="555" t="str">
        <f t="shared" si="21"/>
        <v>23.7</v>
      </c>
      <c r="B275" s="782" t="s">
        <v>1275</v>
      </c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83"/>
      <c r="N275" s="783"/>
      <c r="O275" s="784"/>
      <c r="P275" s="779" t="str">
        <f t="shared" si="22"/>
        <v>км</v>
      </c>
      <c r="Q275" s="780"/>
      <c r="R275" s="1284">
        <f>R207/1000</f>
        <v>0.18703999999999998</v>
      </c>
      <c r="S275" s="1285"/>
      <c r="T275" s="1286"/>
      <c r="U275" s="556">
        <f t="shared" si="24"/>
        <v>23</v>
      </c>
      <c r="V275" s="558">
        <f t="shared" si="25"/>
        <v>7</v>
      </c>
      <c r="W275" s="557"/>
      <c r="X275" s="557"/>
      <c r="Y275" s="557"/>
      <c r="Z275" s="557"/>
      <c r="AA275" s="557"/>
      <c r="AB275" s="625" t="s">
        <v>1275</v>
      </c>
      <c r="AC275" s="626" t="s">
        <v>1192</v>
      </c>
      <c r="AD275" s="631">
        <v>0.19</v>
      </c>
      <c r="AE275" s="588"/>
    </row>
    <row r="276" spans="1:31">
      <c r="A276" s="555"/>
      <c r="B276" s="785" t="s">
        <v>1355</v>
      </c>
      <c r="C276" s="786"/>
      <c r="D276" s="786"/>
      <c r="E276" s="786"/>
      <c r="F276" s="786"/>
      <c r="G276" s="786"/>
      <c r="H276" s="786"/>
      <c r="I276" s="786"/>
      <c r="J276" s="786"/>
      <c r="K276" s="786"/>
      <c r="L276" s="786"/>
      <c r="M276" s="786"/>
      <c r="N276" s="786"/>
      <c r="O276" s="787"/>
      <c r="P276" s="779" t="str">
        <f t="shared" si="22"/>
        <v/>
      </c>
      <c r="Q276" s="780"/>
      <c r="R276" s="1284" t="str">
        <f t="shared" si="23"/>
        <v/>
      </c>
      <c r="S276" s="1285"/>
      <c r="T276" s="1286"/>
      <c r="U276" s="556">
        <f t="shared" si="24"/>
        <v>23</v>
      </c>
      <c r="V276" s="558">
        <f t="shared" si="25"/>
        <v>8</v>
      </c>
      <c r="W276" s="557"/>
      <c r="X276" s="557"/>
      <c r="Y276" s="557"/>
      <c r="Z276" s="557"/>
      <c r="AA276" s="557"/>
      <c r="AB276" s="642" t="s">
        <v>1355</v>
      </c>
      <c r="AC276" s="615"/>
      <c r="AD276" s="615"/>
      <c r="AE276" s="588"/>
    </row>
    <row r="277" spans="1:31" ht="16" thickBot="1">
      <c r="A277" s="554" t="str">
        <f t="shared" si="21"/>
        <v>23.</v>
      </c>
      <c r="B277" s="785" t="s">
        <v>1191</v>
      </c>
      <c r="C277" s="786"/>
      <c r="D277" s="786"/>
      <c r="E277" s="786"/>
      <c r="F277" s="786"/>
      <c r="G277" s="786"/>
      <c r="H277" s="786"/>
      <c r="I277" s="786"/>
      <c r="J277" s="786"/>
      <c r="K277" s="786"/>
      <c r="L277" s="786"/>
      <c r="M277" s="786"/>
      <c r="N277" s="786"/>
      <c r="O277" s="787"/>
      <c r="P277" s="779" t="str">
        <f>CONCATENATE(AC277)</f>
        <v/>
      </c>
      <c r="Q277" s="780"/>
      <c r="R277" s="1284" t="str">
        <f>CONCATENATE(AD277)</f>
        <v/>
      </c>
      <c r="S277" s="1285"/>
      <c r="T277" s="1286"/>
      <c r="U277" s="556">
        <f t="shared" si="24"/>
        <v>23</v>
      </c>
      <c r="V277" s="558"/>
      <c r="W277" s="557"/>
      <c r="X277" s="557"/>
      <c r="Y277" s="557"/>
      <c r="Z277" s="557"/>
      <c r="AA277" s="557"/>
      <c r="AB277" s="642"/>
      <c r="AC277" s="615"/>
      <c r="AD277" s="615"/>
      <c r="AE277" s="588"/>
    </row>
    <row r="278" spans="1:31" ht="29.5" thickBot="1">
      <c r="A278" s="555" t="str">
        <f t="shared" si="21"/>
        <v>23.1</v>
      </c>
      <c r="B278" s="782" t="s">
        <v>1277</v>
      </c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83"/>
      <c r="N278" s="783"/>
      <c r="O278" s="784"/>
      <c r="P278" s="779" t="str">
        <f t="shared" si="22"/>
        <v>м.</v>
      </c>
      <c r="Q278" s="780"/>
      <c r="R278" s="1284">
        <f>3.2*2</f>
        <v>6.4</v>
      </c>
      <c r="S278" s="1285"/>
      <c r="T278" s="1286"/>
      <c r="U278" s="556">
        <f t="shared" si="24"/>
        <v>23</v>
      </c>
      <c r="V278" s="558">
        <f t="shared" si="25"/>
        <v>1</v>
      </c>
      <c r="W278" s="557"/>
      <c r="X278" s="557"/>
      <c r="Y278" s="557"/>
      <c r="Z278" s="557"/>
      <c r="AA278" s="557"/>
      <c r="AB278" s="625" t="s">
        <v>1277</v>
      </c>
      <c r="AC278" s="626" t="s">
        <v>193</v>
      </c>
      <c r="AD278" s="627">
        <v>15</v>
      </c>
      <c r="AE278" s="588"/>
    </row>
    <row r="279" spans="1:31" ht="16" thickBot="1">
      <c r="A279" s="554" t="str">
        <f t="shared" si="21"/>
        <v>24.</v>
      </c>
      <c r="B279" s="785" t="s">
        <v>1195</v>
      </c>
      <c r="C279" s="786"/>
      <c r="D279" s="786"/>
      <c r="E279" s="786"/>
      <c r="F279" s="786"/>
      <c r="G279" s="786"/>
      <c r="H279" s="786"/>
      <c r="I279" s="786"/>
      <c r="J279" s="786"/>
      <c r="K279" s="786"/>
      <c r="L279" s="786"/>
      <c r="M279" s="786"/>
      <c r="N279" s="786"/>
      <c r="O279" s="787"/>
      <c r="P279" s="779" t="str">
        <f t="shared" si="22"/>
        <v/>
      </c>
      <c r="Q279" s="780"/>
      <c r="R279" s="1284" t="str">
        <f t="shared" si="23"/>
        <v/>
      </c>
      <c r="S279" s="1285"/>
      <c r="T279" s="1286"/>
      <c r="U279" s="556">
        <v>24</v>
      </c>
      <c r="V279" s="558"/>
      <c r="W279" s="557"/>
      <c r="X279" s="557"/>
      <c r="Y279" s="557"/>
      <c r="Z279" s="557"/>
      <c r="AA279" s="557"/>
      <c r="AB279" s="602" t="s">
        <v>1195</v>
      </c>
      <c r="AC279" s="603"/>
      <c r="AD279" s="630"/>
      <c r="AE279" s="588"/>
    </row>
    <row r="280" spans="1:31" ht="29.5" thickBot="1">
      <c r="A280" s="555" t="str">
        <f t="shared" si="21"/>
        <v>24.1</v>
      </c>
      <c r="B280" s="782" t="s">
        <v>1247</v>
      </c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83"/>
      <c r="N280" s="783"/>
      <c r="O280" s="784"/>
      <c r="P280" s="779" t="str">
        <f t="shared" si="22"/>
        <v>т.</v>
      </c>
      <c r="Q280" s="780"/>
      <c r="R280" s="1287">
        <f>6.46*SUM(R296)/1000</f>
        <v>8.4341760000000002E-2</v>
      </c>
      <c r="S280" s="1288"/>
      <c r="T280" s="1289"/>
      <c r="U280" s="556">
        <f t="shared" si="24"/>
        <v>24</v>
      </c>
      <c r="V280" s="558">
        <f t="shared" si="25"/>
        <v>1</v>
      </c>
      <c r="W280" s="557"/>
      <c r="X280" s="557"/>
      <c r="Y280" s="557"/>
      <c r="Z280" s="557"/>
      <c r="AA280" s="557"/>
      <c r="AB280" s="605" t="s">
        <v>1247</v>
      </c>
      <c r="AC280" s="606" t="s">
        <v>1244</v>
      </c>
      <c r="AD280" s="629">
        <v>0.26</v>
      </c>
      <c r="AE280" s="588"/>
    </row>
    <row r="281" spans="1:31" ht="29.5" thickBot="1">
      <c r="A281" s="555" t="str">
        <f t="shared" si="21"/>
        <v>24.2</v>
      </c>
      <c r="B281" s="782" t="s">
        <v>1248</v>
      </c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83"/>
      <c r="N281" s="783"/>
      <c r="O281" s="784"/>
      <c r="P281" s="779" t="str">
        <f t="shared" si="22"/>
        <v>т.</v>
      </c>
      <c r="Q281" s="780"/>
      <c r="R281" s="1284" t="str">
        <f t="shared" si="23"/>
        <v>0,22</v>
      </c>
      <c r="S281" s="1285"/>
      <c r="T281" s="1286"/>
      <c r="U281" s="556">
        <f t="shared" si="24"/>
        <v>24</v>
      </c>
      <c r="V281" s="558">
        <f t="shared" si="25"/>
        <v>2</v>
      </c>
      <c r="W281" s="557"/>
      <c r="X281" s="557"/>
      <c r="Y281" s="557"/>
      <c r="Z281" s="557"/>
      <c r="AA281" s="557"/>
      <c r="AB281" s="605" t="s">
        <v>1248</v>
      </c>
      <c r="AC281" s="606" t="s">
        <v>1244</v>
      </c>
      <c r="AD281" s="629">
        <v>0.22</v>
      </c>
      <c r="AE281" s="588"/>
    </row>
    <row r="282" spans="1:31" ht="58.5" thickBot="1">
      <c r="A282" s="555" t="str">
        <f t="shared" si="21"/>
        <v>24.3</v>
      </c>
      <c r="B282" s="782" t="s">
        <v>1245</v>
      </c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83"/>
      <c r="N282" s="783"/>
      <c r="O282" s="784"/>
      <c r="P282" s="779" t="str">
        <f t="shared" si="22"/>
        <v>т.</v>
      </c>
      <c r="Q282" s="780"/>
      <c r="R282" s="1284" t="str">
        <f t="shared" si="23"/>
        <v>0,48</v>
      </c>
      <c r="S282" s="1285"/>
      <c r="T282" s="1286"/>
      <c r="U282" s="556">
        <f t="shared" si="24"/>
        <v>24</v>
      </c>
      <c r="V282" s="558">
        <f t="shared" si="25"/>
        <v>3</v>
      </c>
      <c r="W282" s="557"/>
      <c r="X282" s="557"/>
      <c r="Y282" s="557"/>
      <c r="Z282" s="557"/>
      <c r="AA282" s="557"/>
      <c r="AB282" s="605" t="s">
        <v>1245</v>
      </c>
      <c r="AC282" s="606" t="s">
        <v>1244</v>
      </c>
      <c r="AD282" s="629">
        <v>0.48</v>
      </c>
      <c r="AE282" s="588"/>
    </row>
    <row r="283" spans="1:31" ht="29.5" thickBot="1">
      <c r="A283" s="555" t="str">
        <f t="shared" si="21"/>
        <v>24.4</v>
      </c>
      <c r="B283" s="782" t="s">
        <v>1199</v>
      </c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83"/>
      <c r="N283" s="783"/>
      <c r="O283" s="784"/>
      <c r="P283" s="779" t="str">
        <f t="shared" si="22"/>
        <v>т.</v>
      </c>
      <c r="Q283" s="780"/>
      <c r="R283" s="1287">
        <f>X19*SUM(R303,R295)</f>
        <v>1.7205934718100888</v>
      </c>
      <c r="S283" s="1288"/>
      <c r="T283" s="1289"/>
      <c r="U283" s="556">
        <f t="shared" si="24"/>
        <v>24</v>
      </c>
      <c r="V283" s="558">
        <f t="shared" si="25"/>
        <v>4</v>
      </c>
      <c r="W283" s="557"/>
      <c r="X283" s="557"/>
      <c r="Y283" s="557"/>
      <c r="Z283" s="557"/>
      <c r="AA283" s="557"/>
      <c r="AB283" s="605" t="s">
        <v>1199</v>
      </c>
      <c r="AC283" s="606" t="s">
        <v>1244</v>
      </c>
      <c r="AD283" s="629">
        <v>4.032</v>
      </c>
      <c r="AE283" s="588"/>
    </row>
    <row r="284" spans="1:31" ht="33.65" customHeight="1" thickBot="1">
      <c r="A284" s="555" t="str">
        <f t="shared" si="21"/>
        <v>24.5</v>
      </c>
      <c r="B284" s="782" t="s">
        <v>1249</v>
      </c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83"/>
      <c r="N284" s="783"/>
      <c r="O284" s="784"/>
      <c r="P284" s="779" t="str">
        <f t="shared" si="22"/>
        <v>т.</v>
      </c>
      <c r="Q284" s="780"/>
      <c r="R284" s="1287">
        <f>R283</f>
        <v>1.7205934718100888</v>
      </c>
      <c r="S284" s="1288"/>
      <c r="T284" s="1289"/>
      <c r="U284" s="556">
        <f t="shared" si="24"/>
        <v>24</v>
      </c>
      <c r="V284" s="558">
        <f t="shared" si="25"/>
        <v>5</v>
      </c>
      <c r="W284" s="557"/>
      <c r="X284" s="557"/>
      <c r="Y284" s="557"/>
      <c r="Z284" s="557"/>
      <c r="AA284" s="557"/>
      <c r="AB284" s="605" t="s">
        <v>1249</v>
      </c>
      <c r="AC284" s="606" t="s">
        <v>1244</v>
      </c>
      <c r="AD284" s="629">
        <v>4.032</v>
      </c>
      <c r="AE284" s="588"/>
    </row>
    <row r="285" spans="1:31" ht="29.5" thickBot="1">
      <c r="A285" s="555" t="str">
        <f t="shared" si="21"/>
        <v>24.6</v>
      </c>
      <c r="B285" s="782" t="s">
        <v>1200</v>
      </c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83"/>
      <c r="N285" s="783"/>
      <c r="O285" s="784"/>
      <c r="P285" s="779" t="str">
        <f t="shared" si="22"/>
        <v>т.</v>
      </c>
      <c r="Q285" s="780"/>
      <c r="R285" s="1284" t="str">
        <f t="shared" si="23"/>
        <v>0,05</v>
      </c>
      <c r="S285" s="1285"/>
      <c r="T285" s="1286"/>
      <c r="U285" s="556">
        <f t="shared" si="24"/>
        <v>24</v>
      </c>
      <c r="V285" s="558">
        <f t="shared" si="25"/>
        <v>6</v>
      </c>
      <c r="W285" s="557"/>
      <c r="X285" s="557"/>
      <c r="Y285" s="557"/>
      <c r="Z285" s="557"/>
      <c r="AA285" s="557"/>
      <c r="AB285" s="605" t="s">
        <v>1200</v>
      </c>
      <c r="AC285" s="606" t="s">
        <v>1244</v>
      </c>
      <c r="AD285" s="628">
        <v>0.05</v>
      </c>
      <c r="AE285" s="588"/>
    </row>
    <row r="286" spans="1:31" ht="43.5">
      <c r="A286" s="555" t="str">
        <f t="shared" si="21"/>
        <v>24.7</v>
      </c>
      <c r="B286" s="782" t="s">
        <v>1246</v>
      </c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83"/>
      <c r="N286" s="783"/>
      <c r="O286" s="784"/>
      <c r="P286" s="779" t="str">
        <f t="shared" si="22"/>
        <v>т.</v>
      </c>
      <c r="Q286" s="780"/>
      <c r="R286" s="1284" t="str">
        <f t="shared" si="23"/>
        <v>0,05</v>
      </c>
      <c r="S286" s="1285"/>
      <c r="T286" s="1286"/>
      <c r="U286" s="556">
        <f t="shared" si="24"/>
        <v>24</v>
      </c>
      <c r="V286" s="558">
        <f t="shared" si="25"/>
        <v>7</v>
      </c>
      <c r="W286" s="557"/>
      <c r="X286" s="557"/>
      <c r="Y286" s="557"/>
      <c r="Z286" s="557"/>
      <c r="AA286" s="557"/>
      <c r="AB286" s="624" t="s">
        <v>1246</v>
      </c>
      <c r="AC286" s="613" t="s">
        <v>1244</v>
      </c>
      <c r="AD286" s="634">
        <v>0.05</v>
      </c>
      <c r="AE286" s="588"/>
    </row>
    <row r="287" spans="1:31" ht="29.5" thickBot="1">
      <c r="A287" s="555" t="str">
        <f t="shared" si="21"/>
        <v>24.8</v>
      </c>
      <c r="B287" s="782" t="s">
        <v>1201</v>
      </c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83"/>
      <c r="N287" s="783"/>
      <c r="O287" s="784"/>
      <c r="P287" s="779" t="str">
        <f t="shared" si="22"/>
        <v>рейс</v>
      </c>
      <c r="Q287" s="780"/>
      <c r="R287" s="1284" t="str">
        <f t="shared" si="23"/>
        <v>30</v>
      </c>
      <c r="S287" s="1285"/>
      <c r="T287" s="1286"/>
      <c r="U287" s="556">
        <f t="shared" si="24"/>
        <v>24</v>
      </c>
      <c r="V287" s="558">
        <f t="shared" si="25"/>
        <v>8</v>
      </c>
      <c r="W287" s="557"/>
      <c r="X287" s="557"/>
      <c r="Y287" s="557"/>
      <c r="Z287" s="557"/>
      <c r="AA287" s="557"/>
      <c r="AB287" s="605" t="s">
        <v>1201</v>
      </c>
      <c r="AC287" s="606" t="s">
        <v>1202</v>
      </c>
      <c r="AD287" s="628">
        <v>30</v>
      </c>
      <c r="AE287" s="588"/>
    </row>
    <row r="288" spans="1:31">
      <c r="A288" s="554" t="str">
        <f t="shared" si="21"/>
        <v>25.</v>
      </c>
      <c r="B288" s="785" t="s">
        <v>1216</v>
      </c>
      <c r="C288" s="786"/>
      <c r="D288" s="786"/>
      <c r="E288" s="786"/>
      <c r="F288" s="786"/>
      <c r="G288" s="786"/>
      <c r="H288" s="786"/>
      <c r="I288" s="786"/>
      <c r="J288" s="786"/>
      <c r="K288" s="786"/>
      <c r="L288" s="786"/>
      <c r="M288" s="786"/>
      <c r="N288" s="786"/>
      <c r="O288" s="787"/>
      <c r="P288" s="779" t="str">
        <f t="shared" si="22"/>
        <v/>
      </c>
      <c r="Q288" s="780"/>
      <c r="R288" s="1284" t="str">
        <f t="shared" si="23"/>
        <v/>
      </c>
      <c r="S288" s="1285"/>
      <c r="T288" s="1286"/>
      <c r="U288" s="556">
        <v>25</v>
      </c>
      <c r="V288" s="558"/>
      <c r="W288" s="557"/>
      <c r="X288" s="557"/>
      <c r="Y288" s="557"/>
      <c r="Z288" s="557"/>
      <c r="AA288" s="557"/>
      <c r="AB288" s="635" t="s">
        <v>1216</v>
      </c>
      <c r="AC288" s="645"/>
      <c r="AD288" s="592"/>
      <c r="AE288" s="588"/>
    </row>
    <row r="289" spans="1:31" ht="28.5" customHeight="1" thickBot="1">
      <c r="A289" s="555" t="str">
        <f t="shared" si="21"/>
        <v>25.1</v>
      </c>
      <c r="B289" s="782" t="s">
        <v>1409</v>
      </c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83"/>
      <c r="N289" s="783"/>
      <c r="O289" s="784"/>
      <c r="P289" s="779" t="str">
        <f t="shared" si="22"/>
        <v>м/м3</v>
      </c>
      <c r="Q289" s="780"/>
      <c r="R289" s="1284" t="str">
        <f>CONCATENATE(R278,"/",ROUND(R278*0.425,2))</f>
        <v>6,4/2,72</v>
      </c>
      <c r="S289" s="1285"/>
      <c r="T289" s="1286"/>
      <c r="U289" s="556">
        <f t="shared" si="24"/>
        <v>25</v>
      </c>
      <c r="V289" s="558">
        <f t="shared" si="25"/>
        <v>1</v>
      </c>
      <c r="W289" s="557"/>
      <c r="X289" s="557"/>
      <c r="Y289" s="557"/>
      <c r="Z289" s="557"/>
      <c r="AA289" s="557"/>
      <c r="AB289" s="605" t="s">
        <v>1356</v>
      </c>
      <c r="AC289" s="606" t="s">
        <v>1217</v>
      </c>
      <c r="AD289" s="628" t="s">
        <v>1357</v>
      </c>
      <c r="AE289" s="588"/>
    </row>
    <row r="290" spans="1:31" ht="16" thickBot="1">
      <c r="A290" s="555" t="str">
        <f t="shared" si="21"/>
        <v>25.2</v>
      </c>
      <c r="B290" s="782" t="s">
        <v>1207</v>
      </c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83"/>
      <c r="N290" s="783"/>
      <c r="O290" s="784"/>
      <c r="P290" s="779" t="str">
        <f t="shared" si="22"/>
        <v>м3</v>
      </c>
      <c r="Q290" s="780"/>
      <c r="R290" s="1284">
        <f>ROUND(R278*0.425*0.7,2)</f>
        <v>1.9</v>
      </c>
      <c r="S290" s="1285"/>
      <c r="T290" s="1286"/>
      <c r="U290" s="556">
        <f t="shared" si="24"/>
        <v>25</v>
      </c>
      <c r="V290" s="558">
        <f t="shared" si="25"/>
        <v>2</v>
      </c>
      <c r="W290" s="557"/>
      <c r="X290" s="557"/>
      <c r="Y290" s="557"/>
      <c r="Z290" s="557"/>
      <c r="AA290" s="557"/>
      <c r="AB290" s="605" t="s">
        <v>1207</v>
      </c>
      <c r="AC290" s="606" t="s">
        <v>1163</v>
      </c>
      <c r="AD290" s="628">
        <v>4.46</v>
      </c>
      <c r="AE290" s="588"/>
    </row>
    <row r="291" spans="1:31" ht="16" thickBot="1">
      <c r="A291" s="555" t="str">
        <f t="shared" si="21"/>
        <v>25.3</v>
      </c>
      <c r="B291" s="782" t="s">
        <v>1208</v>
      </c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83"/>
      <c r="N291" s="783"/>
      <c r="O291" s="784"/>
      <c r="P291" s="779" t="str">
        <f t="shared" ref="P291:P352" si="26">CONCATENATE(AC291)</f>
        <v>м3</v>
      </c>
      <c r="Q291" s="780"/>
      <c r="R291" s="1284">
        <f>ROUND(R278*0.425*0.3,2)</f>
        <v>0.82</v>
      </c>
      <c r="S291" s="1285"/>
      <c r="T291" s="1286"/>
      <c r="U291" s="556">
        <f t="shared" si="24"/>
        <v>25</v>
      </c>
      <c r="V291" s="558">
        <f t="shared" si="25"/>
        <v>3</v>
      </c>
      <c r="W291" s="557"/>
      <c r="X291" s="557"/>
      <c r="Y291" s="557"/>
      <c r="Z291" s="557"/>
      <c r="AA291" s="557"/>
      <c r="AB291" s="605" t="s">
        <v>1208</v>
      </c>
      <c r="AC291" s="606" t="s">
        <v>1163</v>
      </c>
      <c r="AD291" s="628">
        <v>1.91</v>
      </c>
      <c r="AE291" s="588"/>
    </row>
    <row r="292" spans="1:31" ht="16" thickBot="1">
      <c r="A292" s="555" t="str">
        <f t="shared" si="21"/>
        <v>25.4</v>
      </c>
      <c r="B292" s="782" t="s">
        <v>1251</v>
      </c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83"/>
      <c r="N292" s="783"/>
      <c r="O292" s="784"/>
      <c r="P292" s="779" t="str">
        <f t="shared" si="26"/>
        <v>м3</v>
      </c>
      <c r="Q292" s="780"/>
      <c r="R292" s="1284">
        <f>R290</f>
        <v>1.9</v>
      </c>
      <c r="S292" s="1285"/>
      <c r="T292" s="1286"/>
      <c r="U292" s="556">
        <f t="shared" si="24"/>
        <v>25</v>
      </c>
      <c r="V292" s="558">
        <f t="shared" si="25"/>
        <v>4</v>
      </c>
      <c r="W292" s="557"/>
      <c r="X292" s="557"/>
      <c r="Y292" s="557"/>
      <c r="Z292" s="557"/>
      <c r="AA292" s="557"/>
      <c r="AB292" s="605" t="s">
        <v>1251</v>
      </c>
      <c r="AC292" s="606" t="s">
        <v>1163</v>
      </c>
      <c r="AD292" s="628">
        <v>4.46</v>
      </c>
      <c r="AE292" s="588"/>
    </row>
    <row r="293" spans="1:31" ht="16" thickBot="1">
      <c r="A293" s="555" t="str">
        <f t="shared" si="21"/>
        <v>25.5</v>
      </c>
      <c r="B293" s="782" t="s">
        <v>1252</v>
      </c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83"/>
      <c r="N293" s="783"/>
      <c r="O293" s="784"/>
      <c r="P293" s="779" t="str">
        <f t="shared" si="26"/>
        <v>м3</v>
      </c>
      <c r="Q293" s="780"/>
      <c r="R293" s="1284">
        <f>R291</f>
        <v>0.82</v>
      </c>
      <c r="S293" s="1285"/>
      <c r="T293" s="1286"/>
      <c r="U293" s="556">
        <f t="shared" si="24"/>
        <v>25</v>
      </c>
      <c r="V293" s="558">
        <f t="shared" si="25"/>
        <v>5</v>
      </c>
      <c r="W293" s="557"/>
      <c r="X293" s="557"/>
      <c r="Y293" s="557"/>
      <c r="Z293" s="557"/>
      <c r="AA293" s="557"/>
      <c r="AB293" s="605" t="s">
        <v>1252</v>
      </c>
      <c r="AC293" s="606" t="s">
        <v>1163</v>
      </c>
      <c r="AD293" s="628">
        <v>1.91</v>
      </c>
      <c r="AE293" s="588"/>
    </row>
    <row r="294" spans="1:31" ht="16" thickBot="1">
      <c r="A294" s="555" t="str">
        <f t="shared" si="21"/>
        <v>25.6</v>
      </c>
      <c r="B294" s="782" t="s">
        <v>1218</v>
      </c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83"/>
      <c r="N294" s="783"/>
      <c r="O294" s="784"/>
      <c r="P294" s="779" t="str">
        <f t="shared" si="26"/>
        <v>м3</v>
      </c>
      <c r="Q294" s="780"/>
      <c r="R294" s="1287">
        <f>R293*0.1</f>
        <v>8.2000000000000003E-2</v>
      </c>
      <c r="S294" s="1288"/>
      <c r="T294" s="1289"/>
      <c r="U294" s="556">
        <f t="shared" si="24"/>
        <v>25</v>
      </c>
      <c r="V294" s="558">
        <f t="shared" si="25"/>
        <v>6</v>
      </c>
      <c r="W294" s="557"/>
      <c r="X294" s="557"/>
      <c r="Y294" s="557"/>
      <c r="Z294" s="557"/>
      <c r="AA294" s="557"/>
      <c r="AB294" s="605" t="s">
        <v>1218</v>
      </c>
      <c r="AC294" s="606" t="s">
        <v>1163</v>
      </c>
      <c r="AD294" s="628">
        <v>0.19</v>
      </c>
      <c r="AE294" s="588"/>
    </row>
    <row r="295" spans="1:31" ht="29.5" thickBot="1">
      <c r="A295" s="555" t="str">
        <f t="shared" si="21"/>
        <v>25.7</v>
      </c>
      <c r="B295" s="782" t="s">
        <v>1421</v>
      </c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83"/>
      <c r="N295" s="783"/>
      <c r="O295" s="784"/>
      <c r="P295" s="779" t="str">
        <f t="shared" si="26"/>
        <v>м3</v>
      </c>
      <c r="Q295" s="780"/>
      <c r="R295" s="1284">
        <f>R278*0.15*0.5</f>
        <v>0.48</v>
      </c>
      <c r="S295" s="1285"/>
      <c r="T295" s="1286"/>
      <c r="U295" s="556">
        <f t="shared" si="24"/>
        <v>25</v>
      </c>
      <c r="V295" s="558">
        <f t="shared" si="25"/>
        <v>7</v>
      </c>
      <c r="W295" s="557"/>
      <c r="X295" s="557"/>
      <c r="Y295" s="557"/>
      <c r="Z295" s="557"/>
      <c r="AA295" s="557"/>
      <c r="AB295" s="625" t="s">
        <v>1358</v>
      </c>
      <c r="AC295" s="626" t="s">
        <v>1163</v>
      </c>
      <c r="AD295" s="627">
        <v>1.1200000000000001</v>
      </c>
      <c r="AE295" s="588"/>
    </row>
    <row r="296" spans="1:31" ht="44" thickBot="1">
      <c r="A296" s="555" t="str">
        <f t="shared" si="21"/>
        <v>25.8</v>
      </c>
      <c r="B296" s="782" t="s">
        <v>1412</v>
      </c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83"/>
      <c r="N296" s="783"/>
      <c r="O296" s="784"/>
      <c r="P296" s="779" t="str">
        <f t="shared" si="26"/>
        <v>м</v>
      </c>
      <c r="Q296" s="780"/>
      <c r="R296" s="1284">
        <f>R278*2*1.02</f>
        <v>13.056000000000001</v>
      </c>
      <c r="S296" s="1285"/>
      <c r="T296" s="1286"/>
      <c r="U296" s="556">
        <f t="shared" si="24"/>
        <v>25</v>
      </c>
      <c r="V296" s="558">
        <f t="shared" si="25"/>
        <v>8</v>
      </c>
      <c r="W296" s="557"/>
      <c r="X296" s="557"/>
      <c r="Y296" s="557"/>
      <c r="Z296" s="557"/>
      <c r="AA296" s="557"/>
      <c r="AB296" s="605" t="s">
        <v>1359</v>
      </c>
      <c r="AC296" s="606" t="s">
        <v>1159</v>
      </c>
      <c r="AD296" s="628">
        <v>30.6</v>
      </c>
      <c r="AE296" s="588"/>
    </row>
    <row r="297" spans="1:31" ht="16" thickBot="1">
      <c r="A297" s="555" t="str">
        <f t="shared" si="21"/>
        <v>25.9</v>
      </c>
      <c r="B297" s="782" t="s">
        <v>1255</v>
      </c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83"/>
      <c r="N297" s="783"/>
      <c r="O297" s="784"/>
      <c r="P297" s="779" t="str">
        <f t="shared" si="26"/>
        <v>м</v>
      </c>
      <c r="Q297" s="780"/>
      <c r="R297" s="1284" t="str">
        <f>CONCATENATE(AD297)</f>
        <v>10</v>
      </c>
      <c r="S297" s="1285"/>
      <c r="T297" s="1286"/>
      <c r="U297" s="556">
        <f t="shared" si="24"/>
        <v>25</v>
      </c>
      <c r="V297" s="558">
        <f t="shared" si="25"/>
        <v>9</v>
      </c>
      <c r="W297" s="557"/>
      <c r="X297" s="557"/>
      <c r="Y297" s="557"/>
      <c r="Z297" s="557"/>
      <c r="AA297" s="557"/>
      <c r="AB297" s="605" t="s">
        <v>1255</v>
      </c>
      <c r="AC297" s="606" t="s">
        <v>1159</v>
      </c>
      <c r="AD297" s="628">
        <v>10</v>
      </c>
      <c r="AE297" s="588"/>
    </row>
    <row r="298" spans="1:31" ht="29.5" thickBot="1">
      <c r="A298" s="555" t="str">
        <f t="shared" si="21"/>
        <v>25.10</v>
      </c>
      <c r="B298" s="782" t="s">
        <v>1256</v>
      </c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83"/>
      <c r="N298" s="783"/>
      <c r="O298" s="784"/>
      <c r="P298" s="779" t="str">
        <f t="shared" si="26"/>
        <v>м</v>
      </c>
      <c r="Q298" s="780"/>
      <c r="R298" s="1284">
        <v>10</v>
      </c>
      <c r="S298" s="1285"/>
      <c r="T298" s="1286"/>
      <c r="U298" s="556">
        <f t="shared" si="24"/>
        <v>25</v>
      </c>
      <c r="V298" s="558">
        <f t="shared" si="25"/>
        <v>10</v>
      </c>
      <c r="W298" s="557"/>
      <c r="X298" s="557"/>
      <c r="Y298" s="557"/>
      <c r="Z298" s="557"/>
      <c r="AA298" s="557"/>
      <c r="AB298" s="605" t="s">
        <v>1256</v>
      </c>
      <c r="AC298" s="606" t="s">
        <v>1159</v>
      </c>
      <c r="AD298" s="628">
        <v>4</v>
      </c>
      <c r="AE298" s="588"/>
    </row>
    <row r="299" spans="1:31" ht="16" thickBot="1">
      <c r="A299" s="555" t="str">
        <f t="shared" si="21"/>
        <v>25.11</v>
      </c>
      <c r="B299" s="782" t="s">
        <v>1413</v>
      </c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83"/>
      <c r="N299" s="783"/>
      <c r="O299" s="784"/>
      <c r="P299" s="779" t="str">
        <f t="shared" si="26"/>
        <v>м</v>
      </c>
      <c r="Q299" s="780"/>
      <c r="R299" s="1284">
        <v>3</v>
      </c>
      <c r="S299" s="1285"/>
      <c r="T299" s="1286"/>
      <c r="U299" s="556">
        <f t="shared" si="24"/>
        <v>25</v>
      </c>
      <c r="V299" s="558">
        <f t="shared" si="25"/>
        <v>11</v>
      </c>
      <c r="W299" s="557"/>
      <c r="X299" s="557"/>
      <c r="Y299" s="557"/>
      <c r="Z299" s="557"/>
      <c r="AA299" s="557"/>
      <c r="AB299" s="605" t="s">
        <v>1257</v>
      </c>
      <c r="AC299" s="606" t="s">
        <v>1159</v>
      </c>
      <c r="AD299" s="628">
        <v>4</v>
      </c>
      <c r="AE299" s="588"/>
    </row>
    <row r="300" spans="1:31" ht="16" thickBot="1">
      <c r="A300" s="555" t="str">
        <f t="shared" si="21"/>
        <v>25.12</v>
      </c>
      <c r="B300" s="782" t="s">
        <v>1258</v>
      </c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83"/>
      <c r="N300" s="783"/>
      <c r="O300" s="784"/>
      <c r="P300" s="779" t="str">
        <f t="shared" si="26"/>
        <v>м</v>
      </c>
      <c r="Q300" s="780"/>
      <c r="R300" s="1284">
        <v>3</v>
      </c>
      <c r="S300" s="1285"/>
      <c r="T300" s="1286"/>
      <c r="U300" s="556">
        <f t="shared" si="24"/>
        <v>25</v>
      </c>
      <c r="V300" s="558">
        <f t="shared" si="25"/>
        <v>12</v>
      </c>
      <c r="W300" s="557"/>
      <c r="X300" s="557"/>
      <c r="Y300" s="557"/>
      <c r="Z300" s="557"/>
      <c r="AA300" s="557"/>
      <c r="AB300" s="605" t="s">
        <v>1258</v>
      </c>
      <c r="AC300" s="606" t="s">
        <v>1159</v>
      </c>
      <c r="AD300" s="628">
        <v>4</v>
      </c>
      <c r="AE300" s="588"/>
    </row>
    <row r="301" spans="1:31" ht="29.5" thickBot="1">
      <c r="A301" s="555" t="str">
        <f t="shared" si="21"/>
        <v>25.13</v>
      </c>
      <c r="B301" s="782" t="s">
        <v>1260</v>
      </c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83"/>
      <c r="N301" s="783"/>
      <c r="O301" s="784"/>
      <c r="P301" s="779" t="str">
        <f t="shared" si="26"/>
        <v>шт</v>
      </c>
      <c r="Q301" s="780"/>
      <c r="R301" s="1284" t="str">
        <f>CONCATENATE(AD301)</f>
        <v>4</v>
      </c>
      <c r="S301" s="1285"/>
      <c r="T301" s="1286"/>
      <c r="U301" s="556">
        <f t="shared" si="24"/>
        <v>25</v>
      </c>
      <c r="V301" s="558">
        <f t="shared" si="25"/>
        <v>13</v>
      </c>
      <c r="W301" s="557"/>
      <c r="X301" s="557"/>
      <c r="Y301" s="557"/>
      <c r="Z301" s="557"/>
      <c r="AA301" s="557"/>
      <c r="AB301" s="605" t="s">
        <v>1260</v>
      </c>
      <c r="AC301" s="606" t="s">
        <v>1161</v>
      </c>
      <c r="AD301" s="628">
        <v>4</v>
      </c>
      <c r="AE301" s="588"/>
    </row>
    <row r="302" spans="1:31" ht="16" thickBot="1">
      <c r="A302" s="555" t="str">
        <f t="shared" si="21"/>
        <v>25.14</v>
      </c>
      <c r="B302" s="782" t="s">
        <v>1261</v>
      </c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83"/>
      <c r="N302" s="783"/>
      <c r="O302" s="784"/>
      <c r="P302" s="779" t="str">
        <f t="shared" si="26"/>
        <v>шт</v>
      </c>
      <c r="Q302" s="780"/>
      <c r="R302" s="1284" t="str">
        <f>CONCATENATE(AD302)</f>
        <v>4</v>
      </c>
      <c r="S302" s="1285"/>
      <c r="T302" s="1286"/>
      <c r="U302" s="556">
        <f t="shared" si="24"/>
        <v>25</v>
      </c>
      <c r="V302" s="558">
        <f t="shared" si="25"/>
        <v>14</v>
      </c>
      <c r="W302" s="557"/>
      <c r="X302" s="557"/>
      <c r="Y302" s="557"/>
      <c r="Z302" s="557"/>
      <c r="AA302" s="557"/>
      <c r="AB302" s="605" t="s">
        <v>1261</v>
      </c>
      <c r="AC302" s="606" t="s">
        <v>1161</v>
      </c>
      <c r="AD302" s="628">
        <v>4</v>
      </c>
      <c r="AE302" s="588"/>
    </row>
    <row r="303" spans="1:31" ht="29.5" thickBot="1">
      <c r="A303" s="555" t="str">
        <f t="shared" si="21"/>
        <v>25.15</v>
      </c>
      <c r="B303" s="782" t="s">
        <v>1422</v>
      </c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83"/>
      <c r="N303" s="783"/>
      <c r="O303" s="784"/>
      <c r="P303" s="779" t="str">
        <f t="shared" si="26"/>
        <v>м3</v>
      </c>
      <c r="Q303" s="780"/>
      <c r="R303" s="1281">
        <f>R278*0.15*0.5</f>
        <v>0.48</v>
      </c>
      <c r="S303" s="1282"/>
      <c r="T303" s="1283"/>
      <c r="U303" s="556">
        <f t="shared" si="24"/>
        <v>25</v>
      </c>
      <c r="V303" s="558">
        <f t="shared" si="25"/>
        <v>15</v>
      </c>
      <c r="W303" s="557"/>
      <c r="X303" s="557"/>
      <c r="Y303" s="557"/>
      <c r="Z303" s="557"/>
      <c r="AA303" s="557"/>
      <c r="AB303" s="605" t="s">
        <v>1360</v>
      </c>
      <c r="AC303" s="606" t="s">
        <v>1163</v>
      </c>
      <c r="AD303" s="628">
        <v>1.1200000000000001</v>
      </c>
      <c r="AE303" s="588"/>
    </row>
    <row r="304" spans="1:31" ht="24" customHeight="1" thickBot="1">
      <c r="A304" s="555" t="str">
        <f t="shared" si="21"/>
        <v>25.16</v>
      </c>
      <c r="B304" s="782" t="s">
        <v>1414</v>
      </c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83"/>
      <c r="N304" s="783"/>
      <c r="O304" s="784"/>
      <c r="P304" s="779" t="str">
        <f t="shared" si="26"/>
        <v>шт</v>
      </c>
      <c r="Q304" s="780"/>
      <c r="R304" s="1290">
        <f>R278*2/0.48</f>
        <v>26.666666666666668</v>
      </c>
      <c r="S304" s="1291"/>
      <c r="T304" s="1292"/>
      <c r="U304" s="556">
        <f t="shared" si="24"/>
        <v>25</v>
      </c>
      <c r="V304" s="558">
        <f t="shared" si="25"/>
        <v>16</v>
      </c>
      <c r="W304" s="557"/>
      <c r="X304" s="557"/>
      <c r="Y304" s="557"/>
      <c r="Z304" s="557"/>
      <c r="AA304" s="557"/>
      <c r="AB304" s="605" t="s">
        <v>1361</v>
      </c>
      <c r="AC304" s="606" t="s">
        <v>1161</v>
      </c>
      <c r="AD304" s="628">
        <v>62</v>
      </c>
      <c r="AE304" s="588"/>
    </row>
    <row r="305" spans="1:31" ht="29.5" thickBot="1">
      <c r="A305" s="555" t="str">
        <f t="shared" si="21"/>
        <v>25.17</v>
      </c>
      <c r="B305" s="782" t="s">
        <v>1362</v>
      </c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83"/>
      <c r="N305" s="783"/>
      <c r="O305" s="784"/>
      <c r="P305" s="779" t="str">
        <f t="shared" si="26"/>
        <v>м3</v>
      </c>
      <c r="Q305" s="780"/>
      <c r="R305" s="1287">
        <f>ROUND(R278*0.425,2)-R295-R303</f>
        <v>1.7600000000000002</v>
      </c>
      <c r="S305" s="1288"/>
      <c r="T305" s="1289"/>
      <c r="U305" s="556">
        <f t="shared" si="24"/>
        <v>25</v>
      </c>
      <c r="V305" s="558">
        <f t="shared" si="25"/>
        <v>17</v>
      </c>
      <c r="W305" s="557"/>
      <c r="X305" s="557"/>
      <c r="Y305" s="557"/>
      <c r="Z305" s="557"/>
      <c r="AA305" s="557"/>
      <c r="AB305" s="605" t="s">
        <v>1362</v>
      </c>
      <c r="AC305" s="606" t="s">
        <v>1163</v>
      </c>
      <c r="AD305" s="628">
        <v>4.12</v>
      </c>
      <c r="AE305" s="588"/>
    </row>
    <row r="306" spans="1:31" ht="29.5" thickBot="1">
      <c r="A306" s="555" t="str">
        <f t="shared" ref="A306:A367" si="27">CONCATENATE(U306,".",V306)</f>
        <v>25.18</v>
      </c>
      <c r="B306" s="782" t="s">
        <v>1363</v>
      </c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83"/>
      <c r="N306" s="783"/>
      <c r="O306" s="784"/>
      <c r="P306" s="779" t="str">
        <f t="shared" si="26"/>
        <v>т.</v>
      </c>
      <c r="Q306" s="780"/>
      <c r="R306" s="1284">
        <f>(ROUND(R278*0.425,2)-R305)*1.8</f>
        <v>1.728</v>
      </c>
      <c r="S306" s="1285"/>
      <c r="T306" s="1286"/>
      <c r="U306" s="556">
        <f t="shared" si="24"/>
        <v>25</v>
      </c>
      <c r="V306" s="558">
        <f t="shared" si="25"/>
        <v>18</v>
      </c>
      <c r="W306" s="557"/>
      <c r="X306" s="557"/>
      <c r="Y306" s="557"/>
      <c r="Z306" s="557"/>
      <c r="AA306" s="557"/>
      <c r="AB306" s="605" t="s">
        <v>1363</v>
      </c>
      <c r="AC306" s="606" t="s">
        <v>1244</v>
      </c>
      <c r="AD306" s="628">
        <v>4.05</v>
      </c>
      <c r="AE306" s="588"/>
    </row>
    <row r="307" spans="1:31" ht="44" thickBot="1">
      <c r="A307" s="555" t="str">
        <f t="shared" si="27"/>
        <v>25.19</v>
      </c>
      <c r="B307" s="782" t="s">
        <v>1266</v>
      </c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83"/>
      <c r="N307" s="783"/>
      <c r="O307" s="784"/>
      <c r="P307" s="779" t="str">
        <f t="shared" si="26"/>
        <v>т.</v>
      </c>
      <c r="Q307" s="780"/>
      <c r="R307" s="1284">
        <f>R306</f>
        <v>1.728</v>
      </c>
      <c r="S307" s="1285"/>
      <c r="T307" s="1286"/>
      <c r="U307" s="556">
        <f t="shared" si="24"/>
        <v>25</v>
      </c>
      <c r="V307" s="558">
        <f t="shared" si="25"/>
        <v>19</v>
      </c>
      <c r="W307" s="557"/>
      <c r="X307" s="557"/>
      <c r="Y307" s="557"/>
      <c r="Z307" s="557"/>
      <c r="AA307" s="557"/>
      <c r="AB307" s="605" t="s">
        <v>1266</v>
      </c>
      <c r="AC307" s="606" t="s">
        <v>1244</v>
      </c>
      <c r="AD307" s="628">
        <v>4.05</v>
      </c>
      <c r="AE307" s="588"/>
    </row>
    <row r="308" spans="1:31" ht="29.5" thickBot="1">
      <c r="A308" s="555" t="str">
        <f t="shared" si="27"/>
        <v>25.20</v>
      </c>
      <c r="B308" s="782" t="s">
        <v>1267</v>
      </c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83"/>
      <c r="N308" s="783"/>
      <c r="O308" s="784"/>
      <c r="P308" s="779" t="str">
        <f t="shared" si="26"/>
        <v>компл</v>
      </c>
      <c r="Q308" s="780"/>
      <c r="R308" s="1284" t="str">
        <f t="shared" ref="R308:R318" si="28">CONCATENATE(AD308)</f>
        <v>4</v>
      </c>
      <c r="S308" s="1285"/>
      <c r="T308" s="1286"/>
      <c r="U308" s="556">
        <f t="shared" si="24"/>
        <v>25</v>
      </c>
      <c r="V308" s="558">
        <f t="shared" si="25"/>
        <v>20</v>
      </c>
      <c r="W308" s="557"/>
      <c r="X308" s="557"/>
      <c r="Y308" s="557"/>
      <c r="Z308" s="557"/>
      <c r="AA308" s="557"/>
      <c r="AB308" s="605" t="s">
        <v>1267</v>
      </c>
      <c r="AC308" s="606" t="s">
        <v>1162</v>
      </c>
      <c r="AD308" s="628">
        <v>4</v>
      </c>
      <c r="AE308" s="588"/>
    </row>
    <row r="309" spans="1:31" ht="29.5" thickBot="1">
      <c r="A309" s="555" t="str">
        <f t="shared" si="27"/>
        <v>25.21</v>
      </c>
      <c r="B309" s="782" t="s">
        <v>1268</v>
      </c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83"/>
      <c r="N309" s="783"/>
      <c r="O309" s="784"/>
      <c r="P309" s="779" t="str">
        <f t="shared" si="26"/>
        <v>шт</v>
      </c>
      <c r="Q309" s="780"/>
      <c r="R309" s="1284" t="str">
        <f t="shared" si="28"/>
        <v>8</v>
      </c>
      <c r="S309" s="1285"/>
      <c r="T309" s="1286"/>
      <c r="U309" s="556">
        <f t="shared" si="24"/>
        <v>25</v>
      </c>
      <c r="V309" s="558">
        <f t="shared" si="25"/>
        <v>21</v>
      </c>
      <c r="W309" s="557"/>
      <c r="X309" s="557"/>
      <c r="Y309" s="557"/>
      <c r="Z309" s="557"/>
      <c r="AA309" s="557"/>
      <c r="AB309" s="605" t="s">
        <v>1268</v>
      </c>
      <c r="AC309" s="606" t="s">
        <v>1161</v>
      </c>
      <c r="AD309" s="628">
        <v>8</v>
      </c>
      <c r="AE309" s="588"/>
    </row>
    <row r="310" spans="1:31" ht="16" thickBot="1">
      <c r="A310" s="555" t="str">
        <f t="shared" si="27"/>
        <v>25.22</v>
      </c>
      <c r="B310" s="782" t="s">
        <v>1269</v>
      </c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83"/>
      <c r="N310" s="783"/>
      <c r="O310" s="784"/>
      <c r="P310" s="779" t="str">
        <f t="shared" si="26"/>
        <v>шт</v>
      </c>
      <c r="Q310" s="780"/>
      <c r="R310" s="1284" t="str">
        <f t="shared" si="28"/>
        <v>8</v>
      </c>
      <c r="S310" s="1285"/>
      <c r="T310" s="1286"/>
      <c r="U310" s="556">
        <f t="shared" si="24"/>
        <v>25</v>
      </c>
      <c r="V310" s="558">
        <f t="shared" si="25"/>
        <v>22</v>
      </c>
      <c r="W310" s="557"/>
      <c r="X310" s="557"/>
      <c r="Y310" s="557"/>
      <c r="Z310" s="557"/>
      <c r="AA310" s="557"/>
      <c r="AB310" s="605" t="s">
        <v>1269</v>
      </c>
      <c r="AC310" s="606" t="s">
        <v>1161</v>
      </c>
      <c r="AD310" s="628">
        <v>8</v>
      </c>
      <c r="AE310" s="588"/>
    </row>
    <row r="311" spans="1:31" ht="16" thickBot="1">
      <c r="A311" s="555" t="str">
        <f t="shared" si="27"/>
        <v>25.23</v>
      </c>
      <c r="B311" s="782" t="s">
        <v>1270</v>
      </c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83"/>
      <c r="N311" s="783"/>
      <c r="O311" s="784"/>
      <c r="P311" s="779" t="str">
        <f t="shared" si="26"/>
        <v>шт</v>
      </c>
      <c r="Q311" s="780"/>
      <c r="R311" s="1284" t="str">
        <f t="shared" si="28"/>
        <v>4</v>
      </c>
      <c r="S311" s="1285"/>
      <c r="T311" s="1286"/>
      <c r="U311" s="556">
        <f t="shared" si="24"/>
        <v>25</v>
      </c>
      <c r="V311" s="558">
        <f t="shared" si="25"/>
        <v>23</v>
      </c>
      <c r="W311" s="557"/>
      <c r="X311" s="600">
        <f>X220</f>
        <v>137.6</v>
      </c>
      <c r="Y311" s="557"/>
      <c r="Z311" s="557"/>
      <c r="AA311" s="557"/>
      <c r="AB311" s="605" t="s">
        <v>1270</v>
      </c>
      <c r="AC311" s="606" t="s">
        <v>1161</v>
      </c>
      <c r="AD311" s="628">
        <v>4</v>
      </c>
      <c r="AE311" s="588"/>
    </row>
    <row r="312" spans="1:31" ht="16" thickBot="1">
      <c r="A312" s="554" t="str">
        <f t="shared" si="27"/>
        <v>26.</v>
      </c>
      <c r="B312" s="785" t="s">
        <v>1219</v>
      </c>
      <c r="C312" s="786"/>
      <c r="D312" s="786"/>
      <c r="E312" s="786"/>
      <c r="F312" s="786"/>
      <c r="G312" s="786"/>
      <c r="H312" s="786"/>
      <c r="I312" s="786"/>
      <c r="J312" s="786"/>
      <c r="K312" s="786"/>
      <c r="L312" s="786"/>
      <c r="M312" s="786"/>
      <c r="N312" s="786"/>
      <c r="O312" s="787"/>
      <c r="P312" s="779" t="str">
        <f t="shared" si="26"/>
        <v/>
      </c>
      <c r="Q312" s="780"/>
      <c r="R312" s="1284" t="str">
        <f t="shared" si="28"/>
        <v/>
      </c>
      <c r="S312" s="1285"/>
      <c r="T312" s="1286"/>
      <c r="U312" s="556">
        <v>26</v>
      </c>
      <c r="V312" s="558"/>
      <c r="W312" s="557"/>
      <c r="X312" s="557"/>
      <c r="Y312" s="557"/>
      <c r="Z312" s="557"/>
      <c r="AA312" s="557"/>
      <c r="AB312" s="602" t="s">
        <v>1219</v>
      </c>
      <c r="AC312" s="603"/>
      <c r="AD312" s="630"/>
      <c r="AE312" s="588"/>
    </row>
    <row r="313" spans="1:31" ht="16" thickBot="1">
      <c r="A313" s="555" t="str">
        <f t="shared" si="27"/>
        <v>26.1</v>
      </c>
      <c r="B313" s="782" t="s">
        <v>1220</v>
      </c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83"/>
      <c r="N313" s="783"/>
      <c r="O313" s="784"/>
      <c r="P313" s="779" t="str">
        <f t="shared" si="26"/>
        <v>шт.</v>
      </c>
      <c r="Q313" s="780"/>
      <c r="R313" s="1284" t="str">
        <f t="shared" si="28"/>
        <v>2</v>
      </c>
      <c r="S313" s="1285"/>
      <c r="T313" s="1286"/>
      <c r="U313" s="556">
        <f t="shared" si="24"/>
        <v>26</v>
      </c>
      <c r="V313" s="558">
        <f t="shared" si="25"/>
        <v>1</v>
      </c>
      <c r="W313" s="557"/>
      <c r="X313" s="557"/>
      <c r="Y313" s="557"/>
      <c r="Z313" s="557"/>
      <c r="AA313" s="557"/>
      <c r="AB313" s="605" t="s">
        <v>1220</v>
      </c>
      <c r="AC313" s="606" t="s">
        <v>1194</v>
      </c>
      <c r="AD313" s="628">
        <v>2</v>
      </c>
      <c r="AE313" s="588"/>
    </row>
    <row r="314" spans="1:31" ht="16" thickBot="1">
      <c r="A314" s="555" t="str">
        <f t="shared" si="27"/>
        <v>26.2</v>
      </c>
      <c r="B314" s="782" t="s">
        <v>1271</v>
      </c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83"/>
      <c r="N314" s="783"/>
      <c r="O314" s="784"/>
      <c r="P314" s="779" t="str">
        <f t="shared" si="26"/>
        <v>изм.</v>
      </c>
      <c r="Q314" s="780"/>
      <c r="R314" s="1284" t="str">
        <f t="shared" si="28"/>
        <v>2</v>
      </c>
      <c r="S314" s="1285"/>
      <c r="T314" s="1286"/>
      <c r="U314" s="556">
        <f t="shared" si="24"/>
        <v>26</v>
      </c>
      <c r="V314" s="558">
        <f t="shared" si="25"/>
        <v>2</v>
      </c>
      <c r="W314" s="557"/>
      <c r="X314" s="557"/>
      <c r="Y314" s="557"/>
      <c r="Z314" s="557"/>
      <c r="AA314" s="557"/>
      <c r="AB314" s="605" t="s">
        <v>1271</v>
      </c>
      <c r="AC314" s="606" t="s">
        <v>1213</v>
      </c>
      <c r="AD314" s="628">
        <v>2</v>
      </c>
      <c r="AE314" s="588"/>
    </row>
    <row r="315" spans="1:31" ht="16" thickBot="1">
      <c r="A315" s="555" t="str">
        <f t="shared" si="27"/>
        <v>26.3</v>
      </c>
      <c r="B315" s="782" t="s">
        <v>1272</v>
      </c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83"/>
      <c r="N315" s="783"/>
      <c r="O315" s="784"/>
      <c r="P315" s="779" t="str">
        <f t="shared" si="26"/>
        <v>изм.</v>
      </c>
      <c r="Q315" s="780"/>
      <c r="R315" s="1284" t="str">
        <f t="shared" si="28"/>
        <v>3</v>
      </c>
      <c r="S315" s="1285"/>
      <c r="T315" s="1286"/>
      <c r="U315" s="556">
        <f t="shared" si="24"/>
        <v>26</v>
      </c>
      <c r="V315" s="558">
        <f t="shared" si="25"/>
        <v>3</v>
      </c>
      <c r="W315" s="557"/>
      <c r="X315" s="557"/>
      <c r="Y315" s="557"/>
      <c r="Z315" s="557"/>
      <c r="AA315" s="557"/>
      <c r="AB315" s="605" t="s">
        <v>1272</v>
      </c>
      <c r="AC315" s="606" t="s">
        <v>1213</v>
      </c>
      <c r="AD315" s="628">
        <v>3</v>
      </c>
      <c r="AE315" s="588"/>
    </row>
    <row r="316" spans="1:31" ht="29.5" thickBot="1">
      <c r="A316" s="555" t="str">
        <f t="shared" si="27"/>
        <v>26.4</v>
      </c>
      <c r="B316" s="782" t="s">
        <v>1221</v>
      </c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83"/>
      <c r="N316" s="783"/>
      <c r="O316" s="784"/>
      <c r="P316" s="779" t="str">
        <f t="shared" si="26"/>
        <v>изм.</v>
      </c>
      <c r="Q316" s="780"/>
      <c r="R316" s="1284" t="str">
        <f t="shared" si="28"/>
        <v>4</v>
      </c>
      <c r="S316" s="1285"/>
      <c r="T316" s="1286"/>
      <c r="U316" s="556">
        <f t="shared" si="24"/>
        <v>26</v>
      </c>
      <c r="V316" s="558">
        <f t="shared" si="25"/>
        <v>4</v>
      </c>
      <c r="W316" s="557"/>
      <c r="X316" s="557"/>
      <c r="Y316" s="557"/>
      <c r="Z316" s="557"/>
      <c r="AA316" s="557"/>
      <c r="AB316" s="605" t="s">
        <v>1221</v>
      </c>
      <c r="AC316" s="606" t="s">
        <v>1213</v>
      </c>
      <c r="AD316" s="628">
        <v>4</v>
      </c>
      <c r="AE316" s="588"/>
    </row>
    <row r="317" spans="1:31" ht="29.5" thickBot="1">
      <c r="A317" s="555" t="str">
        <f t="shared" si="27"/>
        <v>26.5</v>
      </c>
      <c r="B317" s="782" t="s">
        <v>1273</v>
      </c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83"/>
      <c r="N317" s="783"/>
      <c r="O317" s="784"/>
      <c r="P317" s="779" t="str">
        <f t="shared" si="26"/>
        <v>изм.</v>
      </c>
      <c r="Q317" s="780"/>
      <c r="R317" s="1284" t="str">
        <f t="shared" si="28"/>
        <v>1</v>
      </c>
      <c r="S317" s="1285"/>
      <c r="T317" s="1286"/>
      <c r="U317" s="556">
        <f t="shared" si="24"/>
        <v>26</v>
      </c>
      <c r="V317" s="558">
        <f t="shared" si="25"/>
        <v>5</v>
      </c>
      <c r="W317" s="557"/>
      <c r="X317" s="557"/>
      <c r="Y317" s="557"/>
      <c r="Z317" s="557"/>
      <c r="AA317" s="557"/>
      <c r="AB317" s="605" t="s">
        <v>1273</v>
      </c>
      <c r="AC317" s="606" t="s">
        <v>1213</v>
      </c>
      <c r="AD317" s="628">
        <v>1</v>
      </c>
      <c r="AE317" s="588"/>
    </row>
    <row r="318" spans="1:31" ht="29.5" thickBot="1">
      <c r="A318" s="555" t="str">
        <f t="shared" si="27"/>
        <v>26.6</v>
      </c>
      <c r="B318" s="782" t="s">
        <v>1274</v>
      </c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83"/>
      <c r="N318" s="783"/>
      <c r="O318" s="784"/>
      <c r="P318" s="779" t="str">
        <f t="shared" si="26"/>
        <v>точек</v>
      </c>
      <c r="Q318" s="780"/>
      <c r="R318" s="1284" t="str">
        <f t="shared" si="28"/>
        <v>1</v>
      </c>
      <c r="S318" s="1285"/>
      <c r="T318" s="1286"/>
      <c r="U318" s="556">
        <f t="shared" si="24"/>
        <v>26</v>
      </c>
      <c r="V318" s="558">
        <f t="shared" si="25"/>
        <v>6</v>
      </c>
      <c r="W318" s="557"/>
      <c r="X318" s="557"/>
      <c r="Y318" s="557"/>
      <c r="Z318" s="557"/>
      <c r="AA318" s="557"/>
      <c r="AB318" s="605" t="s">
        <v>1274</v>
      </c>
      <c r="AC318" s="606" t="s">
        <v>1164</v>
      </c>
      <c r="AD318" s="628">
        <v>1</v>
      </c>
      <c r="AE318" s="588"/>
    </row>
    <row r="319" spans="1:31" ht="16" thickBot="1">
      <c r="A319" s="555" t="str">
        <f t="shared" si="27"/>
        <v>26.7</v>
      </c>
      <c r="B319" s="782" t="s">
        <v>1275</v>
      </c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83"/>
      <c r="N319" s="783"/>
      <c r="O319" s="784"/>
      <c r="P319" s="779" t="str">
        <f t="shared" si="26"/>
        <v>км</v>
      </c>
      <c r="Q319" s="780"/>
      <c r="R319" s="1284">
        <f>R278/1000</f>
        <v>6.4000000000000003E-3</v>
      </c>
      <c r="S319" s="1285"/>
      <c r="T319" s="1286"/>
      <c r="U319" s="556">
        <f t="shared" si="24"/>
        <v>26</v>
      </c>
      <c r="V319" s="558">
        <f t="shared" si="25"/>
        <v>7</v>
      </c>
      <c r="W319" s="557"/>
      <c r="X319" s="557"/>
      <c r="Y319" s="557"/>
      <c r="Z319" s="557"/>
      <c r="AA319" s="557"/>
      <c r="AB319" s="625" t="s">
        <v>1275</v>
      </c>
      <c r="AC319" s="626" t="s">
        <v>1192</v>
      </c>
      <c r="AD319" s="631">
        <v>1.4999999999999999E-2</v>
      </c>
      <c r="AE319" s="588"/>
    </row>
    <row r="320" spans="1:31" ht="16" thickBot="1">
      <c r="A320" s="555"/>
      <c r="B320" s="785" t="s">
        <v>1364</v>
      </c>
      <c r="C320" s="786"/>
      <c r="D320" s="786"/>
      <c r="E320" s="786"/>
      <c r="F320" s="786"/>
      <c r="G320" s="786"/>
      <c r="H320" s="786"/>
      <c r="I320" s="786"/>
      <c r="J320" s="786"/>
      <c r="K320" s="786"/>
      <c r="L320" s="786"/>
      <c r="M320" s="786"/>
      <c r="N320" s="786"/>
      <c r="O320" s="787"/>
      <c r="P320" s="779" t="str">
        <f t="shared" si="26"/>
        <v/>
      </c>
      <c r="Q320" s="780"/>
      <c r="R320" s="1284" t="str">
        <f>CONCATENATE(AD320)</f>
        <v/>
      </c>
      <c r="S320" s="1285"/>
      <c r="T320" s="1286"/>
      <c r="U320" s="556">
        <f t="shared" si="24"/>
        <v>26</v>
      </c>
      <c r="V320" s="558">
        <f t="shared" si="25"/>
        <v>8</v>
      </c>
      <c r="W320" s="557"/>
      <c r="X320" s="557"/>
      <c r="Y320" s="557"/>
      <c r="Z320" s="557"/>
      <c r="AA320" s="557"/>
      <c r="AB320" s="643" t="s">
        <v>1364</v>
      </c>
      <c r="AC320" s="615"/>
      <c r="AD320" s="615"/>
      <c r="AE320" s="588"/>
    </row>
    <row r="321" spans="1:31" ht="16" thickBot="1">
      <c r="A321" s="554" t="str">
        <f t="shared" si="27"/>
        <v>27.</v>
      </c>
      <c r="B321" s="785" t="s">
        <v>1191</v>
      </c>
      <c r="C321" s="786"/>
      <c r="D321" s="786"/>
      <c r="E321" s="786"/>
      <c r="F321" s="786"/>
      <c r="G321" s="786"/>
      <c r="H321" s="786"/>
      <c r="I321" s="786"/>
      <c r="J321" s="786"/>
      <c r="K321" s="786"/>
      <c r="L321" s="786"/>
      <c r="M321" s="786"/>
      <c r="N321" s="786"/>
      <c r="O321" s="787"/>
      <c r="P321" s="779" t="str">
        <f t="shared" si="26"/>
        <v/>
      </c>
      <c r="Q321" s="780"/>
      <c r="R321" s="1284" t="str">
        <f>CONCATENATE(AD321)</f>
        <v/>
      </c>
      <c r="S321" s="1285"/>
      <c r="T321" s="1286"/>
      <c r="U321" s="556">
        <v>27</v>
      </c>
      <c r="V321" s="558"/>
      <c r="W321" s="557"/>
      <c r="X321" s="557"/>
      <c r="Y321" s="557"/>
      <c r="Z321" s="557"/>
      <c r="AA321" s="557"/>
      <c r="AB321" s="602" t="s">
        <v>1191</v>
      </c>
      <c r="AC321" s="603"/>
      <c r="AD321" s="630"/>
      <c r="AE321" s="588"/>
    </row>
    <row r="322" spans="1:31" ht="29.5" thickBot="1">
      <c r="A322" s="555" t="str">
        <f t="shared" si="27"/>
        <v>27.1</v>
      </c>
      <c r="B322" s="782" t="s">
        <v>1277</v>
      </c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83"/>
      <c r="N322" s="783"/>
      <c r="O322" s="784"/>
      <c r="P322" s="779" t="str">
        <f t="shared" si="26"/>
        <v>м.</v>
      </c>
      <c r="Q322" s="780"/>
      <c r="R322" s="1284">
        <f>R278</f>
        <v>6.4</v>
      </c>
      <c r="S322" s="1285"/>
      <c r="T322" s="1286"/>
      <c r="U322" s="556">
        <f t="shared" si="24"/>
        <v>27</v>
      </c>
      <c r="V322" s="558">
        <f t="shared" si="25"/>
        <v>1</v>
      </c>
      <c r="W322" s="557"/>
      <c r="X322" s="557"/>
      <c r="Y322" s="557"/>
      <c r="Z322" s="557"/>
      <c r="AA322" s="557"/>
      <c r="AB322" s="605" t="s">
        <v>1277</v>
      </c>
      <c r="AC322" s="606" t="s">
        <v>193</v>
      </c>
      <c r="AD322" s="628">
        <v>15</v>
      </c>
      <c r="AE322" s="588"/>
    </row>
    <row r="323" spans="1:31" ht="16" thickBot="1">
      <c r="A323" s="554" t="str">
        <f t="shared" si="27"/>
        <v>28.</v>
      </c>
      <c r="B323" s="785" t="s">
        <v>1195</v>
      </c>
      <c r="C323" s="786"/>
      <c r="D323" s="786"/>
      <c r="E323" s="786"/>
      <c r="F323" s="786"/>
      <c r="G323" s="786"/>
      <c r="H323" s="786"/>
      <c r="I323" s="786"/>
      <c r="J323" s="786"/>
      <c r="K323" s="786"/>
      <c r="L323" s="786"/>
      <c r="M323" s="786"/>
      <c r="N323" s="786"/>
      <c r="O323" s="787"/>
      <c r="P323" s="779" t="str">
        <f t="shared" si="26"/>
        <v/>
      </c>
      <c r="Q323" s="780"/>
      <c r="R323" s="1284" t="str">
        <f>CONCATENATE(AD323)</f>
        <v/>
      </c>
      <c r="S323" s="1285"/>
      <c r="T323" s="1286"/>
      <c r="U323" s="556">
        <v>28</v>
      </c>
      <c r="V323" s="558"/>
      <c r="W323" s="557"/>
      <c r="X323" s="557"/>
      <c r="Y323" s="557"/>
      <c r="Z323" s="557"/>
      <c r="AA323" s="557"/>
      <c r="AB323" s="602" t="s">
        <v>1195</v>
      </c>
      <c r="AC323" s="603"/>
      <c r="AD323" s="630"/>
      <c r="AE323" s="588"/>
    </row>
    <row r="324" spans="1:31" ht="29.5" customHeight="1" thickBot="1">
      <c r="A324" s="555" t="str">
        <f t="shared" si="27"/>
        <v>28.1</v>
      </c>
      <c r="B324" s="782" t="s">
        <v>1247</v>
      </c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83"/>
      <c r="N324" s="783"/>
      <c r="O324" s="784"/>
      <c r="P324" s="779" t="str">
        <f t="shared" si="26"/>
        <v>т.</v>
      </c>
      <c r="Q324" s="780"/>
      <c r="R324" s="1287">
        <f>6.46*SUM(R340)/1000</f>
        <v>8.4341760000000002E-2</v>
      </c>
      <c r="S324" s="1288"/>
      <c r="T324" s="1289"/>
      <c r="U324" s="556">
        <f t="shared" si="24"/>
        <v>28</v>
      </c>
      <c r="V324" s="558">
        <f t="shared" si="25"/>
        <v>1</v>
      </c>
      <c r="W324" s="557"/>
      <c r="X324" s="557"/>
      <c r="Y324" s="557"/>
      <c r="Z324" s="557"/>
      <c r="AA324" s="557"/>
      <c r="AB324" s="605" t="s">
        <v>1247</v>
      </c>
      <c r="AC324" s="606" t="s">
        <v>1244</v>
      </c>
      <c r="AD324" s="629">
        <v>0.26</v>
      </c>
      <c r="AE324" s="588"/>
    </row>
    <row r="325" spans="1:31" ht="29.5" thickBot="1">
      <c r="A325" s="555" t="str">
        <f t="shared" si="27"/>
        <v>28.2</v>
      </c>
      <c r="B325" s="782" t="s">
        <v>1248</v>
      </c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83"/>
      <c r="N325" s="783"/>
      <c r="O325" s="784"/>
      <c r="P325" s="779" t="str">
        <f t="shared" si="26"/>
        <v>т.</v>
      </c>
      <c r="Q325" s="780"/>
      <c r="R325" s="1284" t="str">
        <f>CONCATENATE(AD325)</f>
        <v>0,22</v>
      </c>
      <c r="S325" s="1285"/>
      <c r="T325" s="1286"/>
      <c r="U325" s="556">
        <f t="shared" si="24"/>
        <v>28</v>
      </c>
      <c r="V325" s="558">
        <f t="shared" si="25"/>
        <v>2</v>
      </c>
      <c r="W325" s="557"/>
      <c r="X325" s="557"/>
      <c r="Y325" s="557"/>
      <c r="Z325" s="557"/>
      <c r="AA325" s="557"/>
      <c r="AB325" s="605" t="s">
        <v>1248</v>
      </c>
      <c r="AC325" s="606" t="s">
        <v>1244</v>
      </c>
      <c r="AD325" s="629">
        <v>0.22</v>
      </c>
      <c r="AE325" s="588"/>
    </row>
    <row r="326" spans="1:31" ht="58.5" thickBot="1">
      <c r="A326" s="555" t="str">
        <f t="shared" si="27"/>
        <v>28.3</v>
      </c>
      <c r="B326" s="782" t="s">
        <v>1245</v>
      </c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83"/>
      <c r="N326" s="783"/>
      <c r="O326" s="784"/>
      <c r="P326" s="779" t="str">
        <f t="shared" si="26"/>
        <v>т.</v>
      </c>
      <c r="Q326" s="780"/>
      <c r="R326" s="1284" t="str">
        <f>CONCATENATE(AD326)</f>
        <v>0,48</v>
      </c>
      <c r="S326" s="1285"/>
      <c r="T326" s="1286"/>
      <c r="U326" s="556">
        <f t="shared" si="24"/>
        <v>28</v>
      </c>
      <c r="V326" s="558">
        <f t="shared" si="25"/>
        <v>3</v>
      </c>
      <c r="W326" s="557"/>
      <c r="X326" s="557"/>
      <c r="Y326" s="557"/>
      <c r="Z326" s="557"/>
      <c r="AA326" s="557"/>
      <c r="AB326" s="624" t="s">
        <v>1245</v>
      </c>
      <c r="AC326" s="606" t="s">
        <v>1244</v>
      </c>
      <c r="AD326" s="629">
        <v>0.48</v>
      </c>
      <c r="AE326" s="588"/>
    </row>
    <row r="327" spans="1:31" ht="29.5" thickBot="1">
      <c r="A327" s="555" t="str">
        <f t="shared" si="27"/>
        <v>28.4</v>
      </c>
      <c r="B327" s="782" t="s">
        <v>1199</v>
      </c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4"/>
      <c r="P327" s="779" t="str">
        <f t="shared" si="26"/>
        <v>т.</v>
      </c>
      <c r="Q327" s="780"/>
      <c r="R327" s="1287">
        <f>X19*SUM(R339+R347)</f>
        <v>1.7205934718100888</v>
      </c>
      <c r="S327" s="1288"/>
      <c r="T327" s="1289"/>
      <c r="U327" s="556">
        <f t="shared" ref="U327:U410" si="29">U326</f>
        <v>28</v>
      </c>
      <c r="V327" s="558">
        <f t="shared" ref="V327:V410" si="30">V326+1</f>
        <v>4</v>
      </c>
      <c r="W327" s="557"/>
      <c r="X327" s="557"/>
      <c r="Y327" s="557"/>
      <c r="Z327" s="557"/>
      <c r="AA327" s="557"/>
      <c r="AB327" s="625" t="s">
        <v>1199</v>
      </c>
      <c r="AC327" s="626" t="s">
        <v>1244</v>
      </c>
      <c r="AD327" s="631">
        <v>4.032</v>
      </c>
      <c r="AE327" s="588"/>
    </row>
    <row r="328" spans="1:31" ht="44" thickBot="1">
      <c r="A328" s="555" t="str">
        <f t="shared" si="27"/>
        <v>28.5</v>
      </c>
      <c r="B328" s="782" t="s">
        <v>1249</v>
      </c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83"/>
      <c r="N328" s="783"/>
      <c r="O328" s="784"/>
      <c r="P328" s="779" t="str">
        <f t="shared" si="26"/>
        <v>т.</v>
      </c>
      <c r="Q328" s="780"/>
      <c r="R328" s="1287">
        <f>R327</f>
        <v>1.7205934718100888</v>
      </c>
      <c r="S328" s="1285"/>
      <c r="T328" s="1286"/>
      <c r="U328" s="556">
        <f t="shared" si="29"/>
        <v>28</v>
      </c>
      <c r="V328" s="558">
        <f t="shared" si="30"/>
        <v>5</v>
      </c>
      <c r="W328" s="557"/>
      <c r="X328" s="557"/>
      <c r="Y328" s="557"/>
      <c r="Z328" s="557"/>
      <c r="AA328" s="557"/>
      <c r="AB328" s="605" t="s">
        <v>1249</v>
      </c>
      <c r="AC328" s="606" t="s">
        <v>1244</v>
      </c>
      <c r="AD328" s="629">
        <v>4.032</v>
      </c>
      <c r="AE328" s="588"/>
    </row>
    <row r="329" spans="1:31" ht="29.5" thickBot="1">
      <c r="A329" s="555" t="str">
        <f t="shared" si="27"/>
        <v>28.6</v>
      </c>
      <c r="B329" s="782" t="s">
        <v>1200</v>
      </c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83"/>
      <c r="N329" s="783"/>
      <c r="O329" s="784"/>
      <c r="P329" s="779" t="str">
        <f t="shared" si="26"/>
        <v>т.</v>
      </c>
      <c r="Q329" s="780"/>
      <c r="R329" s="1284" t="str">
        <f>CONCATENATE(AD329)</f>
        <v>0,05</v>
      </c>
      <c r="S329" s="1285"/>
      <c r="T329" s="1286"/>
      <c r="U329" s="556">
        <f t="shared" si="29"/>
        <v>28</v>
      </c>
      <c r="V329" s="558">
        <f t="shared" si="30"/>
        <v>6</v>
      </c>
      <c r="W329" s="557"/>
      <c r="X329" s="557"/>
      <c r="Y329" s="557"/>
      <c r="Z329" s="557"/>
      <c r="AA329" s="557"/>
      <c r="AB329" s="605" t="s">
        <v>1200</v>
      </c>
      <c r="AC329" s="606" t="s">
        <v>1244</v>
      </c>
      <c r="AD329" s="628">
        <v>0.05</v>
      </c>
      <c r="AE329" s="588"/>
    </row>
    <row r="330" spans="1:31" ht="44" thickBot="1">
      <c r="A330" s="555" t="str">
        <f t="shared" si="27"/>
        <v>28.7</v>
      </c>
      <c r="B330" s="782" t="s">
        <v>1246</v>
      </c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83"/>
      <c r="N330" s="783"/>
      <c r="O330" s="784"/>
      <c r="P330" s="779" t="str">
        <f t="shared" si="26"/>
        <v>т.</v>
      </c>
      <c r="Q330" s="780"/>
      <c r="R330" s="1284" t="str">
        <f>CONCATENATE(AD330)</f>
        <v>0,05</v>
      </c>
      <c r="S330" s="1285"/>
      <c r="T330" s="1286"/>
      <c r="U330" s="556">
        <f t="shared" si="29"/>
        <v>28</v>
      </c>
      <c r="V330" s="558">
        <f t="shared" si="30"/>
        <v>7</v>
      </c>
      <c r="W330" s="557"/>
      <c r="X330" s="557"/>
      <c r="Y330" s="557"/>
      <c r="Z330" s="557"/>
      <c r="AA330" s="557"/>
      <c r="AB330" s="605" t="s">
        <v>1246</v>
      </c>
      <c r="AC330" s="606" t="s">
        <v>1244</v>
      </c>
      <c r="AD330" s="628">
        <v>0.05</v>
      </c>
      <c r="AE330" s="588"/>
    </row>
    <row r="331" spans="1:31" ht="29.5" thickBot="1">
      <c r="A331" s="555" t="str">
        <f t="shared" si="27"/>
        <v>28.8</v>
      </c>
      <c r="B331" s="782" t="s">
        <v>1201</v>
      </c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83"/>
      <c r="N331" s="783"/>
      <c r="O331" s="784"/>
      <c r="P331" s="779" t="str">
        <f t="shared" si="26"/>
        <v>рейс</v>
      </c>
      <c r="Q331" s="780"/>
      <c r="R331" s="1284" t="str">
        <f>CONCATENATE(AD331)</f>
        <v>30</v>
      </c>
      <c r="S331" s="1285"/>
      <c r="T331" s="1286"/>
      <c r="U331" s="556">
        <f t="shared" si="29"/>
        <v>28</v>
      </c>
      <c r="V331" s="558">
        <f t="shared" si="30"/>
        <v>8</v>
      </c>
      <c r="W331" s="557"/>
      <c r="X331" s="557"/>
      <c r="Y331" s="557"/>
      <c r="Z331" s="557"/>
      <c r="AA331" s="557"/>
      <c r="AB331" s="605" t="s">
        <v>1201</v>
      </c>
      <c r="AC331" s="606" t="s">
        <v>1202</v>
      </c>
      <c r="AD331" s="628">
        <v>30</v>
      </c>
      <c r="AE331" s="588"/>
    </row>
    <row r="332" spans="1:31" ht="16" thickBot="1">
      <c r="A332" s="554" t="str">
        <f t="shared" si="27"/>
        <v>29.</v>
      </c>
      <c r="B332" s="785" t="s">
        <v>1216</v>
      </c>
      <c r="C332" s="786"/>
      <c r="D332" s="786"/>
      <c r="E332" s="786"/>
      <c r="F332" s="786"/>
      <c r="G332" s="786"/>
      <c r="H332" s="786"/>
      <c r="I332" s="786"/>
      <c r="J332" s="786"/>
      <c r="K332" s="786"/>
      <c r="L332" s="786"/>
      <c r="M332" s="786"/>
      <c r="N332" s="786"/>
      <c r="O332" s="787"/>
      <c r="P332" s="779" t="str">
        <f t="shared" si="26"/>
        <v/>
      </c>
      <c r="Q332" s="780"/>
      <c r="R332" s="1284" t="str">
        <f>CONCATENATE(AD332)</f>
        <v/>
      </c>
      <c r="S332" s="1285"/>
      <c r="T332" s="1286"/>
      <c r="U332" s="556">
        <v>29</v>
      </c>
      <c r="V332" s="558"/>
      <c r="W332" s="557"/>
      <c r="X332" s="557"/>
      <c r="Y332" s="557"/>
      <c r="Z332" s="557"/>
      <c r="AA332" s="557"/>
      <c r="AB332" s="602" t="s">
        <v>1216</v>
      </c>
      <c r="AC332" s="603"/>
      <c r="AD332" s="630"/>
      <c r="AE332" s="588"/>
    </row>
    <row r="333" spans="1:31" ht="44" thickBot="1">
      <c r="A333" s="555" t="str">
        <f t="shared" si="27"/>
        <v>29.1</v>
      </c>
      <c r="B333" s="782" t="s">
        <v>1356</v>
      </c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83"/>
      <c r="N333" s="783"/>
      <c r="O333" s="784"/>
      <c r="P333" s="779" t="str">
        <f t="shared" si="26"/>
        <v>м/м3</v>
      </c>
      <c r="Q333" s="780"/>
      <c r="R333" s="1284" t="str">
        <f>CONCATENATE(R322,"/",ROUND(R322*0.425,2))</f>
        <v>6,4/2,72</v>
      </c>
      <c r="S333" s="1285"/>
      <c r="T333" s="1286"/>
      <c r="U333" s="556">
        <f t="shared" si="29"/>
        <v>29</v>
      </c>
      <c r="V333" s="558">
        <f t="shared" si="30"/>
        <v>1</v>
      </c>
      <c r="W333" s="557"/>
      <c r="X333" s="557"/>
      <c r="Y333" s="557"/>
      <c r="Z333" s="557"/>
      <c r="AA333" s="557"/>
      <c r="AB333" s="605" t="s">
        <v>1356</v>
      </c>
      <c r="AC333" s="606" t="s">
        <v>1217</v>
      </c>
      <c r="AD333" s="628" t="s">
        <v>1357</v>
      </c>
      <c r="AE333" s="588"/>
    </row>
    <row r="334" spans="1:31" ht="16" thickBot="1">
      <c r="A334" s="555" t="str">
        <f t="shared" si="27"/>
        <v>29.2</v>
      </c>
      <c r="B334" s="782" t="s">
        <v>1207</v>
      </c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83"/>
      <c r="N334" s="783"/>
      <c r="O334" s="784"/>
      <c r="P334" s="779" t="str">
        <f t="shared" si="26"/>
        <v>м3</v>
      </c>
      <c r="Q334" s="780"/>
      <c r="R334" s="1284">
        <f>ROUND(R322*0.425*0.7,2)</f>
        <v>1.9</v>
      </c>
      <c r="S334" s="1285"/>
      <c r="T334" s="1286"/>
      <c r="U334" s="556">
        <f t="shared" si="29"/>
        <v>29</v>
      </c>
      <c r="V334" s="558">
        <f t="shared" si="30"/>
        <v>2</v>
      </c>
      <c r="W334" s="557"/>
      <c r="X334" s="557"/>
      <c r="Y334" s="557"/>
      <c r="Z334" s="557"/>
      <c r="AA334" s="557"/>
      <c r="AB334" s="605" t="s">
        <v>1207</v>
      </c>
      <c r="AC334" s="606" t="s">
        <v>1163</v>
      </c>
      <c r="AD334" s="628">
        <v>4.46</v>
      </c>
      <c r="AE334" s="588"/>
    </row>
    <row r="335" spans="1:31" ht="16" thickBot="1">
      <c r="A335" s="555" t="str">
        <f t="shared" si="27"/>
        <v>29.3</v>
      </c>
      <c r="B335" s="782" t="s">
        <v>1208</v>
      </c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83"/>
      <c r="N335" s="783"/>
      <c r="O335" s="784"/>
      <c r="P335" s="779" t="str">
        <f t="shared" si="26"/>
        <v>м3</v>
      </c>
      <c r="Q335" s="780"/>
      <c r="R335" s="1284">
        <f>ROUND(R322*0.425*0.3,2)</f>
        <v>0.82</v>
      </c>
      <c r="S335" s="1285"/>
      <c r="T335" s="1286"/>
      <c r="U335" s="556">
        <f t="shared" si="29"/>
        <v>29</v>
      </c>
      <c r="V335" s="558">
        <f t="shared" si="30"/>
        <v>3</v>
      </c>
      <c r="W335" s="557"/>
      <c r="X335" s="557"/>
      <c r="Y335" s="557"/>
      <c r="Z335" s="557"/>
      <c r="AA335" s="557"/>
      <c r="AB335" s="605" t="s">
        <v>1208</v>
      </c>
      <c r="AC335" s="606" t="s">
        <v>1163</v>
      </c>
      <c r="AD335" s="628">
        <v>1.91</v>
      </c>
      <c r="AE335" s="588"/>
    </row>
    <row r="336" spans="1:31" ht="16" thickBot="1">
      <c r="A336" s="555" t="str">
        <f t="shared" si="27"/>
        <v>29.4</v>
      </c>
      <c r="B336" s="782" t="s">
        <v>1251</v>
      </c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83"/>
      <c r="N336" s="783"/>
      <c r="O336" s="784"/>
      <c r="P336" s="779" t="str">
        <f t="shared" si="26"/>
        <v>м3</v>
      </c>
      <c r="Q336" s="780"/>
      <c r="R336" s="1284">
        <f>R334</f>
        <v>1.9</v>
      </c>
      <c r="S336" s="1285"/>
      <c r="T336" s="1286"/>
      <c r="U336" s="556">
        <f t="shared" si="29"/>
        <v>29</v>
      </c>
      <c r="V336" s="558">
        <f t="shared" si="30"/>
        <v>4</v>
      </c>
      <c r="W336" s="557"/>
      <c r="X336" s="557"/>
      <c r="Y336" s="557"/>
      <c r="Z336" s="557"/>
      <c r="AA336" s="557"/>
      <c r="AB336" s="605" t="s">
        <v>1251</v>
      </c>
      <c r="AC336" s="606" t="s">
        <v>1163</v>
      </c>
      <c r="AD336" s="628">
        <v>4.46</v>
      </c>
      <c r="AE336" s="588"/>
    </row>
    <row r="337" spans="1:31" ht="16" thickBot="1">
      <c r="A337" s="555" t="str">
        <f t="shared" si="27"/>
        <v>29.5</v>
      </c>
      <c r="B337" s="782" t="s">
        <v>1252</v>
      </c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83"/>
      <c r="N337" s="783"/>
      <c r="O337" s="784"/>
      <c r="P337" s="779" t="str">
        <f t="shared" si="26"/>
        <v>м3</v>
      </c>
      <c r="Q337" s="780"/>
      <c r="R337" s="1284">
        <f>R335</f>
        <v>0.82</v>
      </c>
      <c r="S337" s="1285"/>
      <c r="T337" s="1286"/>
      <c r="U337" s="556">
        <f t="shared" si="29"/>
        <v>29</v>
      </c>
      <c r="V337" s="558">
        <f t="shared" si="30"/>
        <v>5</v>
      </c>
      <c r="W337" s="557"/>
      <c r="X337" s="557"/>
      <c r="Y337" s="557"/>
      <c r="Z337" s="557"/>
      <c r="AA337" s="557"/>
      <c r="AB337" s="605" t="s">
        <v>1252</v>
      </c>
      <c r="AC337" s="606" t="s">
        <v>1163</v>
      </c>
      <c r="AD337" s="628">
        <v>1.91</v>
      </c>
      <c r="AE337" s="588"/>
    </row>
    <row r="338" spans="1:31" ht="16" thickBot="1">
      <c r="A338" s="555" t="str">
        <f t="shared" si="27"/>
        <v>29.6</v>
      </c>
      <c r="B338" s="782" t="s">
        <v>1218</v>
      </c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83"/>
      <c r="N338" s="783"/>
      <c r="O338" s="784"/>
      <c r="P338" s="779" t="str">
        <f t="shared" si="26"/>
        <v>м3</v>
      </c>
      <c r="Q338" s="780"/>
      <c r="R338" s="1287">
        <f>R337*0.1</f>
        <v>8.2000000000000003E-2</v>
      </c>
      <c r="S338" s="1288"/>
      <c r="T338" s="1289"/>
      <c r="U338" s="556">
        <f t="shared" si="29"/>
        <v>29</v>
      </c>
      <c r="V338" s="558">
        <f t="shared" si="30"/>
        <v>6</v>
      </c>
      <c r="W338" s="557"/>
      <c r="X338" s="557"/>
      <c r="Y338" s="557"/>
      <c r="Z338" s="557"/>
      <c r="AA338" s="557"/>
      <c r="AB338" s="605" t="s">
        <v>1218</v>
      </c>
      <c r="AC338" s="606" t="s">
        <v>1163</v>
      </c>
      <c r="AD338" s="628">
        <v>0.19</v>
      </c>
      <c r="AE338" s="588"/>
    </row>
    <row r="339" spans="1:31" ht="29.5" thickBot="1">
      <c r="A339" s="555" t="str">
        <f t="shared" si="27"/>
        <v>29.7</v>
      </c>
      <c r="B339" s="782" t="s">
        <v>1410</v>
      </c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83"/>
      <c r="N339" s="783"/>
      <c r="O339" s="784"/>
      <c r="P339" s="779" t="str">
        <f t="shared" si="26"/>
        <v>м3</v>
      </c>
      <c r="Q339" s="780"/>
      <c r="R339" s="1284">
        <f>R322*0.15*0.5</f>
        <v>0.48</v>
      </c>
      <c r="S339" s="1285"/>
      <c r="T339" s="1286"/>
      <c r="U339" s="556">
        <f t="shared" si="29"/>
        <v>29</v>
      </c>
      <c r="V339" s="558">
        <f t="shared" si="30"/>
        <v>7</v>
      </c>
      <c r="W339" s="557"/>
      <c r="X339" s="557"/>
      <c r="Y339" s="557"/>
      <c r="Z339" s="557"/>
      <c r="AA339" s="557"/>
      <c r="AB339" s="605" t="s">
        <v>1358</v>
      </c>
      <c r="AC339" s="606" t="s">
        <v>1163</v>
      </c>
      <c r="AD339" s="628">
        <v>1.1200000000000001</v>
      </c>
      <c r="AE339" s="588"/>
    </row>
    <row r="340" spans="1:31" ht="44" thickBot="1">
      <c r="A340" s="555" t="str">
        <f t="shared" si="27"/>
        <v>29.8</v>
      </c>
      <c r="B340" s="782" t="s">
        <v>1412</v>
      </c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83"/>
      <c r="N340" s="783"/>
      <c r="O340" s="784"/>
      <c r="P340" s="779" t="str">
        <f t="shared" si="26"/>
        <v>м</v>
      </c>
      <c r="Q340" s="780"/>
      <c r="R340" s="1284">
        <f>R322*2*1.02</f>
        <v>13.056000000000001</v>
      </c>
      <c r="S340" s="1285"/>
      <c r="T340" s="1286"/>
      <c r="U340" s="556">
        <f t="shared" si="29"/>
        <v>29</v>
      </c>
      <c r="V340" s="558">
        <f t="shared" si="30"/>
        <v>8</v>
      </c>
      <c r="W340" s="557"/>
      <c r="X340" s="557"/>
      <c r="Y340" s="557"/>
      <c r="Z340" s="557"/>
      <c r="AA340" s="557"/>
      <c r="AB340" s="605" t="s">
        <v>1359</v>
      </c>
      <c r="AC340" s="606" t="s">
        <v>1159</v>
      </c>
      <c r="AD340" s="628">
        <v>30.6</v>
      </c>
      <c r="AE340" s="588"/>
    </row>
    <row r="341" spans="1:31" ht="16" thickBot="1">
      <c r="A341" s="555" t="str">
        <f t="shared" si="27"/>
        <v>29.9</v>
      </c>
      <c r="B341" s="782" t="s">
        <v>1255</v>
      </c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83"/>
      <c r="N341" s="783"/>
      <c r="O341" s="784"/>
      <c r="P341" s="779" t="str">
        <f t="shared" si="26"/>
        <v>м</v>
      </c>
      <c r="Q341" s="780"/>
      <c r="R341" s="1284" t="str">
        <f>CONCATENATE(AD341)</f>
        <v>10</v>
      </c>
      <c r="S341" s="1285"/>
      <c r="T341" s="1286"/>
      <c r="U341" s="556">
        <f t="shared" si="29"/>
        <v>29</v>
      </c>
      <c r="V341" s="558">
        <f t="shared" si="30"/>
        <v>9</v>
      </c>
      <c r="W341" s="557"/>
      <c r="X341" s="557"/>
      <c r="Y341" s="557"/>
      <c r="Z341" s="557"/>
      <c r="AA341" s="557"/>
      <c r="AB341" s="605" t="s">
        <v>1255</v>
      </c>
      <c r="AC341" s="606" t="s">
        <v>1159</v>
      </c>
      <c r="AD341" s="628">
        <v>10</v>
      </c>
      <c r="AE341" s="588"/>
    </row>
    <row r="342" spans="1:31" ht="29.5" thickBot="1">
      <c r="A342" s="555" t="str">
        <f t="shared" si="27"/>
        <v>29.10</v>
      </c>
      <c r="B342" s="782" t="s">
        <v>1256</v>
      </c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83"/>
      <c r="N342" s="783"/>
      <c r="O342" s="784"/>
      <c r="P342" s="779" t="str">
        <f t="shared" si="26"/>
        <v>м</v>
      </c>
      <c r="Q342" s="780"/>
      <c r="R342" s="1284">
        <v>10</v>
      </c>
      <c r="S342" s="1285"/>
      <c r="T342" s="1286"/>
      <c r="U342" s="556">
        <f t="shared" si="29"/>
        <v>29</v>
      </c>
      <c r="V342" s="558">
        <f t="shared" si="30"/>
        <v>10</v>
      </c>
      <c r="W342" s="557"/>
      <c r="X342" s="557"/>
      <c r="Y342" s="557"/>
      <c r="Z342" s="557"/>
      <c r="AA342" s="557"/>
      <c r="AB342" s="605" t="s">
        <v>1256</v>
      </c>
      <c r="AC342" s="606" t="s">
        <v>1159</v>
      </c>
      <c r="AD342" s="628">
        <v>4</v>
      </c>
      <c r="AE342" s="588"/>
    </row>
    <row r="343" spans="1:31" ht="16" thickBot="1">
      <c r="A343" s="555" t="str">
        <f t="shared" si="27"/>
        <v>29.11</v>
      </c>
      <c r="B343" s="782" t="s">
        <v>1413</v>
      </c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83"/>
      <c r="N343" s="783"/>
      <c r="O343" s="784"/>
      <c r="P343" s="779" t="str">
        <f t="shared" si="26"/>
        <v>м</v>
      </c>
      <c r="Q343" s="780"/>
      <c r="R343" s="1284">
        <v>3</v>
      </c>
      <c r="S343" s="1285"/>
      <c r="T343" s="1286"/>
      <c r="U343" s="556">
        <f t="shared" si="29"/>
        <v>29</v>
      </c>
      <c r="V343" s="558">
        <f t="shared" si="30"/>
        <v>11</v>
      </c>
      <c r="W343" s="557"/>
      <c r="X343" s="557"/>
      <c r="Y343" s="557"/>
      <c r="Z343" s="557"/>
      <c r="AA343" s="557"/>
      <c r="AB343" s="605" t="s">
        <v>1257</v>
      </c>
      <c r="AC343" s="606" t="s">
        <v>1159</v>
      </c>
      <c r="AD343" s="628">
        <v>4</v>
      </c>
      <c r="AE343" s="588"/>
    </row>
    <row r="344" spans="1:31" ht="16" thickBot="1">
      <c r="A344" s="555" t="str">
        <f t="shared" si="27"/>
        <v>29.12</v>
      </c>
      <c r="B344" s="782" t="s">
        <v>1258</v>
      </c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83"/>
      <c r="N344" s="783"/>
      <c r="O344" s="784"/>
      <c r="P344" s="779" t="str">
        <f t="shared" si="26"/>
        <v>м</v>
      </c>
      <c r="Q344" s="780"/>
      <c r="R344" s="1284">
        <v>3</v>
      </c>
      <c r="S344" s="1285"/>
      <c r="T344" s="1286"/>
      <c r="U344" s="556">
        <f t="shared" si="29"/>
        <v>29</v>
      </c>
      <c r="V344" s="558">
        <f t="shared" si="30"/>
        <v>12</v>
      </c>
      <c r="W344" s="557"/>
      <c r="X344" s="557"/>
      <c r="Y344" s="557"/>
      <c r="Z344" s="557"/>
      <c r="AA344" s="557"/>
      <c r="AB344" s="605" t="s">
        <v>1258</v>
      </c>
      <c r="AC344" s="606" t="s">
        <v>1159</v>
      </c>
      <c r="AD344" s="628">
        <v>4</v>
      </c>
      <c r="AE344" s="588"/>
    </row>
    <row r="345" spans="1:31" ht="29.5" thickBot="1">
      <c r="A345" s="555" t="str">
        <f t="shared" si="27"/>
        <v>29.13</v>
      </c>
      <c r="B345" s="782" t="s">
        <v>1260</v>
      </c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83"/>
      <c r="N345" s="783"/>
      <c r="O345" s="784"/>
      <c r="P345" s="779" t="str">
        <f t="shared" si="26"/>
        <v>шт</v>
      </c>
      <c r="Q345" s="780"/>
      <c r="R345" s="1284" t="str">
        <f>CONCATENATE(AD345)</f>
        <v>4</v>
      </c>
      <c r="S345" s="1285"/>
      <c r="T345" s="1286"/>
      <c r="U345" s="556">
        <f t="shared" si="29"/>
        <v>29</v>
      </c>
      <c r="V345" s="558">
        <f t="shared" si="30"/>
        <v>13</v>
      </c>
      <c r="W345" s="557"/>
      <c r="X345" s="557"/>
      <c r="Y345" s="557"/>
      <c r="Z345" s="557"/>
      <c r="AA345" s="557"/>
      <c r="AB345" s="605" t="s">
        <v>1260</v>
      </c>
      <c r="AC345" s="606" t="s">
        <v>1161</v>
      </c>
      <c r="AD345" s="628">
        <v>4</v>
      </c>
      <c r="AE345" s="588"/>
    </row>
    <row r="346" spans="1:31" ht="16" thickBot="1">
      <c r="A346" s="555" t="str">
        <f t="shared" si="27"/>
        <v>29.14</v>
      </c>
      <c r="B346" s="782" t="s">
        <v>1261</v>
      </c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83"/>
      <c r="N346" s="783"/>
      <c r="O346" s="784"/>
      <c r="P346" s="779" t="str">
        <f t="shared" si="26"/>
        <v>шт</v>
      </c>
      <c r="Q346" s="780"/>
      <c r="R346" s="1284" t="str">
        <f>CONCATENATE(AD346)</f>
        <v>4</v>
      </c>
      <c r="S346" s="1285"/>
      <c r="T346" s="1286"/>
      <c r="U346" s="556">
        <f t="shared" si="29"/>
        <v>29</v>
      </c>
      <c r="V346" s="558">
        <f t="shared" si="30"/>
        <v>14</v>
      </c>
      <c r="W346" s="557"/>
      <c r="X346" s="557"/>
      <c r="Y346" s="557"/>
      <c r="Z346" s="557"/>
      <c r="AA346" s="557"/>
      <c r="AB346" s="605" t="s">
        <v>1261</v>
      </c>
      <c r="AC346" s="606" t="s">
        <v>1161</v>
      </c>
      <c r="AD346" s="628">
        <v>4</v>
      </c>
      <c r="AE346" s="588"/>
    </row>
    <row r="347" spans="1:31" ht="29.5" thickBot="1">
      <c r="A347" s="555" t="str">
        <f t="shared" si="27"/>
        <v>29.15</v>
      </c>
      <c r="B347" s="782" t="s">
        <v>1422</v>
      </c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83"/>
      <c r="N347" s="783"/>
      <c r="O347" s="784"/>
      <c r="P347" s="779" t="str">
        <f t="shared" si="26"/>
        <v>м3</v>
      </c>
      <c r="Q347" s="780"/>
      <c r="R347" s="1284">
        <f>R339</f>
        <v>0.48</v>
      </c>
      <c r="S347" s="1285"/>
      <c r="T347" s="1286"/>
      <c r="U347" s="556">
        <f t="shared" si="29"/>
        <v>29</v>
      </c>
      <c r="V347" s="558">
        <f t="shared" si="30"/>
        <v>15</v>
      </c>
      <c r="W347" s="557"/>
      <c r="X347" s="557"/>
      <c r="Y347" s="557"/>
      <c r="Z347" s="557"/>
      <c r="AA347" s="557"/>
      <c r="AB347" s="605" t="s">
        <v>1360</v>
      </c>
      <c r="AC347" s="606" t="s">
        <v>1163</v>
      </c>
      <c r="AD347" s="628">
        <v>1.1200000000000001</v>
      </c>
      <c r="AE347" s="588"/>
    </row>
    <row r="348" spans="1:31" ht="23.5" customHeight="1" thickBot="1">
      <c r="A348" s="555" t="str">
        <f t="shared" si="27"/>
        <v>29.16</v>
      </c>
      <c r="B348" s="782" t="s">
        <v>1414</v>
      </c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83"/>
      <c r="N348" s="783"/>
      <c r="O348" s="784"/>
      <c r="P348" s="779" t="str">
        <f t="shared" si="26"/>
        <v>шт</v>
      </c>
      <c r="Q348" s="780"/>
      <c r="R348" s="1290">
        <f>R322*2/0.48</f>
        <v>26.666666666666668</v>
      </c>
      <c r="S348" s="1291"/>
      <c r="T348" s="1292"/>
      <c r="U348" s="556">
        <f t="shared" si="29"/>
        <v>29</v>
      </c>
      <c r="V348" s="558">
        <f t="shared" si="30"/>
        <v>16</v>
      </c>
      <c r="W348" s="557"/>
      <c r="X348" s="557"/>
      <c r="Y348" s="557"/>
      <c r="Z348" s="557"/>
      <c r="AA348" s="557"/>
      <c r="AB348" s="605" t="s">
        <v>1361</v>
      </c>
      <c r="AC348" s="606" t="s">
        <v>1161</v>
      </c>
      <c r="AD348" s="628">
        <v>62</v>
      </c>
      <c r="AE348" s="588"/>
    </row>
    <row r="349" spans="1:31" ht="32.5" customHeight="1" thickBot="1">
      <c r="A349" s="555" t="str">
        <f t="shared" si="27"/>
        <v>29.17</v>
      </c>
      <c r="B349" s="782" t="s">
        <v>1420</v>
      </c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83"/>
      <c r="N349" s="783"/>
      <c r="O349" s="784"/>
      <c r="P349" s="779" t="str">
        <f t="shared" si="26"/>
        <v>м3</v>
      </c>
      <c r="Q349" s="780"/>
      <c r="R349" s="1284">
        <f>ROUND(R322*0.425,2)-R339-R347</f>
        <v>1.7600000000000002</v>
      </c>
      <c r="S349" s="1285"/>
      <c r="T349" s="1286"/>
      <c r="U349" s="556">
        <f t="shared" si="29"/>
        <v>29</v>
      </c>
      <c r="V349" s="558">
        <f t="shared" si="30"/>
        <v>17</v>
      </c>
      <c r="W349" s="557"/>
      <c r="X349" s="557"/>
      <c r="Y349" s="557"/>
      <c r="Z349" s="557"/>
      <c r="AA349" s="557"/>
      <c r="AB349" s="605" t="s">
        <v>1362</v>
      </c>
      <c r="AC349" s="606" t="s">
        <v>1163</v>
      </c>
      <c r="AD349" s="628">
        <v>4.12</v>
      </c>
      <c r="AE349" s="588"/>
    </row>
    <row r="350" spans="1:31" ht="29.5" thickBot="1">
      <c r="A350" s="555" t="str">
        <f t="shared" si="27"/>
        <v>29.18</v>
      </c>
      <c r="B350" s="782" t="s">
        <v>1415</v>
      </c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83"/>
      <c r="N350" s="783"/>
      <c r="O350" s="784"/>
      <c r="P350" s="779" t="str">
        <f t="shared" si="26"/>
        <v>т.</v>
      </c>
      <c r="Q350" s="780"/>
      <c r="R350" s="1284">
        <f>(ROUND(R322*0.425,2)-R349)*1.8</f>
        <v>1.728</v>
      </c>
      <c r="S350" s="1285"/>
      <c r="T350" s="1286"/>
      <c r="U350" s="556">
        <f t="shared" si="29"/>
        <v>29</v>
      </c>
      <c r="V350" s="558">
        <f t="shared" si="30"/>
        <v>18</v>
      </c>
      <c r="W350" s="557"/>
      <c r="X350" s="557"/>
      <c r="Y350" s="557"/>
      <c r="Z350" s="557"/>
      <c r="AA350" s="557"/>
      <c r="AB350" s="605" t="s">
        <v>1363</v>
      </c>
      <c r="AC350" s="606" t="s">
        <v>1244</v>
      </c>
      <c r="AD350" s="628">
        <v>4.05</v>
      </c>
      <c r="AE350" s="588"/>
    </row>
    <row r="351" spans="1:31" ht="43.5">
      <c r="A351" s="555" t="str">
        <f t="shared" si="27"/>
        <v>29.19</v>
      </c>
      <c r="B351" s="782" t="s">
        <v>1266</v>
      </c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83"/>
      <c r="N351" s="783"/>
      <c r="O351" s="784"/>
      <c r="P351" s="779" t="str">
        <f t="shared" si="26"/>
        <v>т.</v>
      </c>
      <c r="Q351" s="780"/>
      <c r="R351" s="1284">
        <f>R350</f>
        <v>1.728</v>
      </c>
      <c r="S351" s="1285"/>
      <c r="T351" s="1286"/>
      <c r="U351" s="556">
        <f t="shared" si="29"/>
        <v>29</v>
      </c>
      <c r="V351" s="558">
        <f t="shared" si="30"/>
        <v>19</v>
      </c>
      <c r="W351" s="557"/>
      <c r="X351" s="557"/>
      <c r="Y351" s="557"/>
      <c r="Z351" s="557"/>
      <c r="AA351" s="557"/>
      <c r="AB351" s="624" t="s">
        <v>1266</v>
      </c>
      <c r="AC351" s="613" t="s">
        <v>1244</v>
      </c>
      <c r="AD351" s="634">
        <v>4.05</v>
      </c>
      <c r="AE351" s="588"/>
    </row>
    <row r="352" spans="1:31" ht="29.5" thickBot="1">
      <c r="A352" s="555" t="str">
        <f t="shared" si="27"/>
        <v>29.20</v>
      </c>
      <c r="B352" s="782" t="s">
        <v>1267</v>
      </c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4"/>
      <c r="P352" s="779" t="str">
        <f t="shared" si="26"/>
        <v>компл</v>
      </c>
      <c r="Q352" s="780"/>
      <c r="R352" s="1284" t="str">
        <f t="shared" ref="R352:R362" si="31">CONCATENATE(AD352)</f>
        <v>4</v>
      </c>
      <c r="S352" s="1285"/>
      <c r="T352" s="1286"/>
      <c r="U352" s="556">
        <f t="shared" si="29"/>
        <v>29</v>
      </c>
      <c r="V352" s="558">
        <f t="shared" si="30"/>
        <v>20</v>
      </c>
      <c r="W352" s="557"/>
      <c r="X352" s="557"/>
      <c r="Y352" s="557"/>
      <c r="Z352" s="557"/>
      <c r="AA352" s="557"/>
      <c r="AB352" s="605" t="s">
        <v>1267</v>
      </c>
      <c r="AC352" s="606" t="s">
        <v>1162</v>
      </c>
      <c r="AD352" s="628">
        <v>4</v>
      </c>
      <c r="AE352" s="588"/>
    </row>
    <row r="353" spans="1:31" ht="29.5" thickBot="1">
      <c r="A353" s="555" t="str">
        <f t="shared" si="27"/>
        <v>29.21</v>
      </c>
      <c r="B353" s="782" t="s">
        <v>1268</v>
      </c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83"/>
      <c r="N353" s="783"/>
      <c r="O353" s="784"/>
      <c r="P353" s="779" t="str">
        <f t="shared" ref="P353:P438" si="32">CONCATENATE(AC353)</f>
        <v>шт</v>
      </c>
      <c r="Q353" s="780"/>
      <c r="R353" s="1284" t="str">
        <f t="shared" si="31"/>
        <v>8</v>
      </c>
      <c r="S353" s="1285"/>
      <c r="T353" s="1286"/>
      <c r="U353" s="556">
        <f t="shared" si="29"/>
        <v>29</v>
      </c>
      <c r="V353" s="558">
        <f t="shared" si="30"/>
        <v>21</v>
      </c>
      <c r="W353" s="557"/>
      <c r="X353" s="557"/>
      <c r="Y353" s="557"/>
      <c r="Z353" s="557"/>
      <c r="AA353" s="557"/>
      <c r="AB353" s="605" t="s">
        <v>1268</v>
      </c>
      <c r="AC353" s="606" t="s">
        <v>1161</v>
      </c>
      <c r="AD353" s="628">
        <v>8</v>
      </c>
      <c r="AE353" s="588"/>
    </row>
    <row r="354" spans="1:31" ht="16" thickBot="1">
      <c r="A354" s="555" t="str">
        <f t="shared" si="27"/>
        <v>29.22</v>
      </c>
      <c r="B354" s="782" t="s">
        <v>1269</v>
      </c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83"/>
      <c r="N354" s="783"/>
      <c r="O354" s="784"/>
      <c r="P354" s="779" t="str">
        <f t="shared" si="32"/>
        <v>шт</v>
      </c>
      <c r="Q354" s="780"/>
      <c r="R354" s="1284" t="str">
        <f t="shared" si="31"/>
        <v>8</v>
      </c>
      <c r="S354" s="1285"/>
      <c r="T354" s="1286"/>
      <c r="U354" s="556">
        <f t="shared" si="29"/>
        <v>29</v>
      </c>
      <c r="V354" s="558">
        <f t="shared" si="30"/>
        <v>22</v>
      </c>
      <c r="W354" s="557"/>
      <c r="X354" s="557"/>
      <c r="Y354" s="557"/>
      <c r="Z354" s="557"/>
      <c r="AA354" s="557"/>
      <c r="AB354" s="605" t="s">
        <v>1269</v>
      </c>
      <c r="AC354" s="606" t="s">
        <v>1161</v>
      </c>
      <c r="AD354" s="628">
        <v>8</v>
      </c>
      <c r="AE354" s="588"/>
    </row>
    <row r="355" spans="1:31" ht="16" thickBot="1">
      <c r="A355" s="555" t="str">
        <f t="shared" si="27"/>
        <v>29.23</v>
      </c>
      <c r="B355" s="782" t="s">
        <v>1270</v>
      </c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83"/>
      <c r="N355" s="783"/>
      <c r="O355" s="784"/>
      <c r="P355" s="779" t="str">
        <f t="shared" si="32"/>
        <v>шт</v>
      </c>
      <c r="Q355" s="780"/>
      <c r="R355" s="1284" t="str">
        <f t="shared" si="31"/>
        <v>4</v>
      </c>
      <c r="S355" s="1285"/>
      <c r="T355" s="1286"/>
      <c r="U355" s="556">
        <f t="shared" si="29"/>
        <v>29</v>
      </c>
      <c r="V355" s="558">
        <f t="shared" si="30"/>
        <v>23</v>
      </c>
      <c r="W355" s="557"/>
      <c r="X355" s="557"/>
      <c r="Y355" s="557"/>
      <c r="Z355" s="557"/>
      <c r="AA355" s="557"/>
      <c r="AB355" s="605" t="s">
        <v>1270</v>
      </c>
      <c r="AC355" s="606" t="s">
        <v>1161</v>
      </c>
      <c r="AD355" s="628">
        <v>4</v>
      </c>
      <c r="AE355" s="588"/>
    </row>
    <row r="356" spans="1:31" ht="16" thickBot="1">
      <c r="A356" s="554" t="str">
        <f t="shared" si="27"/>
        <v>30.</v>
      </c>
      <c r="B356" s="785" t="s">
        <v>1219</v>
      </c>
      <c r="C356" s="786"/>
      <c r="D356" s="786"/>
      <c r="E356" s="786"/>
      <c r="F356" s="786"/>
      <c r="G356" s="786"/>
      <c r="H356" s="786"/>
      <c r="I356" s="786"/>
      <c r="J356" s="786"/>
      <c r="K356" s="786"/>
      <c r="L356" s="786"/>
      <c r="M356" s="786"/>
      <c r="N356" s="786"/>
      <c r="O356" s="787"/>
      <c r="P356" s="779" t="str">
        <f t="shared" si="32"/>
        <v/>
      </c>
      <c r="Q356" s="780"/>
      <c r="R356" s="1284" t="str">
        <f t="shared" si="31"/>
        <v/>
      </c>
      <c r="S356" s="1285"/>
      <c r="T356" s="1286"/>
      <c r="U356" s="556">
        <v>30</v>
      </c>
      <c r="V356" s="558"/>
      <c r="W356" s="557"/>
      <c r="X356" s="557"/>
      <c r="Y356" s="557"/>
      <c r="Z356" s="557"/>
      <c r="AA356" s="557"/>
      <c r="AB356" s="641" t="s">
        <v>1219</v>
      </c>
      <c r="AC356" s="608"/>
      <c r="AD356" s="644"/>
      <c r="AE356" s="588"/>
    </row>
    <row r="357" spans="1:31" ht="16" thickBot="1">
      <c r="A357" s="555" t="str">
        <f t="shared" si="27"/>
        <v>30.1</v>
      </c>
      <c r="B357" s="782" t="s">
        <v>1220</v>
      </c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83"/>
      <c r="N357" s="783"/>
      <c r="O357" s="784"/>
      <c r="P357" s="779" t="str">
        <f t="shared" si="32"/>
        <v>шт.</v>
      </c>
      <c r="Q357" s="780"/>
      <c r="R357" s="1284" t="str">
        <f t="shared" si="31"/>
        <v>2</v>
      </c>
      <c r="S357" s="1285"/>
      <c r="T357" s="1286"/>
      <c r="U357" s="556">
        <f t="shared" si="29"/>
        <v>30</v>
      </c>
      <c r="V357" s="558">
        <f t="shared" si="30"/>
        <v>1</v>
      </c>
      <c r="W357" s="557"/>
      <c r="X357" s="557"/>
      <c r="Y357" s="557"/>
      <c r="Z357" s="557"/>
      <c r="AA357" s="557"/>
      <c r="AB357" s="625" t="s">
        <v>1220</v>
      </c>
      <c r="AC357" s="626" t="s">
        <v>1194</v>
      </c>
      <c r="AD357" s="627">
        <v>2</v>
      </c>
      <c r="AE357" s="588"/>
    </row>
    <row r="358" spans="1:31" ht="16" thickBot="1">
      <c r="A358" s="555" t="str">
        <f t="shared" si="27"/>
        <v>30.2</v>
      </c>
      <c r="B358" s="782" t="s">
        <v>1271</v>
      </c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83"/>
      <c r="N358" s="783"/>
      <c r="O358" s="784"/>
      <c r="P358" s="779" t="str">
        <f t="shared" si="32"/>
        <v>изм.</v>
      </c>
      <c r="Q358" s="780"/>
      <c r="R358" s="1284" t="str">
        <f t="shared" si="31"/>
        <v>2</v>
      </c>
      <c r="S358" s="1285"/>
      <c r="T358" s="1286"/>
      <c r="U358" s="556">
        <f t="shared" si="29"/>
        <v>30</v>
      </c>
      <c r="V358" s="558">
        <f t="shared" si="30"/>
        <v>2</v>
      </c>
      <c r="W358" s="557"/>
      <c r="X358" s="557"/>
      <c r="Y358" s="557"/>
      <c r="Z358" s="557"/>
      <c r="AA358" s="557"/>
      <c r="AB358" s="605" t="s">
        <v>1271</v>
      </c>
      <c r="AC358" s="606" t="s">
        <v>1213</v>
      </c>
      <c r="AD358" s="628">
        <v>2</v>
      </c>
      <c r="AE358" s="588"/>
    </row>
    <row r="359" spans="1:31" ht="16" thickBot="1">
      <c r="A359" s="555" t="str">
        <f t="shared" si="27"/>
        <v>30.3</v>
      </c>
      <c r="B359" s="782" t="s">
        <v>1272</v>
      </c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83"/>
      <c r="N359" s="783"/>
      <c r="O359" s="784"/>
      <c r="P359" s="779" t="str">
        <f t="shared" si="32"/>
        <v>изм.</v>
      </c>
      <c r="Q359" s="780"/>
      <c r="R359" s="1284" t="str">
        <f t="shared" si="31"/>
        <v>3</v>
      </c>
      <c r="S359" s="1285"/>
      <c r="T359" s="1286"/>
      <c r="U359" s="556">
        <f t="shared" si="29"/>
        <v>30</v>
      </c>
      <c r="V359" s="558">
        <f t="shared" si="30"/>
        <v>3</v>
      </c>
      <c r="W359" s="557"/>
      <c r="X359" s="557"/>
      <c r="Y359" s="557"/>
      <c r="Z359" s="557"/>
      <c r="AA359" s="557"/>
      <c r="AB359" s="605" t="s">
        <v>1272</v>
      </c>
      <c r="AC359" s="606" t="s">
        <v>1213</v>
      </c>
      <c r="AD359" s="628">
        <v>3</v>
      </c>
      <c r="AE359" s="588"/>
    </row>
    <row r="360" spans="1:31" ht="29.5" thickBot="1">
      <c r="A360" s="555" t="str">
        <f t="shared" si="27"/>
        <v>30.4</v>
      </c>
      <c r="B360" s="782" t="s">
        <v>1221</v>
      </c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83"/>
      <c r="N360" s="783"/>
      <c r="O360" s="784"/>
      <c r="P360" s="779" t="str">
        <f t="shared" si="32"/>
        <v>изм.</v>
      </c>
      <c r="Q360" s="780"/>
      <c r="R360" s="1284" t="str">
        <f t="shared" si="31"/>
        <v>4</v>
      </c>
      <c r="S360" s="1285"/>
      <c r="T360" s="1286"/>
      <c r="U360" s="556">
        <f t="shared" si="29"/>
        <v>30</v>
      </c>
      <c r="V360" s="558">
        <f t="shared" si="30"/>
        <v>4</v>
      </c>
      <c r="W360" s="557"/>
      <c r="X360" s="557"/>
      <c r="Y360" s="557"/>
      <c r="Z360" s="557"/>
      <c r="AA360" s="557"/>
      <c r="AB360" s="605" t="s">
        <v>1221</v>
      </c>
      <c r="AC360" s="606" t="s">
        <v>1213</v>
      </c>
      <c r="AD360" s="628">
        <v>4</v>
      </c>
      <c r="AE360" s="588"/>
    </row>
    <row r="361" spans="1:31" ht="29.5" thickBot="1">
      <c r="A361" s="555" t="str">
        <f t="shared" si="27"/>
        <v>30.5</v>
      </c>
      <c r="B361" s="782" t="s">
        <v>1273</v>
      </c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83"/>
      <c r="N361" s="783"/>
      <c r="O361" s="784"/>
      <c r="P361" s="779" t="str">
        <f t="shared" si="32"/>
        <v>изм.</v>
      </c>
      <c r="Q361" s="780"/>
      <c r="R361" s="1284" t="str">
        <f t="shared" si="31"/>
        <v>1</v>
      </c>
      <c r="S361" s="1285"/>
      <c r="T361" s="1286"/>
      <c r="U361" s="556">
        <f t="shared" si="29"/>
        <v>30</v>
      </c>
      <c r="V361" s="558">
        <f t="shared" si="30"/>
        <v>5</v>
      </c>
      <c r="W361" s="557"/>
      <c r="X361" s="557"/>
      <c r="Y361" s="557"/>
      <c r="Z361" s="557"/>
      <c r="AA361" s="557"/>
      <c r="AB361" s="605" t="s">
        <v>1273</v>
      </c>
      <c r="AC361" s="606" t="s">
        <v>1213</v>
      </c>
      <c r="AD361" s="628">
        <v>1</v>
      </c>
      <c r="AE361" s="588"/>
    </row>
    <row r="362" spans="1:31" ht="29.5" thickBot="1">
      <c r="A362" s="555" t="str">
        <f t="shared" si="27"/>
        <v>30.6</v>
      </c>
      <c r="B362" s="782" t="s">
        <v>1274</v>
      </c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83"/>
      <c r="N362" s="783"/>
      <c r="O362" s="784"/>
      <c r="P362" s="779" t="str">
        <f t="shared" si="32"/>
        <v>точек</v>
      </c>
      <c r="Q362" s="780"/>
      <c r="R362" s="1284" t="str">
        <f t="shared" si="31"/>
        <v>1</v>
      </c>
      <c r="S362" s="1285"/>
      <c r="T362" s="1286"/>
      <c r="U362" s="556">
        <f t="shared" si="29"/>
        <v>30</v>
      </c>
      <c r="V362" s="558">
        <f t="shared" si="30"/>
        <v>6</v>
      </c>
      <c r="W362" s="557"/>
      <c r="X362" s="557"/>
      <c r="Y362" s="557"/>
      <c r="Z362" s="557"/>
      <c r="AA362" s="557"/>
      <c r="AB362" s="605" t="s">
        <v>1274</v>
      </c>
      <c r="AC362" s="606" t="s">
        <v>1164</v>
      </c>
      <c r="AD362" s="628">
        <v>1</v>
      </c>
      <c r="AE362" s="588"/>
    </row>
    <row r="363" spans="1:31" ht="16" thickBot="1">
      <c r="A363" s="555" t="str">
        <f t="shared" si="27"/>
        <v>30.7</v>
      </c>
      <c r="B363" s="782" t="s">
        <v>1275</v>
      </c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83"/>
      <c r="N363" s="783"/>
      <c r="O363" s="784"/>
      <c r="P363" s="779" t="str">
        <f t="shared" si="32"/>
        <v>км</v>
      </c>
      <c r="Q363" s="780"/>
      <c r="R363" s="1284">
        <f>R322/1000</f>
        <v>6.4000000000000003E-3</v>
      </c>
      <c r="S363" s="1285"/>
      <c r="T363" s="1286"/>
      <c r="U363" s="556">
        <f t="shared" si="29"/>
        <v>30</v>
      </c>
      <c r="V363" s="558">
        <f t="shared" si="30"/>
        <v>7</v>
      </c>
      <c r="W363" s="557"/>
      <c r="X363" s="557"/>
      <c r="Y363" s="557"/>
      <c r="Z363" s="557"/>
      <c r="AA363" s="557"/>
      <c r="AB363" s="625" t="s">
        <v>1275</v>
      </c>
      <c r="AC363" s="626" t="s">
        <v>1192</v>
      </c>
      <c r="AD363" s="631">
        <v>1.4999999999999999E-2</v>
      </c>
      <c r="AE363" s="588"/>
    </row>
    <row r="364" spans="1:31" ht="16" thickBot="1">
      <c r="A364" s="554"/>
      <c r="B364" s="785" t="s">
        <v>1365</v>
      </c>
      <c r="C364" s="786"/>
      <c r="D364" s="786"/>
      <c r="E364" s="786"/>
      <c r="F364" s="786"/>
      <c r="G364" s="786"/>
      <c r="H364" s="786"/>
      <c r="I364" s="786"/>
      <c r="J364" s="786"/>
      <c r="K364" s="786"/>
      <c r="L364" s="786"/>
      <c r="M364" s="786"/>
      <c r="N364" s="786"/>
      <c r="O364" s="787"/>
      <c r="P364" s="779" t="str">
        <f t="shared" si="32"/>
        <v/>
      </c>
      <c r="Q364" s="780"/>
      <c r="R364" s="1284" t="str">
        <f>CONCATENATE(AD364)</f>
        <v/>
      </c>
      <c r="S364" s="1285"/>
      <c r="T364" s="1286"/>
      <c r="U364" s="556">
        <f t="shared" si="29"/>
        <v>30</v>
      </c>
      <c r="V364" s="558">
        <f t="shared" si="30"/>
        <v>8</v>
      </c>
      <c r="W364" s="557"/>
      <c r="X364" s="557"/>
      <c r="Y364" s="557"/>
      <c r="Z364" s="557"/>
      <c r="AA364" s="557"/>
      <c r="AB364" s="642" t="s">
        <v>1365</v>
      </c>
      <c r="AC364" s="608"/>
      <c r="AD364" s="644"/>
      <c r="AE364" s="588"/>
    </row>
    <row r="365" spans="1:31" ht="16" thickBot="1">
      <c r="A365" s="554" t="str">
        <f t="shared" si="27"/>
        <v>31.</v>
      </c>
      <c r="B365" s="785" t="s">
        <v>1191</v>
      </c>
      <c r="C365" s="786"/>
      <c r="D365" s="786"/>
      <c r="E365" s="786"/>
      <c r="F365" s="786"/>
      <c r="G365" s="786"/>
      <c r="H365" s="786"/>
      <c r="I365" s="786"/>
      <c r="J365" s="786"/>
      <c r="K365" s="786"/>
      <c r="L365" s="786"/>
      <c r="M365" s="786"/>
      <c r="N365" s="786"/>
      <c r="O365" s="787"/>
      <c r="P365" s="779" t="str">
        <f t="shared" si="32"/>
        <v/>
      </c>
      <c r="Q365" s="780"/>
      <c r="R365" s="1284" t="str">
        <f>CONCATENATE(AD365)</f>
        <v/>
      </c>
      <c r="S365" s="1285"/>
      <c r="T365" s="1286"/>
      <c r="U365" s="556">
        <v>31</v>
      </c>
      <c r="V365" s="558"/>
      <c r="W365" s="557"/>
      <c r="X365" s="557"/>
      <c r="Y365" s="557"/>
      <c r="Z365" s="557"/>
      <c r="AA365" s="557"/>
      <c r="AB365" s="602" t="s">
        <v>1191</v>
      </c>
      <c r="AC365" s="603"/>
      <c r="AD365" s="630"/>
      <c r="AE365" s="588"/>
    </row>
    <row r="366" spans="1:31" ht="29.5" thickBot="1">
      <c r="A366" s="555" t="str">
        <f t="shared" si="27"/>
        <v>31.1</v>
      </c>
      <c r="B366" s="782" t="s">
        <v>1277</v>
      </c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83"/>
      <c r="N366" s="783"/>
      <c r="O366" s="784"/>
      <c r="P366" s="779" t="str">
        <f t="shared" si="32"/>
        <v>м.</v>
      </c>
      <c r="Q366" s="780"/>
      <c r="R366" s="1284">
        <f>5.7+24+1.8</f>
        <v>31.5</v>
      </c>
      <c r="S366" s="1285"/>
      <c r="T366" s="1286"/>
      <c r="U366" s="556">
        <f t="shared" si="29"/>
        <v>31</v>
      </c>
      <c r="V366" s="558">
        <f t="shared" si="30"/>
        <v>1</v>
      </c>
      <c r="W366" s="557"/>
      <c r="X366" s="600">
        <f>5.7+1.8</f>
        <v>7.5</v>
      </c>
      <c r="Y366" s="557"/>
      <c r="Z366" s="557"/>
      <c r="AA366" s="557"/>
      <c r="AB366" s="605" t="s">
        <v>1277</v>
      </c>
      <c r="AC366" s="606" t="s">
        <v>193</v>
      </c>
      <c r="AD366" s="628">
        <v>47</v>
      </c>
      <c r="AE366" s="588"/>
    </row>
    <row r="367" spans="1:31" ht="16" thickBot="1">
      <c r="A367" s="554" t="str">
        <f t="shared" si="27"/>
        <v>32.</v>
      </c>
      <c r="B367" s="785" t="s">
        <v>1195</v>
      </c>
      <c r="C367" s="786"/>
      <c r="D367" s="786"/>
      <c r="E367" s="786"/>
      <c r="F367" s="786"/>
      <c r="G367" s="786"/>
      <c r="H367" s="786"/>
      <c r="I367" s="786"/>
      <c r="J367" s="786"/>
      <c r="K367" s="786"/>
      <c r="L367" s="786"/>
      <c r="M367" s="786"/>
      <c r="N367" s="786"/>
      <c r="O367" s="787"/>
      <c r="P367" s="779" t="str">
        <f t="shared" si="32"/>
        <v/>
      </c>
      <c r="Q367" s="780"/>
      <c r="R367" s="1284" t="str">
        <f>CONCATENATE(AD367)</f>
        <v/>
      </c>
      <c r="S367" s="1285"/>
      <c r="T367" s="1286"/>
      <c r="U367" s="556">
        <v>32</v>
      </c>
      <c r="V367" s="558"/>
      <c r="W367" s="557"/>
      <c r="X367" s="557"/>
      <c r="Y367" s="557"/>
      <c r="Z367" s="557"/>
      <c r="AA367" s="557"/>
      <c r="AB367" s="602" t="s">
        <v>1195</v>
      </c>
      <c r="AC367" s="603"/>
      <c r="AD367" s="630"/>
      <c r="AE367" s="588"/>
    </row>
    <row r="368" spans="1:31" ht="29.5" customHeight="1" thickBot="1">
      <c r="A368" s="555" t="str">
        <f t="shared" ref="A368:A475" si="33">CONCATENATE(U368,".",V368)</f>
        <v>32.1</v>
      </c>
      <c r="B368" s="782" t="s">
        <v>1247</v>
      </c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83"/>
      <c r="N368" s="783"/>
      <c r="O368" s="784"/>
      <c r="P368" s="779" t="str">
        <f t="shared" si="32"/>
        <v>т.</v>
      </c>
      <c r="Q368" s="780"/>
      <c r="R368" s="1287">
        <f>6.46*SUM(R408,R409,R411)/1000</f>
        <v>0.118218</v>
      </c>
      <c r="S368" s="1288"/>
      <c r="T368" s="1289"/>
      <c r="U368" s="556">
        <f t="shared" si="29"/>
        <v>32</v>
      </c>
      <c r="V368" s="558">
        <f t="shared" si="30"/>
        <v>1</v>
      </c>
      <c r="W368" s="557"/>
      <c r="X368" s="557"/>
      <c r="Y368" s="557"/>
      <c r="Z368" s="557"/>
      <c r="AA368" s="557"/>
      <c r="AB368" s="605" t="s">
        <v>1247</v>
      </c>
      <c r="AC368" s="606" t="s">
        <v>1244</v>
      </c>
      <c r="AD368" s="629">
        <v>0.621</v>
      </c>
      <c r="AE368" s="588"/>
    </row>
    <row r="369" spans="1:31" ht="29.5" thickBot="1">
      <c r="A369" s="555" t="str">
        <f t="shared" si="33"/>
        <v>32.2</v>
      </c>
      <c r="B369" s="782" t="s">
        <v>1248</v>
      </c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83"/>
      <c r="N369" s="783"/>
      <c r="O369" s="784"/>
      <c r="P369" s="779" t="str">
        <f t="shared" si="32"/>
        <v>т.</v>
      </c>
      <c r="Q369" s="780"/>
      <c r="R369" s="1284" t="str">
        <f>CONCATENATE(AD369)</f>
        <v>0,372</v>
      </c>
      <c r="S369" s="1285"/>
      <c r="T369" s="1286"/>
      <c r="U369" s="556">
        <f t="shared" si="29"/>
        <v>32</v>
      </c>
      <c r="V369" s="558">
        <f t="shared" si="30"/>
        <v>2</v>
      </c>
      <c r="W369" s="557"/>
      <c r="X369" s="557"/>
      <c r="Y369" s="557"/>
      <c r="Z369" s="557"/>
      <c r="AA369" s="557"/>
      <c r="AB369" s="605" t="s">
        <v>1248</v>
      </c>
      <c r="AC369" s="606" t="s">
        <v>1244</v>
      </c>
      <c r="AD369" s="629">
        <v>0.372</v>
      </c>
      <c r="AE369" s="588"/>
    </row>
    <row r="370" spans="1:31" ht="65.25" customHeight="1" thickBot="1">
      <c r="A370" s="555" t="str">
        <f t="shared" si="33"/>
        <v>32.3</v>
      </c>
      <c r="B370" s="782" t="s">
        <v>1245</v>
      </c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83"/>
      <c r="N370" s="783"/>
      <c r="O370" s="784"/>
      <c r="P370" s="779" t="str">
        <f t="shared" si="32"/>
        <v>т.</v>
      </c>
      <c r="Q370" s="780"/>
      <c r="R370" s="1284" t="str">
        <f>CONCATENATE(AD370)</f>
        <v>0,993</v>
      </c>
      <c r="S370" s="1285"/>
      <c r="T370" s="1286"/>
      <c r="U370" s="556">
        <f t="shared" si="29"/>
        <v>32</v>
      </c>
      <c r="V370" s="558">
        <f t="shared" si="30"/>
        <v>3</v>
      </c>
      <c r="W370" s="557"/>
      <c r="X370" s="557"/>
      <c r="Y370" s="557"/>
      <c r="Z370" s="557"/>
      <c r="AA370" s="557"/>
      <c r="AB370" s="624" t="s">
        <v>1245</v>
      </c>
      <c r="AC370" s="606" t="s">
        <v>1244</v>
      </c>
      <c r="AD370" s="629">
        <v>0.99299999999999999</v>
      </c>
      <c r="AE370" s="588"/>
    </row>
    <row r="371" spans="1:31" ht="29.5" thickBot="1">
      <c r="A371" s="555" t="str">
        <f t="shared" si="33"/>
        <v>32.4</v>
      </c>
      <c r="B371" s="782" t="s">
        <v>1199</v>
      </c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83"/>
      <c r="N371" s="783"/>
      <c r="O371" s="784"/>
      <c r="P371" s="779" t="str">
        <f t="shared" si="32"/>
        <v>т.</v>
      </c>
      <c r="Q371" s="780"/>
      <c r="R371" s="1287">
        <f>X19*SUM(R407+R415)</f>
        <v>2.0163204747774479</v>
      </c>
      <c r="S371" s="1288"/>
      <c r="T371" s="1289"/>
      <c r="U371" s="556">
        <f t="shared" si="29"/>
        <v>32</v>
      </c>
      <c r="V371" s="558">
        <f t="shared" si="30"/>
        <v>4</v>
      </c>
      <c r="W371" s="557"/>
      <c r="X371" s="557"/>
      <c r="Y371" s="557"/>
      <c r="Z371" s="557"/>
      <c r="AA371" s="557"/>
      <c r="AB371" s="605" t="s">
        <v>1199</v>
      </c>
      <c r="AC371" s="606" t="s">
        <v>1244</v>
      </c>
      <c r="AD371" s="628">
        <v>11.5</v>
      </c>
      <c r="AE371" s="588"/>
    </row>
    <row r="372" spans="1:31" ht="31.9" customHeight="1" thickBot="1">
      <c r="A372" s="555" t="str">
        <f t="shared" si="33"/>
        <v>32.5</v>
      </c>
      <c r="B372" s="782" t="s">
        <v>1249</v>
      </c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83"/>
      <c r="N372" s="783"/>
      <c r="O372" s="784"/>
      <c r="P372" s="779" t="str">
        <f t="shared" si="32"/>
        <v>т.</v>
      </c>
      <c r="Q372" s="780"/>
      <c r="R372" s="1287">
        <f>R371</f>
        <v>2.0163204747774479</v>
      </c>
      <c r="S372" s="1285"/>
      <c r="T372" s="1286"/>
      <c r="U372" s="556">
        <f t="shared" si="29"/>
        <v>32</v>
      </c>
      <c r="V372" s="558">
        <f t="shared" si="30"/>
        <v>5</v>
      </c>
      <c r="W372" s="557"/>
      <c r="X372" s="557"/>
      <c r="Y372" s="557"/>
      <c r="Z372" s="557"/>
      <c r="AA372" s="557"/>
      <c r="AB372" s="605" t="s">
        <v>1249</v>
      </c>
      <c r="AC372" s="606" t="s">
        <v>1244</v>
      </c>
      <c r="AD372" s="628">
        <v>11.5</v>
      </c>
      <c r="AE372" s="588"/>
    </row>
    <row r="373" spans="1:31" ht="29.5" thickBot="1">
      <c r="A373" s="555" t="str">
        <f t="shared" si="33"/>
        <v>32.6</v>
      </c>
      <c r="B373" s="782" t="s">
        <v>1200</v>
      </c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83"/>
      <c r="N373" s="783"/>
      <c r="O373" s="784"/>
      <c r="P373" s="779" t="str">
        <f t="shared" si="32"/>
        <v>т.</v>
      </c>
      <c r="Q373" s="780"/>
      <c r="R373" s="1284" t="str">
        <f>CONCATENATE(AD373)</f>
        <v>0,05</v>
      </c>
      <c r="S373" s="1285"/>
      <c r="T373" s="1286"/>
      <c r="U373" s="556">
        <f t="shared" si="29"/>
        <v>32</v>
      </c>
      <c r="V373" s="558">
        <f t="shared" si="30"/>
        <v>6</v>
      </c>
      <c r="W373" s="557"/>
      <c r="X373" s="557"/>
      <c r="Y373" s="557"/>
      <c r="Z373" s="557"/>
      <c r="AA373" s="557"/>
      <c r="AB373" s="605" t="s">
        <v>1200</v>
      </c>
      <c r="AC373" s="606" t="s">
        <v>1244</v>
      </c>
      <c r="AD373" s="628">
        <v>0.05</v>
      </c>
      <c r="AE373" s="588"/>
    </row>
    <row r="374" spans="1:31" ht="44" thickBot="1">
      <c r="A374" s="555" t="str">
        <f t="shared" si="33"/>
        <v>32.7</v>
      </c>
      <c r="B374" s="782" t="s">
        <v>1246</v>
      </c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83"/>
      <c r="N374" s="783"/>
      <c r="O374" s="784"/>
      <c r="P374" s="779" t="str">
        <f t="shared" si="32"/>
        <v>т.</v>
      </c>
      <c r="Q374" s="780"/>
      <c r="R374" s="1284" t="str">
        <f>CONCATENATE(AD374)</f>
        <v>0,05</v>
      </c>
      <c r="S374" s="1285"/>
      <c r="T374" s="1286"/>
      <c r="U374" s="556">
        <f t="shared" si="29"/>
        <v>32</v>
      </c>
      <c r="V374" s="558">
        <f t="shared" si="30"/>
        <v>7</v>
      </c>
      <c r="W374" s="557"/>
      <c r="X374" s="557"/>
      <c r="Y374" s="557"/>
      <c r="Z374" s="557"/>
      <c r="AA374" s="557"/>
      <c r="AB374" s="605" t="s">
        <v>1246</v>
      </c>
      <c r="AC374" s="606" t="s">
        <v>1244</v>
      </c>
      <c r="AD374" s="628">
        <v>0.05</v>
      </c>
      <c r="AE374" s="588"/>
    </row>
    <row r="375" spans="1:31" ht="29.5" thickBot="1">
      <c r="A375" s="555" t="str">
        <f t="shared" si="33"/>
        <v>32.8</v>
      </c>
      <c r="B375" s="782" t="s">
        <v>1201</v>
      </c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83"/>
      <c r="N375" s="783"/>
      <c r="O375" s="784"/>
      <c r="P375" s="779" t="str">
        <f t="shared" si="32"/>
        <v>рейс</v>
      </c>
      <c r="Q375" s="780"/>
      <c r="R375" s="1284" t="str">
        <f>CONCATENATE(AD375)</f>
        <v>30</v>
      </c>
      <c r="S375" s="1285"/>
      <c r="T375" s="1286"/>
      <c r="U375" s="556">
        <f t="shared" si="29"/>
        <v>32</v>
      </c>
      <c r="V375" s="558">
        <f t="shared" si="30"/>
        <v>8</v>
      </c>
      <c r="W375" s="557"/>
      <c r="X375" s="557"/>
      <c r="Y375" s="557"/>
      <c r="Z375" s="557"/>
      <c r="AA375" s="557"/>
      <c r="AB375" s="605" t="s">
        <v>1201</v>
      </c>
      <c r="AC375" s="606" t="s">
        <v>1202</v>
      </c>
      <c r="AD375" s="628">
        <v>30</v>
      </c>
      <c r="AE375" s="588"/>
    </row>
    <row r="376" spans="1:31" ht="16.5" customHeight="1" thickBot="1">
      <c r="A376" s="554" t="str">
        <f t="shared" si="33"/>
        <v>33.</v>
      </c>
      <c r="B376" s="785" t="s">
        <v>1446</v>
      </c>
      <c r="C376" s="786"/>
      <c r="D376" s="786"/>
      <c r="E376" s="786"/>
      <c r="F376" s="786"/>
      <c r="G376" s="786"/>
      <c r="H376" s="786"/>
      <c r="I376" s="786"/>
      <c r="J376" s="786"/>
      <c r="K376" s="786"/>
      <c r="L376" s="786"/>
      <c r="M376" s="786"/>
      <c r="N376" s="786"/>
      <c r="O376" s="787"/>
      <c r="P376" s="779" t="s">
        <v>1159</v>
      </c>
      <c r="Q376" s="780"/>
      <c r="R376" s="1284">
        <v>24.05</v>
      </c>
      <c r="S376" s="1285"/>
      <c r="T376" s="1286"/>
      <c r="U376" s="556">
        <v>33</v>
      </c>
      <c r="V376" s="558"/>
      <c r="W376" s="557"/>
      <c r="X376" s="557"/>
      <c r="Y376" s="557"/>
      <c r="Z376" s="557"/>
      <c r="AA376" s="557"/>
      <c r="AB376" s="605"/>
      <c r="AC376" s="606"/>
      <c r="AD376" s="628"/>
      <c r="AE376" s="588"/>
    </row>
    <row r="377" spans="1:31" ht="46.5" customHeight="1" thickBot="1">
      <c r="A377" s="555" t="str">
        <f t="shared" si="33"/>
        <v>33.1</v>
      </c>
      <c r="B377" s="782" t="s">
        <v>1426</v>
      </c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83"/>
      <c r="N377" s="783"/>
      <c r="O377" s="784"/>
      <c r="P377" s="779" t="s">
        <v>1163</v>
      </c>
      <c r="Q377" s="780"/>
      <c r="R377" s="1284" t="s">
        <v>681</v>
      </c>
      <c r="S377" s="1285"/>
      <c r="T377" s="1286"/>
      <c r="U377" s="556">
        <v>33</v>
      </c>
      <c r="V377" s="558">
        <f t="shared" si="30"/>
        <v>1</v>
      </c>
      <c r="W377" s="557"/>
      <c r="X377" s="557"/>
      <c r="Y377" s="557"/>
      <c r="Z377" s="557"/>
      <c r="AA377" s="557"/>
      <c r="AB377" s="605"/>
      <c r="AC377" s="606"/>
      <c r="AD377" s="628"/>
      <c r="AE377" s="588"/>
    </row>
    <row r="378" spans="1:31" ht="16.5" customHeight="1" thickBot="1">
      <c r="A378" s="555" t="str">
        <f t="shared" si="33"/>
        <v>33.2</v>
      </c>
      <c r="B378" s="782" t="s">
        <v>1427</v>
      </c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83"/>
      <c r="N378" s="783"/>
      <c r="O378" s="784"/>
      <c r="P378" s="779" t="s">
        <v>1163</v>
      </c>
      <c r="Q378" s="780"/>
      <c r="R378" s="1284">
        <f>R377*0.7</f>
        <v>14</v>
      </c>
      <c r="S378" s="1285"/>
      <c r="T378" s="1286"/>
      <c r="U378" s="556">
        <v>33</v>
      </c>
      <c r="V378" s="558">
        <f t="shared" si="30"/>
        <v>2</v>
      </c>
      <c r="W378" s="557"/>
      <c r="X378" s="557"/>
      <c r="Y378" s="557"/>
      <c r="Z378" s="557"/>
      <c r="AA378" s="557"/>
      <c r="AB378" s="605"/>
      <c r="AC378" s="606"/>
      <c r="AD378" s="628"/>
      <c r="AE378" s="588"/>
    </row>
    <row r="379" spans="1:31" ht="16.5" customHeight="1" thickBot="1">
      <c r="A379" s="555" t="str">
        <f t="shared" si="33"/>
        <v>33.3</v>
      </c>
      <c r="B379" s="782" t="s">
        <v>1206</v>
      </c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83"/>
      <c r="N379" s="783"/>
      <c r="O379" s="784"/>
      <c r="P379" s="779" t="s">
        <v>1163</v>
      </c>
      <c r="Q379" s="780"/>
      <c r="R379" s="1284">
        <f>R377*0.3</f>
        <v>6</v>
      </c>
      <c r="S379" s="1285"/>
      <c r="T379" s="1286"/>
      <c r="U379" s="556">
        <v>33</v>
      </c>
      <c r="V379" s="558">
        <f t="shared" si="30"/>
        <v>3</v>
      </c>
      <c r="W379" s="557"/>
      <c r="X379" s="557"/>
      <c r="Y379" s="557"/>
      <c r="Z379" s="557"/>
      <c r="AA379" s="557"/>
      <c r="AB379" s="605"/>
      <c r="AC379" s="606"/>
      <c r="AD379" s="628"/>
      <c r="AE379" s="588"/>
    </row>
    <row r="380" spans="1:31" ht="16.5" customHeight="1" thickBot="1">
      <c r="A380" s="555" t="str">
        <f t="shared" si="33"/>
        <v>33.4</v>
      </c>
      <c r="B380" s="782" t="s">
        <v>1207</v>
      </c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83"/>
      <c r="N380" s="783"/>
      <c r="O380" s="784"/>
      <c r="P380" s="779" t="s">
        <v>1163</v>
      </c>
      <c r="Q380" s="780"/>
      <c r="R380" s="1284">
        <f>R377*0.7</f>
        <v>14</v>
      </c>
      <c r="S380" s="1285"/>
      <c r="T380" s="1286"/>
      <c r="U380" s="556">
        <v>33</v>
      </c>
      <c r="V380" s="558">
        <f t="shared" si="30"/>
        <v>4</v>
      </c>
      <c r="W380" s="557"/>
      <c r="X380" s="557"/>
      <c r="Y380" s="557"/>
      <c r="Z380" s="557"/>
      <c r="AA380" s="557"/>
      <c r="AB380" s="605"/>
      <c r="AC380" s="606"/>
      <c r="AD380" s="628"/>
      <c r="AE380" s="588"/>
    </row>
    <row r="381" spans="1:31" ht="16.5" customHeight="1" thickBot="1">
      <c r="A381" s="555" t="str">
        <f t="shared" si="33"/>
        <v>33.5</v>
      </c>
      <c r="B381" s="782" t="s">
        <v>1208</v>
      </c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83"/>
      <c r="N381" s="783"/>
      <c r="O381" s="784"/>
      <c r="P381" s="779" t="s">
        <v>1163</v>
      </c>
      <c r="Q381" s="780"/>
      <c r="R381" s="1284">
        <f>R377*0.3</f>
        <v>6</v>
      </c>
      <c r="S381" s="1285"/>
      <c r="T381" s="1286"/>
      <c r="U381" s="556">
        <v>33</v>
      </c>
      <c r="V381" s="558">
        <f t="shared" si="30"/>
        <v>5</v>
      </c>
      <c r="W381" s="557"/>
      <c r="X381" s="557"/>
      <c r="Y381" s="557"/>
      <c r="Z381" s="557"/>
      <c r="AA381" s="557"/>
      <c r="AB381" s="605"/>
      <c r="AC381" s="606"/>
      <c r="AD381" s="628"/>
      <c r="AE381" s="588"/>
    </row>
    <row r="382" spans="1:31" ht="36" customHeight="1" thickBot="1">
      <c r="A382" s="555" t="str">
        <f t="shared" si="33"/>
        <v>33.6</v>
      </c>
      <c r="B382" s="782" t="s">
        <v>1428</v>
      </c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83"/>
      <c r="N382" s="783"/>
      <c r="O382" s="784"/>
      <c r="P382" s="779" t="s">
        <v>1163</v>
      </c>
      <c r="Q382" s="780"/>
      <c r="R382" s="1284" t="s">
        <v>1429</v>
      </c>
      <c r="S382" s="1285"/>
      <c r="T382" s="1286"/>
      <c r="U382" s="556">
        <v>33</v>
      </c>
      <c r="V382" s="558">
        <f t="shared" si="30"/>
        <v>6</v>
      </c>
      <c r="W382" s="557"/>
      <c r="X382" s="557"/>
      <c r="Y382" s="557"/>
      <c r="Z382" s="557"/>
      <c r="AA382" s="557"/>
      <c r="AB382" s="605"/>
      <c r="AC382" s="606"/>
      <c r="AD382" s="628"/>
      <c r="AE382" s="588"/>
    </row>
    <row r="383" spans="1:31" ht="19.5" customHeight="1" thickBot="1">
      <c r="A383" s="555" t="str">
        <f t="shared" si="33"/>
        <v>33.7</v>
      </c>
      <c r="B383" s="782" t="s">
        <v>1430</v>
      </c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83"/>
      <c r="N383" s="783"/>
      <c r="O383" s="784"/>
      <c r="P383" s="779" t="s">
        <v>1163</v>
      </c>
      <c r="Q383" s="780"/>
      <c r="R383" s="1284">
        <f>R381*0.3</f>
        <v>1.7999999999999998</v>
      </c>
      <c r="S383" s="1285"/>
      <c r="T383" s="1286"/>
      <c r="U383" s="556">
        <v>33</v>
      </c>
      <c r="V383" s="558">
        <f t="shared" si="30"/>
        <v>7</v>
      </c>
      <c r="W383" s="557"/>
      <c r="X383" s="557"/>
      <c r="Y383" s="557"/>
      <c r="Z383" s="557"/>
      <c r="AA383" s="557"/>
      <c r="AB383" s="605"/>
      <c r="AC383" s="606"/>
      <c r="AD383" s="628"/>
      <c r="AE383" s="588"/>
    </row>
    <row r="384" spans="1:31" ht="48.75" customHeight="1" thickBot="1">
      <c r="A384" s="555" t="str">
        <f t="shared" si="33"/>
        <v>33.8</v>
      </c>
      <c r="B384" s="782" t="s">
        <v>1431</v>
      </c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83"/>
      <c r="N384" s="783"/>
      <c r="O384" s="784"/>
      <c r="P384" s="779" t="s">
        <v>1160</v>
      </c>
      <c r="Q384" s="780"/>
      <c r="R384" s="1284" t="s">
        <v>1224</v>
      </c>
      <c r="S384" s="1285"/>
      <c r="T384" s="1286"/>
      <c r="U384" s="556">
        <v>33</v>
      </c>
      <c r="V384" s="558">
        <f t="shared" si="30"/>
        <v>8</v>
      </c>
      <c r="W384" s="557"/>
      <c r="X384" s="557"/>
      <c r="Y384" s="557"/>
      <c r="Z384" s="557"/>
      <c r="AA384" s="557"/>
      <c r="AB384" s="605"/>
      <c r="AC384" s="606"/>
      <c r="AD384" s="628"/>
      <c r="AE384" s="588"/>
    </row>
    <row r="385" spans="1:31" ht="33" customHeight="1" thickBot="1">
      <c r="A385" s="555" t="str">
        <f t="shared" si="33"/>
        <v>33.9</v>
      </c>
      <c r="B385" s="782" t="s">
        <v>1432</v>
      </c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83"/>
      <c r="N385" s="783"/>
      <c r="O385" s="784"/>
      <c r="P385" s="779" t="s">
        <v>1212</v>
      </c>
      <c r="Q385" s="780"/>
      <c r="R385" s="1284" t="s">
        <v>1180</v>
      </c>
      <c r="S385" s="1285"/>
      <c r="T385" s="1286"/>
      <c r="U385" s="556">
        <v>33</v>
      </c>
      <c r="V385" s="558">
        <f t="shared" si="30"/>
        <v>9</v>
      </c>
      <c r="W385" s="557"/>
      <c r="X385" s="557"/>
      <c r="Y385" s="557"/>
      <c r="Z385" s="557"/>
      <c r="AA385" s="557"/>
      <c r="AB385" s="605"/>
      <c r="AC385" s="606"/>
      <c r="AD385" s="628"/>
      <c r="AE385" s="588"/>
    </row>
    <row r="386" spans="1:31" ht="33.75" customHeight="1" thickBot="1">
      <c r="A386" s="555" t="str">
        <f t="shared" si="33"/>
        <v>33.10</v>
      </c>
      <c r="B386" s="782" t="s">
        <v>1443</v>
      </c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83"/>
      <c r="N386" s="783"/>
      <c r="O386" s="784"/>
      <c r="P386" s="779" t="s">
        <v>1194</v>
      </c>
      <c r="Q386" s="780"/>
      <c r="R386" s="1284" t="s">
        <v>1180</v>
      </c>
      <c r="S386" s="1285"/>
      <c r="T386" s="1286"/>
      <c r="U386" s="556">
        <v>33</v>
      </c>
      <c r="V386" s="558">
        <f t="shared" si="30"/>
        <v>10</v>
      </c>
      <c r="W386" s="557"/>
      <c r="X386" s="557"/>
      <c r="Y386" s="557"/>
      <c r="Z386" s="557"/>
      <c r="AA386" s="557"/>
      <c r="AB386" s="605"/>
      <c r="AC386" s="606"/>
      <c r="AD386" s="628"/>
      <c r="AE386" s="588"/>
    </row>
    <row r="387" spans="1:31" ht="16.5" customHeight="1" thickBot="1">
      <c r="A387" s="555" t="str">
        <f t="shared" si="33"/>
        <v>33.11</v>
      </c>
      <c r="B387" s="782" t="s">
        <v>1444</v>
      </c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83"/>
      <c r="N387" s="783"/>
      <c r="O387" s="784"/>
      <c r="P387" s="779" t="s">
        <v>1194</v>
      </c>
      <c r="Q387" s="780"/>
      <c r="R387" s="1284" t="s">
        <v>1180</v>
      </c>
      <c r="S387" s="1285"/>
      <c r="T387" s="1286"/>
      <c r="U387" s="556">
        <v>33</v>
      </c>
      <c r="V387" s="558">
        <f t="shared" si="30"/>
        <v>11</v>
      </c>
      <c r="W387" s="557"/>
      <c r="X387" s="557"/>
      <c r="Y387" s="557"/>
      <c r="Z387" s="557"/>
      <c r="AA387" s="557"/>
      <c r="AB387" s="605"/>
      <c r="AC387" s="606"/>
      <c r="AD387" s="628"/>
      <c r="AE387" s="588"/>
    </row>
    <row r="388" spans="1:31" ht="16.5" customHeight="1" thickBot="1">
      <c r="A388" s="555" t="str">
        <f t="shared" si="33"/>
        <v>33.12</v>
      </c>
      <c r="B388" s="782" t="s">
        <v>1445</v>
      </c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83"/>
      <c r="N388" s="783"/>
      <c r="O388" s="784"/>
      <c r="P388" s="779" t="s">
        <v>1194</v>
      </c>
      <c r="Q388" s="780"/>
      <c r="R388" s="1284" t="s">
        <v>1180</v>
      </c>
      <c r="S388" s="1285"/>
      <c r="T388" s="1286"/>
      <c r="U388" s="556">
        <v>33</v>
      </c>
      <c r="V388" s="558">
        <f t="shared" si="30"/>
        <v>12</v>
      </c>
      <c r="W388" s="557"/>
      <c r="X388" s="557"/>
      <c r="Y388" s="557"/>
      <c r="Z388" s="557"/>
      <c r="AA388" s="557"/>
      <c r="AB388" s="605"/>
      <c r="AC388" s="606"/>
      <c r="AD388" s="628"/>
      <c r="AE388" s="588"/>
    </row>
    <row r="389" spans="1:31" ht="32.25" customHeight="1" thickBot="1">
      <c r="A389" s="555" t="str">
        <f t="shared" si="33"/>
        <v>33.13</v>
      </c>
      <c r="B389" s="782" t="s">
        <v>1450</v>
      </c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83"/>
      <c r="N389" s="783"/>
      <c r="O389" s="784"/>
      <c r="P389" s="779" t="s">
        <v>1209</v>
      </c>
      <c r="Q389" s="780"/>
      <c r="R389" s="1284" t="s">
        <v>1451</v>
      </c>
      <c r="S389" s="1285"/>
      <c r="T389" s="1286"/>
      <c r="U389" s="556">
        <v>33</v>
      </c>
      <c r="V389" s="558">
        <f t="shared" si="30"/>
        <v>13</v>
      </c>
      <c r="W389" s="557"/>
      <c r="X389" s="557"/>
      <c r="Y389" s="557"/>
      <c r="Z389" s="557"/>
      <c r="AA389" s="557"/>
      <c r="AB389" s="605"/>
      <c r="AC389" s="606"/>
      <c r="AD389" s="628"/>
      <c r="AE389" s="588"/>
    </row>
    <row r="390" spans="1:31" ht="16.5" customHeight="1" thickBot="1">
      <c r="A390" s="555" t="str">
        <f t="shared" si="33"/>
        <v>33.14</v>
      </c>
      <c r="B390" s="782" t="s">
        <v>1433</v>
      </c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83"/>
      <c r="N390" s="783"/>
      <c r="O390" s="784"/>
      <c r="P390" s="779" t="s">
        <v>1434</v>
      </c>
      <c r="Q390" s="780"/>
      <c r="R390" s="1284" t="s">
        <v>1434</v>
      </c>
      <c r="S390" s="1285"/>
      <c r="T390" s="1286"/>
      <c r="U390" s="556">
        <v>33</v>
      </c>
      <c r="V390" s="558">
        <f t="shared" si="30"/>
        <v>14</v>
      </c>
      <c r="W390" s="557"/>
      <c r="X390" s="557"/>
      <c r="Y390" s="557"/>
      <c r="Z390" s="557"/>
      <c r="AA390" s="557"/>
      <c r="AB390" s="605"/>
      <c r="AC390" s="606"/>
      <c r="AD390" s="628"/>
      <c r="AE390" s="588"/>
    </row>
    <row r="391" spans="1:31" ht="16.5" customHeight="1" thickBot="1">
      <c r="A391" s="555" t="str">
        <f t="shared" si="33"/>
        <v>33.15</v>
      </c>
      <c r="B391" s="782" t="s">
        <v>1435</v>
      </c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83"/>
      <c r="N391" s="783"/>
      <c r="O391" s="784"/>
      <c r="P391" s="779" t="s">
        <v>1163</v>
      </c>
      <c r="Q391" s="780"/>
      <c r="R391" s="1287">
        <f>R376*2.16</f>
        <v>51.948000000000008</v>
      </c>
      <c r="S391" s="1288"/>
      <c r="T391" s="1289"/>
      <c r="U391" s="556">
        <v>33</v>
      </c>
      <c r="V391" s="558">
        <f t="shared" si="30"/>
        <v>15</v>
      </c>
      <c r="W391" s="557"/>
      <c r="X391" s="557"/>
      <c r="Y391" s="557"/>
      <c r="Z391" s="557"/>
      <c r="AA391" s="557"/>
      <c r="AB391" s="605"/>
      <c r="AC391" s="606"/>
      <c r="AD391" s="628"/>
      <c r="AE391" s="588"/>
    </row>
    <row r="392" spans="1:31" ht="16.5" customHeight="1" thickBot="1">
      <c r="A392" s="555" t="str">
        <f t="shared" si="33"/>
        <v>33.16</v>
      </c>
      <c r="B392" s="782" t="s">
        <v>1436</v>
      </c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83"/>
      <c r="N392" s="783"/>
      <c r="O392" s="784"/>
      <c r="P392" s="779" t="s">
        <v>1163</v>
      </c>
      <c r="Q392" s="780"/>
      <c r="R392" s="1287">
        <f>R391</f>
        <v>51.948000000000008</v>
      </c>
      <c r="S392" s="1288"/>
      <c r="T392" s="1289"/>
      <c r="U392" s="556">
        <v>33</v>
      </c>
      <c r="V392" s="558">
        <f t="shared" si="30"/>
        <v>16</v>
      </c>
      <c r="W392" s="557"/>
      <c r="X392" s="557"/>
      <c r="Y392" s="557"/>
      <c r="Z392" s="557"/>
      <c r="AA392" s="557"/>
      <c r="AB392" s="605"/>
      <c r="AC392" s="606"/>
      <c r="AD392" s="628"/>
      <c r="AE392" s="588"/>
    </row>
    <row r="393" spans="1:31" ht="32.25" customHeight="1" thickBot="1">
      <c r="A393" s="555" t="str">
        <f t="shared" si="33"/>
        <v>33.17</v>
      </c>
      <c r="B393" s="782" t="s">
        <v>1448</v>
      </c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83"/>
      <c r="N393" s="783"/>
      <c r="O393" s="784"/>
      <c r="P393" s="779" t="s">
        <v>1194</v>
      </c>
      <c r="Q393" s="780"/>
      <c r="R393" s="1284">
        <v>8</v>
      </c>
      <c r="S393" s="1285"/>
      <c r="T393" s="1286"/>
      <c r="U393" s="556">
        <v>33</v>
      </c>
      <c r="V393" s="558">
        <f t="shared" si="30"/>
        <v>17</v>
      </c>
      <c r="W393" s="557"/>
      <c r="X393" s="557"/>
      <c r="Y393" s="557"/>
      <c r="Z393" s="557"/>
      <c r="AA393" s="557"/>
      <c r="AB393" s="605"/>
      <c r="AC393" s="606"/>
      <c r="AD393" s="628"/>
      <c r="AE393" s="588"/>
    </row>
    <row r="394" spans="1:31" ht="29.25" customHeight="1" thickBot="1">
      <c r="A394" s="555" t="str">
        <f t="shared" si="33"/>
        <v>33.18</v>
      </c>
      <c r="B394" s="782" t="s">
        <v>1437</v>
      </c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83"/>
      <c r="N394" s="783"/>
      <c r="O394" s="784"/>
      <c r="P394" s="779" t="s">
        <v>1163</v>
      </c>
      <c r="Q394" s="780"/>
      <c r="R394" s="1284" t="s">
        <v>1429</v>
      </c>
      <c r="S394" s="1285"/>
      <c r="T394" s="1286"/>
      <c r="U394" s="556">
        <v>33</v>
      </c>
      <c r="V394" s="558">
        <f t="shared" si="30"/>
        <v>18</v>
      </c>
      <c r="W394" s="557"/>
      <c r="X394" s="557"/>
      <c r="Y394" s="557"/>
      <c r="Z394" s="557"/>
      <c r="AA394" s="557"/>
      <c r="AB394" s="605"/>
      <c r="AC394" s="606"/>
      <c r="AD394" s="628"/>
      <c r="AE394" s="588"/>
    </row>
    <row r="395" spans="1:31" ht="29.25" customHeight="1" thickBot="1">
      <c r="A395" s="555" t="str">
        <f t="shared" si="33"/>
        <v>33.19</v>
      </c>
      <c r="B395" s="782" t="s">
        <v>1438</v>
      </c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83"/>
      <c r="N395" s="783"/>
      <c r="O395" s="784"/>
      <c r="P395" s="779" t="s">
        <v>1212</v>
      </c>
      <c r="Q395" s="780"/>
      <c r="R395" s="1284" t="s">
        <v>1180</v>
      </c>
      <c r="S395" s="1285"/>
      <c r="T395" s="1286"/>
      <c r="U395" s="556">
        <v>33</v>
      </c>
      <c r="V395" s="558">
        <f t="shared" si="30"/>
        <v>19</v>
      </c>
      <c r="W395" s="557"/>
      <c r="X395" s="557"/>
      <c r="Y395" s="557"/>
      <c r="Z395" s="557"/>
      <c r="AA395" s="557"/>
      <c r="AB395" s="605"/>
      <c r="AC395" s="606"/>
      <c r="AD395" s="628"/>
      <c r="AE395" s="588"/>
    </row>
    <row r="396" spans="1:31" ht="48.75" customHeight="1" thickBot="1">
      <c r="A396" s="555" t="str">
        <f t="shared" si="33"/>
        <v>33.20</v>
      </c>
      <c r="B396" s="782" t="s">
        <v>1439</v>
      </c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83"/>
      <c r="N396" s="783"/>
      <c r="O396" s="784"/>
      <c r="P396" s="779" t="s">
        <v>1163</v>
      </c>
      <c r="Q396" s="780"/>
      <c r="R396" s="1287">
        <f>R372</f>
        <v>2.0163204747774479</v>
      </c>
      <c r="S396" s="1288"/>
      <c r="T396" s="1289"/>
      <c r="U396" s="556">
        <v>33</v>
      </c>
      <c r="V396" s="558">
        <f t="shared" si="30"/>
        <v>20</v>
      </c>
      <c r="W396" s="557"/>
      <c r="X396" s="557"/>
      <c r="Y396" s="557"/>
      <c r="Z396" s="557"/>
      <c r="AA396" s="557"/>
      <c r="AB396" s="605"/>
      <c r="AC396" s="606"/>
      <c r="AD396" s="628"/>
      <c r="AE396" s="588"/>
    </row>
    <row r="397" spans="1:31" ht="16.5" customHeight="1" thickBot="1">
      <c r="A397" s="555" t="str">
        <f t="shared" si="33"/>
        <v>33.21</v>
      </c>
      <c r="B397" s="782" t="s">
        <v>1440</v>
      </c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83"/>
      <c r="N397" s="783"/>
      <c r="O397" s="784"/>
      <c r="P397" s="779" t="s">
        <v>1163</v>
      </c>
      <c r="Q397" s="780"/>
      <c r="R397" s="1284" t="str">
        <f>R373</f>
        <v>0,05</v>
      </c>
      <c r="S397" s="1285"/>
      <c r="T397" s="1286"/>
      <c r="U397" s="556">
        <v>33</v>
      </c>
      <c r="V397" s="558">
        <f t="shared" si="30"/>
        <v>21</v>
      </c>
      <c r="W397" s="557"/>
      <c r="X397" s="557"/>
      <c r="Y397" s="557"/>
      <c r="Z397" s="557"/>
      <c r="AA397" s="557"/>
      <c r="AB397" s="605"/>
      <c r="AC397" s="606"/>
      <c r="AD397" s="628"/>
      <c r="AE397" s="588"/>
    </row>
    <row r="398" spans="1:31" ht="16.5" customHeight="1" thickBot="1">
      <c r="A398" s="555" t="str">
        <f t="shared" si="33"/>
        <v>33.22</v>
      </c>
      <c r="B398" s="782" t="s">
        <v>1206</v>
      </c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83"/>
      <c r="N398" s="783"/>
      <c r="O398" s="784"/>
      <c r="P398" s="779" t="s">
        <v>1163</v>
      </c>
      <c r="Q398" s="780"/>
      <c r="R398" s="1284" t="str">
        <f>R374</f>
        <v>0,05</v>
      </c>
      <c r="S398" s="1285"/>
      <c r="T398" s="1286"/>
      <c r="U398" s="556">
        <v>33</v>
      </c>
      <c r="V398" s="558">
        <f t="shared" si="30"/>
        <v>22</v>
      </c>
      <c r="W398" s="557"/>
      <c r="X398" s="557"/>
      <c r="Y398" s="557"/>
      <c r="Z398" s="557"/>
      <c r="AA398" s="557"/>
      <c r="AB398" s="605"/>
      <c r="AC398" s="606"/>
      <c r="AD398" s="628"/>
      <c r="AE398" s="588"/>
    </row>
    <row r="399" spans="1:31" ht="16.5" customHeight="1" thickBot="1">
      <c r="A399" s="555" t="str">
        <f t="shared" si="33"/>
        <v>33.23</v>
      </c>
      <c r="B399" s="782" t="s">
        <v>1441</v>
      </c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83"/>
      <c r="N399" s="783"/>
      <c r="O399" s="784"/>
      <c r="P399" s="779" t="s">
        <v>1442</v>
      </c>
      <c r="Q399" s="780"/>
      <c r="R399" s="1284" t="s">
        <v>1223</v>
      </c>
      <c r="S399" s="1285"/>
      <c r="T399" s="1286"/>
      <c r="U399" s="556">
        <v>33</v>
      </c>
      <c r="V399" s="558">
        <f t="shared" si="30"/>
        <v>23</v>
      </c>
      <c r="W399" s="557"/>
      <c r="X399" s="557"/>
      <c r="Y399" s="557"/>
      <c r="Z399" s="557"/>
      <c r="AA399" s="557"/>
      <c r="AB399" s="605"/>
      <c r="AC399" s="606"/>
      <c r="AD399" s="628"/>
      <c r="AE399" s="588"/>
    </row>
    <row r="400" spans="1:31" ht="16.5" customHeight="1" thickBot="1">
      <c r="A400" s="554" t="str">
        <f t="shared" si="33"/>
        <v>34.</v>
      </c>
      <c r="B400" s="785" t="s">
        <v>1216</v>
      </c>
      <c r="C400" s="786"/>
      <c r="D400" s="786"/>
      <c r="E400" s="786"/>
      <c r="F400" s="786"/>
      <c r="G400" s="786"/>
      <c r="H400" s="786"/>
      <c r="I400" s="786"/>
      <c r="J400" s="786"/>
      <c r="K400" s="786"/>
      <c r="L400" s="786"/>
      <c r="M400" s="786"/>
      <c r="N400" s="786"/>
      <c r="O400" s="787"/>
      <c r="P400" s="779" t="str">
        <f t="shared" si="32"/>
        <v/>
      </c>
      <c r="Q400" s="781"/>
      <c r="R400" s="1284" t="str">
        <f>CONCATENATE(AD400)</f>
        <v/>
      </c>
      <c r="S400" s="1285"/>
      <c r="T400" s="1286"/>
      <c r="U400" s="556">
        <v>34</v>
      </c>
      <c r="V400" s="558"/>
      <c r="W400" s="557"/>
      <c r="X400" s="557"/>
      <c r="Y400" s="557"/>
      <c r="Z400" s="557"/>
      <c r="AA400" s="557"/>
      <c r="AB400" s="602" t="s">
        <v>1216</v>
      </c>
      <c r="AC400" s="603"/>
      <c r="AD400" s="630"/>
      <c r="AE400" s="588"/>
    </row>
    <row r="401" spans="1:31" ht="28.5" customHeight="1" thickBot="1">
      <c r="A401" s="555" t="str">
        <f t="shared" si="33"/>
        <v>34.1</v>
      </c>
      <c r="B401" s="782" t="s">
        <v>1409</v>
      </c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83"/>
      <c r="N401" s="783"/>
      <c r="O401" s="784"/>
      <c r="P401" s="779" t="str">
        <f t="shared" si="32"/>
        <v>м/м3</v>
      </c>
      <c r="Q401" s="781"/>
      <c r="R401" s="1284" t="str">
        <f>CONCATENATE(X366,"/",ROUND(X366*0.425,2))</f>
        <v>7,5/3,19</v>
      </c>
      <c r="S401" s="1285"/>
      <c r="T401" s="1286"/>
      <c r="U401" s="556">
        <f t="shared" si="29"/>
        <v>34</v>
      </c>
      <c r="V401" s="558">
        <f t="shared" si="30"/>
        <v>1</v>
      </c>
      <c r="W401" s="557"/>
      <c r="X401" s="557"/>
      <c r="Y401" s="557"/>
      <c r="Z401" s="557"/>
      <c r="AA401" s="557"/>
      <c r="AB401" s="605" t="s">
        <v>1366</v>
      </c>
      <c r="AC401" s="606" t="s">
        <v>1217</v>
      </c>
      <c r="AD401" s="628" t="s">
        <v>1367</v>
      </c>
      <c r="AE401" s="588"/>
    </row>
    <row r="402" spans="1:31" ht="16.5" customHeight="1" thickBot="1">
      <c r="A402" s="555" t="str">
        <f t="shared" si="33"/>
        <v>34.2</v>
      </c>
      <c r="B402" s="782" t="s">
        <v>1207</v>
      </c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83"/>
      <c r="N402" s="783"/>
      <c r="O402" s="784"/>
      <c r="P402" s="779" t="str">
        <f t="shared" si="32"/>
        <v>м3</v>
      </c>
      <c r="Q402" s="781"/>
      <c r="R402" s="1284">
        <f>ROUND(X366*0.425*0.7,2)</f>
        <v>2.23</v>
      </c>
      <c r="S402" s="1285"/>
      <c r="T402" s="1286"/>
      <c r="U402" s="556">
        <f t="shared" si="29"/>
        <v>34</v>
      </c>
      <c r="V402" s="558">
        <f t="shared" si="30"/>
        <v>2</v>
      </c>
      <c r="W402" s="557"/>
      <c r="X402" s="557"/>
      <c r="Y402" s="557"/>
      <c r="Z402" s="557"/>
      <c r="AA402" s="557"/>
      <c r="AB402" s="605" t="s">
        <v>1207</v>
      </c>
      <c r="AC402" s="606" t="s">
        <v>1163</v>
      </c>
      <c r="AD402" s="629">
        <v>13.98</v>
      </c>
      <c r="AE402" s="588"/>
    </row>
    <row r="403" spans="1:31" ht="16.5" customHeight="1" thickBot="1">
      <c r="A403" s="555" t="str">
        <f t="shared" si="33"/>
        <v>34.3</v>
      </c>
      <c r="B403" s="782" t="s">
        <v>1208</v>
      </c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83"/>
      <c r="N403" s="783"/>
      <c r="O403" s="784"/>
      <c r="P403" s="779" t="str">
        <f t="shared" si="32"/>
        <v>м3</v>
      </c>
      <c r="Q403" s="781"/>
      <c r="R403" s="1284">
        <f>ROUND(X366*0.425*0.3,2)</f>
        <v>0.96</v>
      </c>
      <c r="S403" s="1285"/>
      <c r="T403" s="1286"/>
      <c r="U403" s="556">
        <f t="shared" si="29"/>
        <v>34</v>
      </c>
      <c r="V403" s="558">
        <f t="shared" si="30"/>
        <v>3</v>
      </c>
      <c r="W403" s="557"/>
      <c r="X403" s="557"/>
      <c r="Y403" s="557"/>
      <c r="Z403" s="557"/>
      <c r="AA403" s="557"/>
      <c r="AB403" s="605" t="s">
        <v>1208</v>
      </c>
      <c r="AC403" s="606" t="s">
        <v>1163</v>
      </c>
      <c r="AD403" s="628">
        <v>5.99</v>
      </c>
      <c r="AE403" s="588"/>
    </row>
    <row r="404" spans="1:31" ht="16.5" customHeight="1" thickBot="1">
      <c r="A404" s="555" t="str">
        <f t="shared" si="33"/>
        <v>34.4</v>
      </c>
      <c r="B404" s="782" t="s">
        <v>1251</v>
      </c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83"/>
      <c r="N404" s="783"/>
      <c r="O404" s="784"/>
      <c r="P404" s="779" t="str">
        <f t="shared" si="32"/>
        <v>м3</v>
      </c>
      <c r="Q404" s="781"/>
      <c r="R404" s="1284">
        <f>R402</f>
        <v>2.23</v>
      </c>
      <c r="S404" s="1285"/>
      <c r="T404" s="1286"/>
      <c r="U404" s="556">
        <f t="shared" si="29"/>
        <v>34</v>
      </c>
      <c r="V404" s="558">
        <f t="shared" si="30"/>
        <v>4</v>
      </c>
      <c r="W404" s="557"/>
      <c r="X404" s="557"/>
      <c r="Y404" s="557"/>
      <c r="Z404" s="557"/>
      <c r="AA404" s="557"/>
      <c r="AB404" s="605" t="s">
        <v>1251</v>
      </c>
      <c r="AC404" s="606" t="s">
        <v>1163</v>
      </c>
      <c r="AD404" s="629">
        <v>13.98</v>
      </c>
      <c r="AE404" s="588"/>
    </row>
    <row r="405" spans="1:31" ht="16.5" customHeight="1" thickBot="1">
      <c r="A405" s="555" t="str">
        <f t="shared" si="33"/>
        <v>34.5</v>
      </c>
      <c r="B405" s="782" t="s">
        <v>1252</v>
      </c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83"/>
      <c r="N405" s="783"/>
      <c r="O405" s="784"/>
      <c r="P405" s="779" t="str">
        <f t="shared" si="32"/>
        <v>м3</v>
      </c>
      <c r="Q405" s="781"/>
      <c r="R405" s="1284">
        <f>R403</f>
        <v>0.96</v>
      </c>
      <c r="S405" s="1285"/>
      <c r="T405" s="1286"/>
      <c r="U405" s="556">
        <f t="shared" si="29"/>
        <v>34</v>
      </c>
      <c r="V405" s="558">
        <f t="shared" si="30"/>
        <v>5</v>
      </c>
      <c r="W405" s="557"/>
      <c r="X405" s="557"/>
      <c r="Y405" s="557"/>
      <c r="Z405" s="557"/>
      <c r="AA405" s="557"/>
      <c r="AB405" s="605" t="s">
        <v>1252</v>
      </c>
      <c r="AC405" s="606" t="s">
        <v>1163</v>
      </c>
      <c r="AD405" s="628">
        <v>5.99</v>
      </c>
      <c r="AE405" s="588"/>
    </row>
    <row r="406" spans="1:31" ht="16.5" customHeight="1" thickBot="1">
      <c r="A406" s="555" t="str">
        <f t="shared" si="33"/>
        <v>34.6</v>
      </c>
      <c r="B406" s="782" t="s">
        <v>1218</v>
      </c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83"/>
      <c r="N406" s="783"/>
      <c r="O406" s="784"/>
      <c r="P406" s="779" t="str">
        <f t="shared" si="32"/>
        <v>м3</v>
      </c>
      <c r="Q406" s="781"/>
      <c r="R406" s="1293">
        <f>0.1*R405</f>
        <v>9.6000000000000002E-2</v>
      </c>
      <c r="S406" s="1294"/>
      <c r="T406" s="1295"/>
      <c r="U406" s="556">
        <f t="shared" si="29"/>
        <v>34</v>
      </c>
      <c r="V406" s="558">
        <f t="shared" si="30"/>
        <v>6</v>
      </c>
      <c r="W406" s="557"/>
      <c r="X406" s="557"/>
      <c r="Y406" s="557"/>
      <c r="Z406" s="557"/>
      <c r="AA406" s="557"/>
      <c r="AB406" s="605" t="s">
        <v>1218</v>
      </c>
      <c r="AC406" s="606" t="s">
        <v>1163</v>
      </c>
      <c r="AD406" s="628">
        <v>0.6</v>
      </c>
      <c r="AE406" s="588"/>
    </row>
    <row r="407" spans="1:31" ht="28.5" customHeight="1">
      <c r="A407" s="555" t="str">
        <f t="shared" si="33"/>
        <v>34.7</v>
      </c>
      <c r="B407" s="782" t="s">
        <v>1410</v>
      </c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83"/>
      <c r="N407" s="783"/>
      <c r="O407" s="784"/>
      <c r="P407" s="779" t="str">
        <f t="shared" si="32"/>
        <v>м3</v>
      </c>
      <c r="Q407" s="781"/>
      <c r="R407" s="1287">
        <f>X366*0.5*0.15</f>
        <v>0.5625</v>
      </c>
      <c r="S407" s="1288"/>
      <c r="T407" s="1289"/>
      <c r="U407" s="556">
        <f t="shared" si="29"/>
        <v>34</v>
      </c>
      <c r="V407" s="558">
        <f t="shared" si="30"/>
        <v>7</v>
      </c>
      <c r="W407" s="557"/>
      <c r="X407" s="557"/>
      <c r="Y407" s="557"/>
      <c r="Z407" s="557"/>
      <c r="AA407" s="557"/>
      <c r="AB407" s="624" t="s">
        <v>1368</v>
      </c>
      <c r="AC407" s="613" t="s">
        <v>1163</v>
      </c>
      <c r="AD407" s="634">
        <v>3.52</v>
      </c>
      <c r="AE407" s="588"/>
    </row>
    <row r="408" spans="1:31" ht="36" customHeight="1" thickBot="1">
      <c r="A408" s="555" t="str">
        <f t="shared" si="33"/>
        <v>34.8</v>
      </c>
      <c r="B408" s="782" t="s">
        <v>1412</v>
      </c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83"/>
      <c r="N408" s="783"/>
      <c r="O408" s="784"/>
      <c r="P408" s="779" t="str">
        <f t="shared" si="32"/>
        <v>м</v>
      </c>
      <c r="Q408" s="780"/>
      <c r="R408" s="1284">
        <f>X366*2*1.02</f>
        <v>15.3</v>
      </c>
      <c r="S408" s="1285"/>
      <c r="T408" s="1286"/>
      <c r="U408" s="556">
        <f t="shared" si="29"/>
        <v>34</v>
      </c>
      <c r="V408" s="558">
        <f t="shared" si="30"/>
        <v>8</v>
      </c>
      <c r="W408" s="557"/>
      <c r="X408" s="557"/>
      <c r="Y408" s="557"/>
      <c r="Z408" s="557"/>
      <c r="AA408" s="557"/>
      <c r="AB408" s="605" t="s">
        <v>1369</v>
      </c>
      <c r="AC408" s="606" t="s">
        <v>1159</v>
      </c>
      <c r="AD408" s="629">
        <v>21.42</v>
      </c>
      <c r="AE408" s="588"/>
    </row>
    <row r="409" spans="1:31" ht="16.5" customHeight="1" thickBot="1">
      <c r="A409" s="555" t="str">
        <f t="shared" si="33"/>
        <v>34.9</v>
      </c>
      <c r="B409" s="782" t="s">
        <v>1255</v>
      </c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83"/>
      <c r="N409" s="783"/>
      <c r="O409" s="784"/>
      <c r="P409" s="779" t="str">
        <f t="shared" si="32"/>
        <v>м</v>
      </c>
      <c r="Q409" s="780"/>
      <c r="R409" s="1284" t="str">
        <f>CONCATENATE(AD409)</f>
        <v>10</v>
      </c>
      <c r="S409" s="1285"/>
      <c r="T409" s="1286"/>
      <c r="U409" s="556">
        <f t="shared" si="29"/>
        <v>34</v>
      </c>
      <c r="V409" s="558">
        <f t="shared" si="30"/>
        <v>9</v>
      </c>
      <c r="W409" s="557"/>
      <c r="X409" s="557"/>
      <c r="Y409" s="557"/>
      <c r="Z409" s="557"/>
      <c r="AA409" s="557"/>
      <c r="AB409" s="605" t="s">
        <v>1255</v>
      </c>
      <c r="AC409" s="606" t="s">
        <v>1159</v>
      </c>
      <c r="AD409" s="628">
        <v>10</v>
      </c>
      <c r="AE409" s="588"/>
    </row>
    <row r="410" spans="1:31" ht="29.5" thickBot="1">
      <c r="A410" s="555" t="str">
        <f t="shared" si="33"/>
        <v>34.10</v>
      </c>
      <c r="B410" s="782" t="s">
        <v>1256</v>
      </c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83"/>
      <c r="N410" s="783"/>
      <c r="O410" s="784"/>
      <c r="P410" s="779" t="str">
        <f t="shared" si="32"/>
        <v>м</v>
      </c>
      <c r="Q410" s="780"/>
      <c r="R410" s="1284">
        <v>10</v>
      </c>
      <c r="S410" s="1285"/>
      <c r="T410" s="1286"/>
      <c r="U410" s="556">
        <f t="shared" si="29"/>
        <v>34</v>
      </c>
      <c r="V410" s="558">
        <f t="shared" si="30"/>
        <v>10</v>
      </c>
      <c r="W410" s="557"/>
      <c r="X410" s="557"/>
      <c r="Y410" s="557"/>
      <c r="Z410" s="557"/>
      <c r="AA410" s="557"/>
      <c r="AB410" s="624" t="s">
        <v>1256</v>
      </c>
      <c r="AC410" s="613" t="s">
        <v>1159</v>
      </c>
      <c r="AD410" s="634">
        <v>4</v>
      </c>
      <c r="AE410" s="588"/>
    </row>
    <row r="411" spans="1:31" ht="18.75" customHeight="1" thickBot="1">
      <c r="A411" s="555" t="str">
        <f t="shared" si="33"/>
        <v>34.11</v>
      </c>
      <c r="B411" s="782" t="s">
        <v>1413</v>
      </c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83"/>
      <c r="N411" s="783"/>
      <c r="O411" s="784"/>
      <c r="P411" s="779" t="str">
        <f t="shared" si="32"/>
        <v>м</v>
      </c>
      <c r="Q411" s="780"/>
      <c r="R411" s="1284">
        <v>3</v>
      </c>
      <c r="S411" s="1285"/>
      <c r="T411" s="1286"/>
      <c r="U411" s="556">
        <f t="shared" ref="U411:U496" si="34">U410</f>
        <v>34</v>
      </c>
      <c r="V411" s="558">
        <f t="shared" ref="V411:V496" si="35">V410+1</f>
        <v>11</v>
      </c>
      <c r="W411" s="557"/>
      <c r="X411" s="557"/>
      <c r="Y411" s="557"/>
      <c r="Z411" s="557"/>
      <c r="AA411" s="557"/>
      <c r="AB411" s="625" t="s">
        <v>1257</v>
      </c>
      <c r="AC411" s="626" t="s">
        <v>1159</v>
      </c>
      <c r="AD411" s="627">
        <v>4</v>
      </c>
      <c r="AE411" s="588"/>
    </row>
    <row r="412" spans="1:31" ht="17.25" customHeight="1" thickBot="1">
      <c r="A412" s="555" t="str">
        <f t="shared" si="33"/>
        <v>34.12</v>
      </c>
      <c r="B412" s="782" t="s">
        <v>1258</v>
      </c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83"/>
      <c r="N412" s="783"/>
      <c r="O412" s="784"/>
      <c r="P412" s="779" t="str">
        <f t="shared" si="32"/>
        <v>м</v>
      </c>
      <c r="Q412" s="780"/>
      <c r="R412" s="1284">
        <v>3</v>
      </c>
      <c r="S412" s="1285"/>
      <c r="T412" s="1286"/>
      <c r="U412" s="556">
        <f t="shared" si="34"/>
        <v>34</v>
      </c>
      <c r="V412" s="558">
        <f t="shared" si="35"/>
        <v>12</v>
      </c>
      <c r="W412" s="557"/>
      <c r="X412" s="557"/>
      <c r="Y412" s="557"/>
      <c r="Z412" s="557"/>
      <c r="AA412" s="557"/>
      <c r="AB412" s="605" t="s">
        <v>1258</v>
      </c>
      <c r="AC412" s="606" t="s">
        <v>1159</v>
      </c>
      <c r="AD412" s="628">
        <v>2</v>
      </c>
      <c r="AE412" s="588"/>
    </row>
    <row r="413" spans="1:31" ht="16" thickBot="1">
      <c r="A413" s="555" t="str">
        <f t="shared" si="33"/>
        <v>34.13</v>
      </c>
      <c r="B413" s="782" t="s">
        <v>1449</v>
      </c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83"/>
      <c r="N413" s="783"/>
      <c r="O413" s="784"/>
      <c r="P413" s="779" t="str">
        <f t="shared" si="32"/>
        <v>м</v>
      </c>
      <c r="Q413" s="780"/>
      <c r="R413" s="1284">
        <f>24.05*2</f>
        <v>48.1</v>
      </c>
      <c r="S413" s="1285"/>
      <c r="T413" s="1286"/>
      <c r="U413" s="556">
        <f t="shared" si="34"/>
        <v>34</v>
      </c>
      <c r="V413" s="558">
        <f t="shared" si="35"/>
        <v>13</v>
      </c>
      <c r="W413" s="557"/>
      <c r="X413" s="557"/>
      <c r="Y413" s="557"/>
      <c r="Z413" s="557"/>
      <c r="AA413" s="557"/>
      <c r="AB413" s="605" t="s">
        <v>1370</v>
      </c>
      <c r="AC413" s="606" t="s">
        <v>1159</v>
      </c>
      <c r="AD413" s="628">
        <v>49</v>
      </c>
      <c r="AE413" s="588"/>
    </row>
    <row r="414" spans="1:31" ht="29.5" thickBot="1">
      <c r="A414" s="555" t="str">
        <f t="shared" si="33"/>
        <v>34.14</v>
      </c>
      <c r="B414" s="782" t="s">
        <v>1260</v>
      </c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83"/>
      <c r="N414" s="783"/>
      <c r="O414" s="784"/>
      <c r="P414" s="779" t="str">
        <f t="shared" si="32"/>
        <v>шт</v>
      </c>
      <c r="Q414" s="780"/>
      <c r="R414" s="1284">
        <v>4</v>
      </c>
      <c r="S414" s="1285"/>
      <c r="T414" s="1286"/>
      <c r="U414" s="556">
        <f t="shared" si="34"/>
        <v>34</v>
      </c>
      <c r="V414" s="558">
        <f t="shared" si="35"/>
        <v>14</v>
      </c>
      <c r="W414" s="557"/>
      <c r="X414" s="557"/>
      <c r="Y414" s="557"/>
      <c r="Z414" s="557"/>
      <c r="AA414" s="557"/>
      <c r="AB414" s="605" t="s">
        <v>1260</v>
      </c>
      <c r="AC414" s="606" t="s">
        <v>1161</v>
      </c>
      <c r="AD414" s="628">
        <v>8</v>
      </c>
      <c r="AE414" s="588"/>
    </row>
    <row r="415" spans="1:31" ht="29.5" thickBot="1">
      <c r="A415" s="555" t="str">
        <f t="shared" si="33"/>
        <v>34.15</v>
      </c>
      <c r="B415" s="782" t="s">
        <v>1422</v>
      </c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83"/>
      <c r="N415" s="783"/>
      <c r="O415" s="784"/>
      <c r="P415" s="779" t="str">
        <f t="shared" si="32"/>
        <v>м3</v>
      </c>
      <c r="Q415" s="780"/>
      <c r="R415" s="1287">
        <f>R407</f>
        <v>0.5625</v>
      </c>
      <c r="S415" s="1285"/>
      <c r="T415" s="1286"/>
      <c r="U415" s="556">
        <f t="shared" si="34"/>
        <v>34</v>
      </c>
      <c r="V415" s="558">
        <f t="shared" si="35"/>
        <v>15</v>
      </c>
      <c r="W415" s="557"/>
      <c r="X415" s="557"/>
      <c r="Y415" s="557"/>
      <c r="Z415" s="557"/>
      <c r="AA415" s="557"/>
      <c r="AB415" s="605" t="s">
        <v>1371</v>
      </c>
      <c r="AC415" s="606" t="s">
        <v>1163</v>
      </c>
      <c r="AD415" s="628">
        <v>3.52</v>
      </c>
      <c r="AE415" s="588"/>
    </row>
    <row r="416" spans="1:31" ht="22.9" customHeight="1" thickBot="1">
      <c r="A416" s="555" t="str">
        <f t="shared" si="33"/>
        <v>34.16</v>
      </c>
      <c r="B416" s="782" t="s">
        <v>1414</v>
      </c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83"/>
      <c r="N416" s="783"/>
      <c r="O416" s="784"/>
      <c r="P416" s="779" t="str">
        <f t="shared" si="32"/>
        <v>шт</v>
      </c>
      <c r="Q416" s="780"/>
      <c r="R416" s="1284">
        <f>ROUND(X366*2/0.48,0)</f>
        <v>31</v>
      </c>
      <c r="S416" s="1285"/>
      <c r="T416" s="1286"/>
      <c r="U416" s="556">
        <f t="shared" si="34"/>
        <v>34</v>
      </c>
      <c r="V416" s="558">
        <f t="shared" si="35"/>
        <v>16</v>
      </c>
      <c r="W416" s="557"/>
      <c r="X416" s="557"/>
      <c r="Y416" s="557"/>
      <c r="Z416" s="557"/>
      <c r="AA416" s="557"/>
      <c r="AB416" s="605" t="s">
        <v>1372</v>
      </c>
      <c r="AC416" s="606" t="s">
        <v>1161</v>
      </c>
      <c r="AD416" s="628">
        <v>62</v>
      </c>
      <c r="AE416" s="588"/>
    </row>
    <row r="417" spans="1:31" ht="29.5" thickBot="1">
      <c r="A417" s="555" t="str">
        <f t="shared" si="33"/>
        <v>34.17</v>
      </c>
      <c r="B417" s="782" t="s">
        <v>1420</v>
      </c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83"/>
      <c r="N417" s="783"/>
      <c r="O417" s="784"/>
      <c r="P417" s="779" t="str">
        <f t="shared" si="32"/>
        <v>м3</v>
      </c>
      <c r="Q417" s="780"/>
      <c r="R417" s="1287">
        <f>ROUND(X366*0.425,2)-R415-R407</f>
        <v>2.0649999999999999</v>
      </c>
      <c r="S417" s="1285"/>
      <c r="T417" s="1286"/>
      <c r="U417" s="556">
        <f t="shared" si="34"/>
        <v>34</v>
      </c>
      <c r="V417" s="558">
        <f t="shared" si="35"/>
        <v>17</v>
      </c>
      <c r="W417" s="557"/>
      <c r="X417" s="557"/>
      <c r="Y417" s="557"/>
      <c r="Z417" s="557"/>
      <c r="AA417" s="557"/>
      <c r="AB417" s="605" t="s">
        <v>1373</v>
      </c>
      <c r="AC417" s="606" t="s">
        <v>1163</v>
      </c>
      <c r="AD417" s="629">
        <v>12.92</v>
      </c>
      <c r="AE417" s="588"/>
    </row>
    <row r="418" spans="1:31" ht="30.75" customHeight="1" thickBot="1">
      <c r="A418" s="555" t="str">
        <f t="shared" si="33"/>
        <v>34.18</v>
      </c>
      <c r="B418" s="782" t="s">
        <v>1415</v>
      </c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83"/>
      <c r="N418" s="783"/>
      <c r="O418" s="784"/>
      <c r="P418" s="779" t="str">
        <f t="shared" si="32"/>
        <v>т.</v>
      </c>
      <c r="Q418" s="780"/>
      <c r="R418" s="1287">
        <f>(ROUND(X366*0.425,2)-R417)</f>
        <v>1.125</v>
      </c>
      <c r="S418" s="1285"/>
      <c r="T418" s="1286"/>
      <c r="U418" s="556">
        <f t="shared" si="34"/>
        <v>34</v>
      </c>
      <c r="V418" s="558">
        <f t="shared" si="35"/>
        <v>18</v>
      </c>
      <c r="W418" s="557"/>
      <c r="X418" s="557"/>
      <c r="Y418" s="557"/>
      <c r="Z418" s="557"/>
      <c r="AA418" s="557"/>
      <c r="AB418" s="605" t="s">
        <v>1374</v>
      </c>
      <c r="AC418" s="606" t="s">
        <v>1244</v>
      </c>
      <c r="AD418" s="629">
        <v>12.69</v>
      </c>
      <c r="AE418" s="588"/>
    </row>
    <row r="419" spans="1:31" ht="54.75" customHeight="1" thickBot="1">
      <c r="A419" s="555" t="str">
        <f t="shared" si="33"/>
        <v>34.19</v>
      </c>
      <c r="B419" s="782" t="s">
        <v>1266</v>
      </c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83"/>
      <c r="N419" s="783"/>
      <c r="O419" s="784"/>
      <c r="P419" s="779" t="str">
        <f t="shared" si="32"/>
        <v>т.</v>
      </c>
      <c r="Q419" s="780"/>
      <c r="R419" s="1287">
        <f>R418</f>
        <v>1.125</v>
      </c>
      <c r="S419" s="1285"/>
      <c r="T419" s="1286"/>
      <c r="U419" s="556">
        <f t="shared" si="34"/>
        <v>34</v>
      </c>
      <c r="V419" s="558">
        <f t="shared" si="35"/>
        <v>19</v>
      </c>
      <c r="W419" s="557"/>
      <c r="X419" s="557"/>
      <c r="Y419" s="557"/>
      <c r="Z419" s="557"/>
      <c r="AA419" s="557"/>
      <c r="AB419" s="605" t="s">
        <v>1266</v>
      </c>
      <c r="AC419" s="606" t="s">
        <v>1244</v>
      </c>
      <c r="AD419" s="629">
        <v>12.69</v>
      </c>
      <c r="AE419" s="588"/>
    </row>
    <row r="420" spans="1:31" ht="29.5" thickBot="1">
      <c r="A420" s="555" t="str">
        <f t="shared" si="33"/>
        <v>34.20</v>
      </c>
      <c r="B420" s="782" t="s">
        <v>1267</v>
      </c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83"/>
      <c r="N420" s="783"/>
      <c r="O420" s="784"/>
      <c r="P420" s="779" t="str">
        <f t="shared" si="32"/>
        <v>компл</v>
      </c>
      <c r="Q420" s="780"/>
      <c r="R420" s="1284" t="str">
        <f t="shared" ref="R420:R430" si="36">CONCATENATE(AD420)</f>
        <v>4</v>
      </c>
      <c r="S420" s="1285"/>
      <c r="T420" s="1286"/>
      <c r="U420" s="556">
        <f t="shared" si="34"/>
        <v>34</v>
      </c>
      <c r="V420" s="558">
        <f t="shared" si="35"/>
        <v>20</v>
      </c>
      <c r="W420" s="557"/>
      <c r="X420" s="557"/>
      <c r="Y420" s="557"/>
      <c r="Z420" s="557"/>
      <c r="AA420" s="557"/>
      <c r="AB420" s="605" t="s">
        <v>1267</v>
      </c>
      <c r="AC420" s="606" t="s">
        <v>1162</v>
      </c>
      <c r="AD420" s="628">
        <v>4</v>
      </c>
      <c r="AE420" s="588"/>
    </row>
    <row r="421" spans="1:31" ht="24" customHeight="1" thickBot="1">
      <c r="A421" s="555" t="str">
        <f t="shared" si="33"/>
        <v>34.21</v>
      </c>
      <c r="B421" s="782" t="s">
        <v>1268</v>
      </c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83"/>
      <c r="N421" s="783"/>
      <c r="O421" s="784"/>
      <c r="P421" s="779" t="str">
        <f t="shared" si="32"/>
        <v>шт</v>
      </c>
      <c r="Q421" s="780"/>
      <c r="R421" s="1284" t="str">
        <f t="shared" si="36"/>
        <v>8</v>
      </c>
      <c r="S421" s="1285"/>
      <c r="T421" s="1286"/>
      <c r="U421" s="556">
        <f t="shared" si="34"/>
        <v>34</v>
      </c>
      <c r="V421" s="558">
        <f t="shared" si="35"/>
        <v>21</v>
      </c>
      <c r="W421" s="557"/>
      <c r="X421" s="557"/>
      <c r="Y421" s="557"/>
      <c r="Z421" s="557"/>
      <c r="AA421" s="557"/>
      <c r="AB421" s="605" t="s">
        <v>1268</v>
      </c>
      <c r="AC421" s="606" t="s">
        <v>1161</v>
      </c>
      <c r="AD421" s="628">
        <v>8</v>
      </c>
      <c r="AE421" s="588"/>
    </row>
    <row r="422" spans="1:31" ht="16" thickBot="1">
      <c r="A422" s="555" t="str">
        <f t="shared" si="33"/>
        <v>34.22</v>
      </c>
      <c r="B422" s="782" t="s">
        <v>1269</v>
      </c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83"/>
      <c r="N422" s="783"/>
      <c r="O422" s="784"/>
      <c r="P422" s="779" t="str">
        <f t="shared" si="32"/>
        <v>шт</v>
      </c>
      <c r="Q422" s="780"/>
      <c r="R422" s="1284" t="str">
        <f t="shared" si="36"/>
        <v>8</v>
      </c>
      <c r="S422" s="1285"/>
      <c r="T422" s="1286"/>
      <c r="U422" s="556">
        <f t="shared" si="34"/>
        <v>34</v>
      </c>
      <c r="V422" s="558">
        <f t="shared" si="35"/>
        <v>22</v>
      </c>
      <c r="W422" s="557"/>
      <c r="X422" s="557"/>
      <c r="Y422" s="557"/>
      <c r="Z422" s="557"/>
      <c r="AA422" s="557"/>
      <c r="AB422" s="605" t="s">
        <v>1269</v>
      </c>
      <c r="AC422" s="606" t="s">
        <v>1161</v>
      </c>
      <c r="AD422" s="628">
        <v>8</v>
      </c>
      <c r="AE422" s="588"/>
    </row>
    <row r="423" spans="1:31" ht="16" thickBot="1">
      <c r="A423" s="555" t="str">
        <f t="shared" si="33"/>
        <v>34.23</v>
      </c>
      <c r="B423" s="782" t="s">
        <v>1270</v>
      </c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83"/>
      <c r="N423" s="783"/>
      <c r="O423" s="784"/>
      <c r="P423" s="779" t="str">
        <f t="shared" si="32"/>
        <v>шт</v>
      </c>
      <c r="Q423" s="780"/>
      <c r="R423" s="1284" t="str">
        <f t="shared" si="36"/>
        <v>4</v>
      </c>
      <c r="S423" s="1285"/>
      <c r="T423" s="1286"/>
      <c r="U423" s="556">
        <f t="shared" si="34"/>
        <v>34</v>
      </c>
      <c r="V423" s="558">
        <f t="shared" si="35"/>
        <v>23</v>
      </c>
      <c r="W423" s="557"/>
      <c r="X423" s="557"/>
      <c r="Y423" s="557"/>
      <c r="Z423" s="557"/>
      <c r="AA423" s="557"/>
      <c r="AB423" s="605" t="s">
        <v>1270</v>
      </c>
      <c r="AC423" s="606" t="s">
        <v>1161</v>
      </c>
      <c r="AD423" s="628">
        <v>4</v>
      </c>
      <c r="AE423" s="588"/>
    </row>
    <row r="424" spans="1:31" ht="16" thickBot="1">
      <c r="A424" s="554" t="str">
        <f t="shared" si="33"/>
        <v>34.</v>
      </c>
      <c r="B424" s="785" t="s">
        <v>1219</v>
      </c>
      <c r="C424" s="786"/>
      <c r="D424" s="786"/>
      <c r="E424" s="786"/>
      <c r="F424" s="786"/>
      <c r="G424" s="786"/>
      <c r="H424" s="786"/>
      <c r="I424" s="786"/>
      <c r="J424" s="786"/>
      <c r="K424" s="786"/>
      <c r="L424" s="786"/>
      <c r="M424" s="786"/>
      <c r="N424" s="786"/>
      <c r="O424" s="787"/>
      <c r="P424" s="779" t="str">
        <f t="shared" si="32"/>
        <v/>
      </c>
      <c r="Q424" s="780"/>
      <c r="R424" s="1284" t="str">
        <f t="shared" si="36"/>
        <v/>
      </c>
      <c r="S424" s="1285"/>
      <c r="T424" s="1286"/>
      <c r="U424" s="556">
        <v>34</v>
      </c>
      <c r="V424" s="558"/>
      <c r="W424" s="557"/>
      <c r="X424" s="557"/>
      <c r="Y424" s="557"/>
      <c r="Z424" s="557"/>
      <c r="AA424" s="557"/>
      <c r="AB424" s="602" t="s">
        <v>1219</v>
      </c>
      <c r="AC424" s="603"/>
      <c r="AD424" s="630"/>
      <c r="AE424" s="588"/>
    </row>
    <row r="425" spans="1:31" ht="16" thickBot="1">
      <c r="A425" s="555" t="str">
        <f t="shared" si="33"/>
        <v>34.1</v>
      </c>
      <c r="B425" s="782" t="s">
        <v>1220</v>
      </c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83"/>
      <c r="N425" s="783"/>
      <c r="O425" s="784"/>
      <c r="P425" s="779" t="str">
        <f t="shared" si="32"/>
        <v>шт.</v>
      </c>
      <c r="Q425" s="780"/>
      <c r="R425" s="1284" t="str">
        <f t="shared" si="36"/>
        <v>2</v>
      </c>
      <c r="S425" s="1285"/>
      <c r="T425" s="1286"/>
      <c r="U425" s="556">
        <f t="shared" si="34"/>
        <v>34</v>
      </c>
      <c r="V425" s="558">
        <f t="shared" si="35"/>
        <v>1</v>
      </c>
      <c r="W425" s="557"/>
      <c r="X425" s="557"/>
      <c r="Y425" s="557"/>
      <c r="Z425" s="557"/>
      <c r="AA425" s="557"/>
      <c r="AB425" s="605" t="s">
        <v>1220</v>
      </c>
      <c r="AC425" s="606" t="s">
        <v>1194</v>
      </c>
      <c r="AD425" s="628">
        <v>2</v>
      </c>
      <c r="AE425" s="588"/>
    </row>
    <row r="426" spans="1:31" ht="21.75" customHeight="1" thickBot="1">
      <c r="A426" s="555" t="str">
        <f t="shared" si="33"/>
        <v>34.2</v>
      </c>
      <c r="B426" s="782" t="s">
        <v>1271</v>
      </c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83"/>
      <c r="N426" s="783"/>
      <c r="O426" s="784"/>
      <c r="P426" s="779" t="str">
        <f t="shared" si="32"/>
        <v>изм.</v>
      </c>
      <c r="Q426" s="780"/>
      <c r="R426" s="1284" t="str">
        <f t="shared" si="36"/>
        <v>2</v>
      </c>
      <c r="S426" s="1285"/>
      <c r="T426" s="1286"/>
      <c r="U426" s="556">
        <f t="shared" si="34"/>
        <v>34</v>
      </c>
      <c r="V426" s="558">
        <f t="shared" si="35"/>
        <v>2</v>
      </c>
      <c r="W426" s="557"/>
      <c r="X426" s="557"/>
      <c r="Y426" s="557"/>
      <c r="Z426" s="557"/>
      <c r="AA426" s="557"/>
      <c r="AB426" s="605" t="s">
        <v>1271</v>
      </c>
      <c r="AC426" s="606" t="s">
        <v>1213</v>
      </c>
      <c r="AD426" s="628">
        <v>2</v>
      </c>
      <c r="AE426" s="588"/>
    </row>
    <row r="427" spans="1:31" ht="16" thickBot="1">
      <c r="A427" s="555" t="str">
        <f t="shared" si="33"/>
        <v>34.3</v>
      </c>
      <c r="B427" s="782" t="s">
        <v>1272</v>
      </c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83"/>
      <c r="N427" s="783"/>
      <c r="O427" s="784"/>
      <c r="P427" s="779" t="str">
        <f t="shared" si="32"/>
        <v>изм.</v>
      </c>
      <c r="Q427" s="780"/>
      <c r="R427" s="1284" t="str">
        <f t="shared" si="36"/>
        <v>3</v>
      </c>
      <c r="S427" s="1285"/>
      <c r="T427" s="1286"/>
      <c r="U427" s="556">
        <f t="shared" si="34"/>
        <v>34</v>
      </c>
      <c r="V427" s="558">
        <f t="shared" si="35"/>
        <v>3</v>
      </c>
      <c r="W427" s="557"/>
      <c r="X427" s="557"/>
      <c r="Y427" s="557"/>
      <c r="Z427" s="557"/>
      <c r="AA427" s="557"/>
      <c r="AB427" s="605" t="s">
        <v>1272</v>
      </c>
      <c r="AC427" s="606" t="s">
        <v>1213</v>
      </c>
      <c r="AD427" s="628">
        <v>3</v>
      </c>
      <c r="AE427" s="588"/>
    </row>
    <row r="428" spans="1:31" ht="29.5" thickBot="1">
      <c r="A428" s="555" t="str">
        <f t="shared" si="33"/>
        <v>34.4</v>
      </c>
      <c r="B428" s="782" t="s">
        <v>1221</v>
      </c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83"/>
      <c r="N428" s="783"/>
      <c r="O428" s="784"/>
      <c r="P428" s="779" t="str">
        <f t="shared" si="32"/>
        <v>изм.</v>
      </c>
      <c r="Q428" s="780"/>
      <c r="R428" s="1284" t="str">
        <f t="shared" si="36"/>
        <v>4</v>
      </c>
      <c r="S428" s="1285"/>
      <c r="T428" s="1286"/>
      <c r="U428" s="556">
        <f t="shared" si="34"/>
        <v>34</v>
      </c>
      <c r="V428" s="558">
        <f t="shared" si="35"/>
        <v>4</v>
      </c>
      <c r="W428" s="557"/>
      <c r="X428" s="557"/>
      <c r="Y428" s="557"/>
      <c r="Z428" s="557"/>
      <c r="AA428" s="557"/>
      <c r="AB428" s="605" t="s">
        <v>1221</v>
      </c>
      <c r="AC428" s="606" t="s">
        <v>1213</v>
      </c>
      <c r="AD428" s="628">
        <v>4</v>
      </c>
      <c r="AE428" s="588"/>
    </row>
    <row r="429" spans="1:31" ht="29.5" thickBot="1">
      <c r="A429" s="555" t="str">
        <f t="shared" si="33"/>
        <v>34.5</v>
      </c>
      <c r="B429" s="782" t="s">
        <v>1273</v>
      </c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83"/>
      <c r="N429" s="783"/>
      <c r="O429" s="784"/>
      <c r="P429" s="779" t="str">
        <f t="shared" si="32"/>
        <v>изм.</v>
      </c>
      <c r="Q429" s="780"/>
      <c r="R429" s="1284" t="str">
        <f t="shared" si="36"/>
        <v>1</v>
      </c>
      <c r="S429" s="1285"/>
      <c r="T429" s="1286"/>
      <c r="U429" s="556">
        <f t="shared" si="34"/>
        <v>34</v>
      </c>
      <c r="V429" s="558">
        <f t="shared" si="35"/>
        <v>5</v>
      </c>
      <c r="W429" s="557"/>
      <c r="X429" s="557"/>
      <c r="Y429" s="557"/>
      <c r="Z429" s="557"/>
      <c r="AA429" s="557"/>
      <c r="AB429" s="605" t="s">
        <v>1273</v>
      </c>
      <c r="AC429" s="606" t="s">
        <v>1213</v>
      </c>
      <c r="AD429" s="628">
        <v>1</v>
      </c>
      <c r="AE429" s="588"/>
    </row>
    <row r="430" spans="1:31" ht="29.5" thickBot="1">
      <c r="A430" s="555" t="str">
        <f t="shared" si="33"/>
        <v>34.6</v>
      </c>
      <c r="B430" s="782" t="s">
        <v>1274</v>
      </c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83"/>
      <c r="N430" s="783"/>
      <c r="O430" s="784"/>
      <c r="P430" s="779" t="str">
        <f t="shared" si="32"/>
        <v>точек</v>
      </c>
      <c r="Q430" s="780"/>
      <c r="R430" s="1284" t="str">
        <f t="shared" si="36"/>
        <v>1</v>
      </c>
      <c r="S430" s="1285"/>
      <c r="T430" s="1286"/>
      <c r="U430" s="556">
        <f t="shared" si="34"/>
        <v>34</v>
      </c>
      <c r="V430" s="558">
        <f t="shared" si="35"/>
        <v>6</v>
      </c>
      <c r="W430" s="557"/>
      <c r="X430" s="557"/>
      <c r="Y430" s="557"/>
      <c r="Z430" s="557"/>
      <c r="AA430" s="557"/>
      <c r="AB430" s="605" t="s">
        <v>1274</v>
      </c>
      <c r="AC430" s="606" t="s">
        <v>1164</v>
      </c>
      <c r="AD430" s="628">
        <v>1</v>
      </c>
      <c r="AE430" s="588"/>
    </row>
    <row r="431" spans="1:31" ht="16" thickBot="1">
      <c r="A431" s="555" t="str">
        <f t="shared" si="33"/>
        <v>34.7</v>
      </c>
      <c r="B431" s="782" t="s">
        <v>1275</v>
      </c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83"/>
      <c r="N431" s="783"/>
      <c r="O431" s="784"/>
      <c r="P431" s="779" t="str">
        <f t="shared" si="32"/>
        <v>км</v>
      </c>
      <c r="Q431" s="780"/>
      <c r="R431" s="1284">
        <f>R366/1000</f>
        <v>3.15E-2</v>
      </c>
      <c r="S431" s="1285"/>
      <c r="T431" s="1286"/>
      <c r="U431" s="556">
        <f t="shared" si="34"/>
        <v>34</v>
      </c>
      <c r="V431" s="558">
        <f t="shared" si="35"/>
        <v>7</v>
      </c>
      <c r="W431" s="557"/>
      <c r="X431" s="557"/>
      <c r="Y431" s="557"/>
      <c r="Z431" s="557"/>
      <c r="AA431" s="557"/>
      <c r="AB431" s="625" t="s">
        <v>1275</v>
      </c>
      <c r="AC431" s="626" t="s">
        <v>1192</v>
      </c>
      <c r="AD431" s="631">
        <v>4.7E-2</v>
      </c>
      <c r="AE431" s="588"/>
    </row>
    <row r="432" spans="1:31" ht="16" thickBot="1">
      <c r="A432" s="555"/>
      <c r="B432" s="785" t="s">
        <v>1375</v>
      </c>
      <c r="C432" s="786"/>
      <c r="D432" s="786"/>
      <c r="E432" s="786"/>
      <c r="F432" s="786"/>
      <c r="G432" s="786"/>
      <c r="H432" s="786"/>
      <c r="I432" s="786"/>
      <c r="J432" s="786"/>
      <c r="K432" s="786"/>
      <c r="L432" s="786"/>
      <c r="M432" s="786"/>
      <c r="N432" s="786"/>
      <c r="O432" s="787"/>
      <c r="P432" s="779" t="str">
        <f t="shared" si="32"/>
        <v/>
      </c>
      <c r="Q432" s="780"/>
      <c r="R432" s="1284" t="str">
        <f>CONCATENATE(AD432)</f>
        <v/>
      </c>
      <c r="S432" s="1285"/>
      <c r="T432" s="1286"/>
      <c r="U432" s="556">
        <f t="shared" si="34"/>
        <v>34</v>
      </c>
      <c r="V432" s="558">
        <f t="shared" si="35"/>
        <v>8</v>
      </c>
      <c r="W432" s="557"/>
      <c r="X432" s="557"/>
      <c r="Y432" s="557"/>
      <c r="Z432" s="557"/>
      <c r="AA432" s="557"/>
      <c r="AB432" s="642" t="s">
        <v>1375</v>
      </c>
      <c r="AC432" s="608"/>
      <c r="AD432" s="644"/>
      <c r="AE432" s="588"/>
    </row>
    <row r="433" spans="1:31" ht="16" thickBot="1">
      <c r="A433" s="554" t="str">
        <f t="shared" si="33"/>
        <v>35.</v>
      </c>
      <c r="B433" s="785" t="s">
        <v>1191</v>
      </c>
      <c r="C433" s="786"/>
      <c r="D433" s="786"/>
      <c r="E433" s="786"/>
      <c r="F433" s="786"/>
      <c r="G433" s="786"/>
      <c r="H433" s="786"/>
      <c r="I433" s="786"/>
      <c r="J433" s="786"/>
      <c r="K433" s="786"/>
      <c r="L433" s="786"/>
      <c r="M433" s="786"/>
      <c r="N433" s="786"/>
      <c r="O433" s="787"/>
      <c r="P433" s="779" t="str">
        <f t="shared" si="32"/>
        <v/>
      </c>
      <c r="Q433" s="780"/>
      <c r="R433" s="1284" t="str">
        <f>CONCATENATE(AD433)</f>
        <v/>
      </c>
      <c r="S433" s="1285"/>
      <c r="T433" s="1286"/>
      <c r="U433" s="556">
        <v>35</v>
      </c>
      <c r="V433" s="558"/>
      <c r="W433" s="557"/>
      <c r="X433" s="557"/>
      <c r="Y433" s="557"/>
      <c r="Z433" s="557"/>
      <c r="AA433" s="557"/>
      <c r="AB433" s="602" t="s">
        <v>1191</v>
      </c>
      <c r="AC433" s="603"/>
      <c r="AD433" s="630"/>
      <c r="AE433" s="588"/>
    </row>
    <row r="434" spans="1:31" ht="29.5" thickBot="1">
      <c r="A434" s="555" t="str">
        <f t="shared" si="33"/>
        <v>35.1</v>
      </c>
      <c r="B434" s="782" t="s">
        <v>1277</v>
      </c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83"/>
      <c r="N434" s="783"/>
      <c r="O434" s="784"/>
      <c r="P434" s="779" t="str">
        <f t="shared" si="32"/>
        <v>м.</v>
      </c>
      <c r="Q434" s="780"/>
      <c r="R434" s="1284">
        <f>5.7+24+1.5+1+23+5</f>
        <v>60.2</v>
      </c>
      <c r="S434" s="1285"/>
      <c r="T434" s="1286"/>
      <c r="U434" s="556">
        <f t="shared" si="34"/>
        <v>35</v>
      </c>
      <c r="V434" s="558">
        <f t="shared" si="35"/>
        <v>1</v>
      </c>
      <c r="W434" s="557"/>
      <c r="X434" s="600">
        <f>5.7+1.5+1+5</f>
        <v>13.2</v>
      </c>
      <c r="Y434" s="557"/>
      <c r="Z434" s="557"/>
      <c r="AA434" s="557"/>
      <c r="AB434" s="605" t="s">
        <v>1277</v>
      </c>
      <c r="AC434" s="606" t="s">
        <v>193</v>
      </c>
      <c r="AD434" s="628">
        <v>74</v>
      </c>
      <c r="AE434" s="588"/>
    </row>
    <row r="435" spans="1:31" ht="16" thickBot="1">
      <c r="A435" s="555" t="str">
        <f t="shared" si="33"/>
        <v>35.2</v>
      </c>
      <c r="B435" s="782" t="s">
        <v>1195</v>
      </c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83"/>
      <c r="N435" s="783"/>
      <c r="O435" s="784"/>
      <c r="P435" s="779" t="str">
        <f t="shared" si="32"/>
        <v/>
      </c>
      <c r="Q435" s="780"/>
      <c r="R435" s="1284" t="str">
        <f>CONCATENATE(AD435)</f>
        <v/>
      </c>
      <c r="S435" s="1285"/>
      <c r="T435" s="1286"/>
      <c r="U435" s="556">
        <f t="shared" si="34"/>
        <v>35</v>
      </c>
      <c r="V435" s="558">
        <f t="shared" si="35"/>
        <v>2</v>
      </c>
      <c r="W435" s="557"/>
      <c r="X435" s="557"/>
      <c r="Y435" s="557"/>
      <c r="Z435" s="557"/>
      <c r="AA435" s="557"/>
      <c r="AB435" s="602" t="s">
        <v>1195</v>
      </c>
      <c r="AC435" s="603"/>
      <c r="AD435" s="630"/>
      <c r="AE435" s="588"/>
    </row>
    <row r="436" spans="1:31" ht="28.9" customHeight="1">
      <c r="A436" s="555" t="str">
        <f t="shared" si="33"/>
        <v>35.3</v>
      </c>
      <c r="B436" s="782" t="s">
        <v>1247</v>
      </c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83"/>
      <c r="N436" s="783"/>
      <c r="O436" s="784"/>
      <c r="P436" s="779" t="str">
        <f t="shared" si="32"/>
        <v>т.</v>
      </c>
      <c r="Q436" s="780"/>
      <c r="R436" s="1287">
        <f>6.46*SUM(R476,R477,R479,R481)/1000</f>
        <v>0.80251287999999998</v>
      </c>
      <c r="S436" s="1288"/>
      <c r="T436" s="1289"/>
      <c r="U436" s="556">
        <f t="shared" si="34"/>
        <v>35</v>
      </c>
      <c r="V436" s="558">
        <f t="shared" si="35"/>
        <v>3</v>
      </c>
      <c r="W436" s="557"/>
      <c r="X436" s="557"/>
      <c r="Y436" s="557"/>
      <c r="Z436" s="557"/>
      <c r="AA436" s="557"/>
      <c r="AB436" s="624" t="s">
        <v>1247</v>
      </c>
      <c r="AC436" s="613" t="s">
        <v>1244</v>
      </c>
      <c r="AD436" s="640">
        <v>0.88100000000000001</v>
      </c>
      <c r="AE436" s="588"/>
    </row>
    <row r="437" spans="1:31" ht="29.5" thickBot="1">
      <c r="A437" s="555" t="str">
        <f t="shared" si="33"/>
        <v>35.4</v>
      </c>
      <c r="B437" s="782" t="s">
        <v>1248</v>
      </c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83"/>
      <c r="N437" s="783"/>
      <c r="O437" s="784"/>
      <c r="P437" s="779" t="str">
        <f t="shared" si="32"/>
        <v>т.</v>
      </c>
      <c r="Q437" s="780"/>
      <c r="R437" s="1284" t="str">
        <f>CONCATENATE(AD437)</f>
        <v>0,471</v>
      </c>
      <c r="S437" s="1285"/>
      <c r="T437" s="1286"/>
      <c r="U437" s="556">
        <f t="shared" si="34"/>
        <v>35</v>
      </c>
      <c r="V437" s="558">
        <f t="shared" si="35"/>
        <v>4</v>
      </c>
      <c r="W437" s="557"/>
      <c r="X437" s="557"/>
      <c r="Y437" s="557"/>
      <c r="Z437" s="557"/>
      <c r="AA437" s="557"/>
      <c r="AB437" s="605" t="s">
        <v>1248</v>
      </c>
      <c r="AC437" s="606" t="s">
        <v>1244</v>
      </c>
      <c r="AD437" s="629">
        <v>0.47099999999999997</v>
      </c>
      <c r="AE437" s="588"/>
    </row>
    <row r="438" spans="1:31" ht="63.75" customHeight="1">
      <c r="A438" s="555" t="str">
        <f t="shared" si="33"/>
        <v>35.5</v>
      </c>
      <c r="B438" s="782" t="s">
        <v>1245</v>
      </c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83"/>
      <c r="N438" s="783"/>
      <c r="O438" s="784"/>
      <c r="P438" s="779" t="str">
        <f t="shared" si="32"/>
        <v>т.</v>
      </c>
      <c r="Q438" s="780"/>
      <c r="R438" s="1284" t="str">
        <f>CONCATENATE(AD438)</f>
        <v>1,352</v>
      </c>
      <c r="S438" s="1285"/>
      <c r="T438" s="1286"/>
      <c r="U438" s="556">
        <f t="shared" si="34"/>
        <v>35</v>
      </c>
      <c r="V438" s="558">
        <f t="shared" si="35"/>
        <v>5</v>
      </c>
      <c r="W438" s="557"/>
      <c r="X438" s="557"/>
      <c r="Y438" s="557"/>
      <c r="Z438" s="557"/>
      <c r="AA438" s="557"/>
      <c r="AB438" s="624" t="s">
        <v>1245</v>
      </c>
      <c r="AC438" s="613" t="s">
        <v>1244</v>
      </c>
      <c r="AD438" s="640">
        <v>1.3520000000000001</v>
      </c>
      <c r="AE438" s="588"/>
    </row>
    <row r="439" spans="1:31" ht="29.5" thickBot="1">
      <c r="A439" s="555" t="str">
        <f t="shared" si="33"/>
        <v>35.6</v>
      </c>
      <c r="B439" s="782" t="s">
        <v>1199</v>
      </c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83"/>
      <c r="N439" s="783"/>
      <c r="O439" s="784"/>
      <c r="P439" s="779" t="str">
        <f t="shared" ref="P439:P520" si="37">CONCATENATE(AC439)</f>
        <v>т.</v>
      </c>
      <c r="Q439" s="780"/>
      <c r="R439" s="1284">
        <f>ROUND(X19*SUM(R475,R483),2)</f>
        <v>3.55</v>
      </c>
      <c r="S439" s="1285"/>
      <c r="T439" s="1286"/>
      <c r="U439" s="556">
        <f t="shared" si="34"/>
        <v>35</v>
      </c>
      <c r="V439" s="558">
        <f t="shared" si="35"/>
        <v>6</v>
      </c>
      <c r="W439" s="557"/>
      <c r="X439" s="557"/>
      <c r="Y439" s="557"/>
      <c r="Z439" s="557"/>
      <c r="AA439" s="557"/>
      <c r="AB439" s="605" t="s">
        <v>1199</v>
      </c>
      <c r="AC439" s="606" t="s">
        <v>1244</v>
      </c>
      <c r="AD439" s="629">
        <v>19.36</v>
      </c>
      <c r="AE439" s="588"/>
    </row>
    <row r="440" spans="1:31" ht="30.65" customHeight="1" thickBot="1">
      <c r="A440" s="555" t="str">
        <f t="shared" si="33"/>
        <v>35.7</v>
      </c>
      <c r="B440" s="782" t="s">
        <v>1249</v>
      </c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83"/>
      <c r="N440" s="783"/>
      <c r="O440" s="784"/>
      <c r="P440" s="779" t="str">
        <f t="shared" si="37"/>
        <v>т.</v>
      </c>
      <c r="Q440" s="780"/>
      <c r="R440" s="1284">
        <f>R439</f>
        <v>3.55</v>
      </c>
      <c r="S440" s="1285"/>
      <c r="T440" s="1286"/>
      <c r="U440" s="556">
        <f t="shared" si="34"/>
        <v>35</v>
      </c>
      <c r="V440" s="558">
        <f t="shared" si="35"/>
        <v>7</v>
      </c>
      <c r="W440" s="557"/>
      <c r="X440" s="557"/>
      <c r="Y440" s="557"/>
      <c r="Z440" s="557"/>
      <c r="AA440" s="557"/>
      <c r="AB440" s="605" t="s">
        <v>1249</v>
      </c>
      <c r="AC440" s="606" t="s">
        <v>1244</v>
      </c>
      <c r="AD440" s="629">
        <v>19.36</v>
      </c>
      <c r="AE440" s="588"/>
    </row>
    <row r="441" spans="1:31" ht="29.5" thickBot="1">
      <c r="A441" s="555" t="str">
        <f t="shared" si="33"/>
        <v>35.8</v>
      </c>
      <c r="B441" s="782" t="s">
        <v>1200</v>
      </c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83"/>
      <c r="N441" s="783"/>
      <c r="O441" s="784"/>
      <c r="P441" s="779" t="str">
        <f t="shared" si="37"/>
        <v>т.</v>
      </c>
      <c r="Q441" s="780"/>
      <c r="R441" s="1284" t="str">
        <f>CONCATENATE(AD441)</f>
        <v>0,05</v>
      </c>
      <c r="S441" s="1285"/>
      <c r="T441" s="1286"/>
      <c r="U441" s="556">
        <f t="shared" si="34"/>
        <v>35</v>
      </c>
      <c r="V441" s="558">
        <f t="shared" si="35"/>
        <v>8</v>
      </c>
      <c r="W441" s="557"/>
      <c r="X441" s="557"/>
      <c r="Y441" s="557"/>
      <c r="Z441" s="557"/>
      <c r="AA441" s="557"/>
      <c r="AB441" s="605" t="s">
        <v>1200</v>
      </c>
      <c r="AC441" s="606" t="s">
        <v>1244</v>
      </c>
      <c r="AD441" s="628">
        <v>0.05</v>
      </c>
      <c r="AE441" s="588"/>
    </row>
    <row r="442" spans="1:31" ht="44" thickBot="1">
      <c r="A442" s="555" t="str">
        <f t="shared" si="33"/>
        <v>35.9</v>
      </c>
      <c r="B442" s="782" t="s">
        <v>1246</v>
      </c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83"/>
      <c r="N442" s="783"/>
      <c r="O442" s="784"/>
      <c r="P442" s="779" t="str">
        <f t="shared" si="37"/>
        <v>т.</v>
      </c>
      <c r="Q442" s="780"/>
      <c r="R442" s="1284" t="str">
        <f>CONCATENATE(AD442)</f>
        <v>0,05</v>
      </c>
      <c r="S442" s="1285"/>
      <c r="T442" s="1286"/>
      <c r="U442" s="556">
        <f t="shared" si="34"/>
        <v>35</v>
      </c>
      <c r="V442" s="558">
        <f t="shared" si="35"/>
        <v>9</v>
      </c>
      <c r="W442" s="557"/>
      <c r="X442" s="557"/>
      <c r="Y442" s="557"/>
      <c r="Z442" s="557"/>
      <c r="AA442" s="557"/>
      <c r="AB442" s="625" t="s">
        <v>1246</v>
      </c>
      <c r="AC442" s="626" t="s">
        <v>1244</v>
      </c>
      <c r="AD442" s="627">
        <v>0.05</v>
      </c>
      <c r="AE442" s="588"/>
    </row>
    <row r="443" spans="1:31" ht="29.5" thickBot="1">
      <c r="A443" s="555" t="str">
        <f t="shared" si="33"/>
        <v>35.10</v>
      </c>
      <c r="B443" s="782" t="s">
        <v>1201</v>
      </c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83"/>
      <c r="N443" s="783"/>
      <c r="O443" s="784"/>
      <c r="P443" s="779" t="str">
        <f t="shared" si="37"/>
        <v>рейс</v>
      </c>
      <c r="Q443" s="780"/>
      <c r="R443" s="1284" t="str">
        <f>CONCATENATE(AD443)</f>
        <v>30</v>
      </c>
      <c r="S443" s="1285"/>
      <c r="T443" s="1286"/>
      <c r="U443" s="556">
        <f t="shared" si="34"/>
        <v>35</v>
      </c>
      <c r="V443" s="558">
        <f t="shared" si="35"/>
        <v>10</v>
      </c>
      <c r="W443" s="557"/>
      <c r="X443" s="557"/>
      <c r="Y443" s="557"/>
      <c r="Z443" s="557"/>
      <c r="AA443" s="557"/>
      <c r="AB443" s="605" t="s">
        <v>1201</v>
      </c>
      <c r="AC443" s="606" t="s">
        <v>1202</v>
      </c>
      <c r="AD443" s="628">
        <v>30</v>
      </c>
      <c r="AE443" s="588"/>
    </row>
    <row r="444" spans="1:31" ht="16" thickBot="1">
      <c r="A444" s="555"/>
      <c r="B444" s="785" t="s">
        <v>1452</v>
      </c>
      <c r="C444" s="786"/>
      <c r="D444" s="786"/>
      <c r="E444" s="786"/>
      <c r="F444" s="786"/>
      <c r="G444" s="786"/>
      <c r="H444" s="786"/>
      <c r="I444" s="786"/>
      <c r="J444" s="786"/>
      <c r="K444" s="786"/>
      <c r="L444" s="786"/>
      <c r="M444" s="786"/>
      <c r="N444" s="786"/>
      <c r="O444" s="787"/>
      <c r="P444" s="779" t="s">
        <v>1159</v>
      </c>
      <c r="Q444" s="780"/>
      <c r="R444" s="1284">
        <v>23.1</v>
      </c>
      <c r="S444" s="1285"/>
      <c r="T444" s="1286"/>
      <c r="U444" s="556"/>
      <c r="V444" s="558"/>
      <c r="W444" s="557"/>
      <c r="X444" s="557"/>
      <c r="Y444" s="557"/>
      <c r="Z444" s="557"/>
      <c r="AA444" s="557"/>
      <c r="AB444" s="605"/>
      <c r="AC444" s="606"/>
      <c r="AD444" s="628"/>
      <c r="AE444" s="588"/>
    </row>
    <row r="445" spans="1:31" ht="49.5" customHeight="1" thickBot="1">
      <c r="A445" s="555"/>
      <c r="B445" s="782" t="s">
        <v>1426</v>
      </c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83"/>
      <c r="N445" s="783"/>
      <c r="O445" s="784"/>
      <c r="P445" s="779" t="s">
        <v>1163</v>
      </c>
      <c r="Q445" s="780"/>
      <c r="R445" s="1284" t="s">
        <v>681</v>
      </c>
      <c r="S445" s="1285"/>
      <c r="T445" s="1286"/>
      <c r="U445" s="556"/>
      <c r="V445" s="558"/>
      <c r="W445" s="557"/>
      <c r="X445" s="557"/>
      <c r="Y445" s="557"/>
      <c r="Z445" s="557"/>
      <c r="AA445" s="557"/>
      <c r="AB445" s="605"/>
      <c r="AC445" s="606"/>
      <c r="AD445" s="628"/>
      <c r="AE445" s="588"/>
    </row>
    <row r="446" spans="1:31" ht="16" thickBot="1">
      <c r="A446" s="555"/>
      <c r="B446" s="782" t="s">
        <v>1427</v>
      </c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83"/>
      <c r="N446" s="783"/>
      <c r="O446" s="784"/>
      <c r="P446" s="779" t="s">
        <v>1163</v>
      </c>
      <c r="Q446" s="780"/>
      <c r="R446" s="1284">
        <f>R445*0.7</f>
        <v>14</v>
      </c>
      <c r="S446" s="1285"/>
      <c r="T446" s="1286"/>
      <c r="U446" s="556"/>
      <c r="V446" s="558"/>
      <c r="W446" s="557"/>
      <c r="X446" s="557"/>
      <c r="Y446" s="557"/>
      <c r="Z446" s="557"/>
      <c r="AA446" s="557"/>
      <c r="AB446" s="605"/>
      <c r="AC446" s="606"/>
      <c r="AD446" s="628"/>
      <c r="AE446" s="588"/>
    </row>
    <row r="447" spans="1:31" ht="16" thickBot="1">
      <c r="A447" s="555"/>
      <c r="B447" s="782" t="s">
        <v>1206</v>
      </c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83"/>
      <c r="N447" s="783"/>
      <c r="O447" s="784"/>
      <c r="P447" s="779" t="s">
        <v>1163</v>
      </c>
      <c r="Q447" s="780"/>
      <c r="R447" s="1284">
        <f>R445*0.3</f>
        <v>6</v>
      </c>
      <c r="S447" s="1285"/>
      <c r="T447" s="1286"/>
      <c r="U447" s="556"/>
      <c r="V447" s="558"/>
      <c r="W447" s="557"/>
      <c r="X447" s="557"/>
      <c r="Y447" s="557"/>
      <c r="Z447" s="557"/>
      <c r="AA447" s="557"/>
      <c r="AB447" s="605"/>
      <c r="AC447" s="606"/>
      <c r="AD447" s="628"/>
      <c r="AE447" s="588"/>
    </row>
    <row r="448" spans="1:31" ht="16" thickBot="1">
      <c r="A448" s="555"/>
      <c r="B448" s="782" t="s">
        <v>1207</v>
      </c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83"/>
      <c r="N448" s="783"/>
      <c r="O448" s="784"/>
      <c r="P448" s="779" t="s">
        <v>1163</v>
      </c>
      <c r="Q448" s="780"/>
      <c r="R448" s="1284">
        <f>R445*0.7</f>
        <v>14</v>
      </c>
      <c r="S448" s="1285"/>
      <c r="T448" s="1286"/>
      <c r="U448" s="556"/>
      <c r="V448" s="558"/>
      <c r="W448" s="557"/>
      <c r="X448" s="557"/>
      <c r="Y448" s="557"/>
      <c r="Z448" s="557"/>
      <c r="AA448" s="557"/>
      <c r="AB448" s="605"/>
      <c r="AC448" s="606"/>
      <c r="AD448" s="628"/>
      <c r="AE448" s="588"/>
    </row>
    <row r="449" spans="1:31" ht="16" thickBot="1">
      <c r="A449" s="555"/>
      <c r="B449" s="782" t="s">
        <v>1208</v>
      </c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83"/>
      <c r="N449" s="783"/>
      <c r="O449" s="784"/>
      <c r="P449" s="779" t="s">
        <v>1163</v>
      </c>
      <c r="Q449" s="780"/>
      <c r="R449" s="1284">
        <f>R445*0.3</f>
        <v>6</v>
      </c>
      <c r="S449" s="1285"/>
      <c r="T449" s="1286"/>
      <c r="U449" s="556"/>
      <c r="V449" s="558"/>
      <c r="W449" s="557"/>
      <c r="X449" s="557"/>
      <c r="Y449" s="557"/>
      <c r="Z449" s="557"/>
      <c r="AA449" s="557"/>
      <c r="AB449" s="605"/>
      <c r="AC449" s="606"/>
      <c r="AD449" s="628"/>
      <c r="AE449" s="588"/>
    </row>
    <row r="450" spans="1:31" ht="36" customHeight="1" thickBot="1">
      <c r="A450" s="555"/>
      <c r="B450" s="782" t="s">
        <v>1428</v>
      </c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83"/>
      <c r="N450" s="783"/>
      <c r="O450" s="784"/>
      <c r="P450" s="779" t="s">
        <v>1163</v>
      </c>
      <c r="Q450" s="780"/>
      <c r="R450" s="1284" t="s">
        <v>1429</v>
      </c>
      <c r="S450" s="1285"/>
      <c r="T450" s="1286"/>
      <c r="U450" s="556"/>
      <c r="V450" s="558"/>
      <c r="W450" s="557"/>
      <c r="X450" s="557"/>
      <c r="Y450" s="557"/>
      <c r="Z450" s="557"/>
      <c r="AA450" s="557"/>
      <c r="AB450" s="605"/>
      <c r="AC450" s="606"/>
      <c r="AD450" s="628"/>
      <c r="AE450" s="588"/>
    </row>
    <row r="451" spans="1:31" ht="19.5" customHeight="1" thickBot="1">
      <c r="A451" s="555"/>
      <c r="B451" s="782" t="s">
        <v>1430</v>
      </c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83"/>
      <c r="N451" s="783"/>
      <c r="O451" s="784"/>
      <c r="P451" s="779" t="s">
        <v>1163</v>
      </c>
      <c r="Q451" s="780"/>
      <c r="R451" s="1284">
        <f>R449*0.3</f>
        <v>1.7999999999999998</v>
      </c>
      <c r="S451" s="1285"/>
      <c r="T451" s="1286"/>
      <c r="U451" s="556"/>
      <c r="V451" s="558"/>
      <c r="W451" s="557"/>
      <c r="X451" s="557"/>
      <c r="Y451" s="557"/>
      <c r="Z451" s="557"/>
      <c r="AA451" s="557"/>
      <c r="AB451" s="605"/>
      <c r="AC451" s="606"/>
      <c r="AD451" s="628"/>
      <c r="AE451" s="588"/>
    </row>
    <row r="452" spans="1:31" ht="44.25" customHeight="1" thickBot="1">
      <c r="A452" s="555"/>
      <c r="B452" s="782" t="s">
        <v>1431</v>
      </c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83"/>
      <c r="N452" s="783"/>
      <c r="O452" s="784"/>
      <c r="P452" s="779" t="s">
        <v>1160</v>
      </c>
      <c r="Q452" s="780"/>
      <c r="R452" s="1284" t="s">
        <v>1224</v>
      </c>
      <c r="S452" s="1285"/>
      <c r="T452" s="1286"/>
      <c r="U452" s="556"/>
      <c r="V452" s="558"/>
      <c r="W452" s="557"/>
      <c r="X452" s="557"/>
      <c r="Y452" s="557"/>
      <c r="Z452" s="557"/>
      <c r="AA452" s="557"/>
      <c r="AB452" s="605"/>
      <c r="AC452" s="606"/>
      <c r="AD452" s="628"/>
      <c r="AE452" s="588"/>
    </row>
    <row r="453" spans="1:31" ht="34.5" customHeight="1" thickBot="1">
      <c r="A453" s="555"/>
      <c r="B453" s="782" t="s">
        <v>1432</v>
      </c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83"/>
      <c r="N453" s="783"/>
      <c r="O453" s="784"/>
      <c r="P453" s="779" t="s">
        <v>1212</v>
      </c>
      <c r="Q453" s="780"/>
      <c r="R453" s="1284" t="s">
        <v>1180</v>
      </c>
      <c r="S453" s="1285"/>
      <c r="T453" s="1286"/>
      <c r="U453" s="556"/>
      <c r="V453" s="558"/>
      <c r="W453" s="557"/>
      <c r="X453" s="557"/>
      <c r="Y453" s="557"/>
      <c r="Z453" s="557"/>
      <c r="AA453" s="557"/>
      <c r="AB453" s="605"/>
      <c r="AC453" s="606"/>
      <c r="AD453" s="628"/>
      <c r="AE453" s="588"/>
    </row>
    <row r="454" spans="1:31" ht="31.5" customHeight="1" thickBot="1">
      <c r="A454" s="555"/>
      <c r="B454" s="782" t="s">
        <v>1443</v>
      </c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83"/>
      <c r="N454" s="783"/>
      <c r="O454" s="784"/>
      <c r="P454" s="779" t="s">
        <v>1194</v>
      </c>
      <c r="Q454" s="780"/>
      <c r="R454" s="1284" t="s">
        <v>1180</v>
      </c>
      <c r="S454" s="1285"/>
      <c r="T454" s="1286"/>
      <c r="U454" s="556"/>
      <c r="V454" s="558"/>
      <c r="W454" s="557"/>
      <c r="X454" s="557"/>
      <c r="Y454" s="557"/>
      <c r="Z454" s="557"/>
      <c r="AA454" s="557"/>
      <c r="AB454" s="605"/>
      <c r="AC454" s="606"/>
      <c r="AD454" s="628"/>
      <c r="AE454" s="588"/>
    </row>
    <row r="455" spans="1:31" ht="16" thickBot="1">
      <c r="A455" s="555"/>
      <c r="B455" s="782" t="s">
        <v>1453</v>
      </c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83"/>
      <c r="N455" s="783"/>
      <c r="O455" s="784"/>
      <c r="P455" s="779" t="s">
        <v>1194</v>
      </c>
      <c r="Q455" s="780"/>
      <c r="R455" s="1284" t="s">
        <v>1180</v>
      </c>
      <c r="S455" s="1285"/>
      <c r="T455" s="1286"/>
      <c r="U455" s="556"/>
      <c r="V455" s="558"/>
      <c r="W455" s="557"/>
      <c r="X455" s="557"/>
      <c r="Y455" s="557"/>
      <c r="Z455" s="557"/>
      <c r="AA455" s="557"/>
      <c r="AB455" s="605"/>
      <c r="AC455" s="606"/>
      <c r="AD455" s="628"/>
      <c r="AE455" s="588"/>
    </row>
    <row r="456" spans="1:31" ht="16" thickBot="1">
      <c r="A456" s="555"/>
      <c r="B456" s="782" t="s">
        <v>1454</v>
      </c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83"/>
      <c r="N456" s="783"/>
      <c r="O456" s="784"/>
      <c r="P456" s="779" t="s">
        <v>1194</v>
      </c>
      <c r="Q456" s="780"/>
      <c r="R456" s="1284" t="s">
        <v>1180</v>
      </c>
      <c r="S456" s="1285"/>
      <c r="T456" s="1286"/>
      <c r="U456" s="556"/>
      <c r="V456" s="558"/>
      <c r="W456" s="557"/>
      <c r="X456" s="557"/>
      <c r="Y456" s="557"/>
      <c r="Z456" s="557"/>
      <c r="AA456" s="557"/>
      <c r="AB456" s="605"/>
      <c r="AC456" s="606"/>
      <c r="AD456" s="628"/>
      <c r="AE456" s="588"/>
    </row>
    <row r="457" spans="1:31" ht="36.75" customHeight="1" thickBot="1">
      <c r="A457" s="555"/>
      <c r="B457" s="782" t="s">
        <v>1447</v>
      </c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83"/>
      <c r="N457" s="783"/>
      <c r="O457" s="784"/>
      <c r="P457" s="779" t="s">
        <v>1209</v>
      </c>
      <c r="Q457" s="780"/>
      <c r="R457" s="1284" t="s">
        <v>1455</v>
      </c>
      <c r="S457" s="1285"/>
      <c r="T457" s="1286"/>
      <c r="U457" s="556"/>
      <c r="V457" s="558"/>
      <c r="W457" s="557"/>
      <c r="X457" s="557"/>
      <c r="Y457" s="557"/>
      <c r="Z457" s="557"/>
      <c r="AA457" s="557"/>
      <c r="AB457" s="605"/>
      <c r="AC457" s="606"/>
      <c r="AD457" s="628"/>
      <c r="AE457" s="588"/>
    </row>
    <row r="458" spans="1:31" ht="16" thickBot="1">
      <c r="A458" s="555"/>
      <c r="B458" s="782" t="s">
        <v>1433</v>
      </c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83"/>
      <c r="N458" s="783"/>
      <c r="O458" s="784"/>
      <c r="P458" s="779" t="s">
        <v>1434</v>
      </c>
      <c r="Q458" s="780"/>
      <c r="R458" s="1284" t="s">
        <v>1434</v>
      </c>
      <c r="S458" s="1285"/>
      <c r="T458" s="1286"/>
      <c r="U458" s="556"/>
      <c r="V458" s="558"/>
      <c r="W458" s="557"/>
      <c r="X458" s="557"/>
      <c r="Y458" s="557"/>
      <c r="Z458" s="557"/>
      <c r="AA458" s="557"/>
      <c r="AB458" s="605"/>
      <c r="AC458" s="606"/>
      <c r="AD458" s="628"/>
      <c r="AE458" s="588"/>
    </row>
    <row r="459" spans="1:31" ht="16" thickBot="1">
      <c r="A459" s="555"/>
      <c r="B459" s="782" t="s">
        <v>1435</v>
      </c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83"/>
      <c r="N459" s="783"/>
      <c r="O459" s="784"/>
      <c r="P459" s="779" t="s">
        <v>1163</v>
      </c>
      <c r="Q459" s="780"/>
      <c r="R459" s="1287">
        <f>R444*2.16</f>
        <v>49.896000000000008</v>
      </c>
      <c r="S459" s="1288"/>
      <c r="T459" s="1289"/>
      <c r="U459" s="556"/>
      <c r="V459" s="558"/>
      <c r="W459" s="557"/>
      <c r="X459" s="557"/>
      <c r="Y459" s="557"/>
      <c r="Z459" s="557"/>
      <c r="AA459" s="557"/>
      <c r="AB459" s="605"/>
      <c r="AC459" s="606"/>
      <c r="AD459" s="628"/>
      <c r="AE459" s="588"/>
    </row>
    <row r="460" spans="1:31" ht="16" thickBot="1">
      <c r="A460" s="555"/>
      <c r="B460" s="782" t="s">
        <v>1436</v>
      </c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83"/>
      <c r="N460" s="783"/>
      <c r="O460" s="784"/>
      <c r="P460" s="779" t="s">
        <v>1163</v>
      </c>
      <c r="Q460" s="780"/>
      <c r="R460" s="1287">
        <f>R459</f>
        <v>49.896000000000008</v>
      </c>
      <c r="S460" s="1288"/>
      <c r="T460" s="1289"/>
      <c r="U460" s="556"/>
      <c r="V460" s="558"/>
      <c r="W460" s="557"/>
      <c r="X460" s="557"/>
      <c r="Y460" s="557"/>
      <c r="Z460" s="557"/>
      <c r="AA460" s="557"/>
      <c r="AB460" s="605"/>
      <c r="AC460" s="606"/>
      <c r="AD460" s="628"/>
      <c r="AE460" s="588"/>
    </row>
    <row r="461" spans="1:31" ht="33" customHeight="1" thickBot="1">
      <c r="A461" s="555"/>
      <c r="B461" s="782" t="s">
        <v>1448</v>
      </c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83"/>
      <c r="N461" s="783"/>
      <c r="O461" s="784"/>
      <c r="P461" s="779" t="s">
        <v>1194</v>
      </c>
      <c r="Q461" s="780"/>
      <c r="R461" s="1284">
        <v>8</v>
      </c>
      <c r="S461" s="1285"/>
      <c r="T461" s="1286"/>
      <c r="U461" s="556"/>
      <c r="V461" s="558"/>
      <c r="W461" s="557"/>
      <c r="X461" s="557"/>
      <c r="Y461" s="557"/>
      <c r="Z461" s="557"/>
      <c r="AA461" s="557"/>
      <c r="AB461" s="605"/>
      <c r="AC461" s="606"/>
      <c r="AD461" s="628"/>
      <c r="AE461" s="588"/>
    </row>
    <row r="462" spans="1:31" ht="31.5" customHeight="1" thickBot="1">
      <c r="A462" s="555"/>
      <c r="B462" s="782" t="s">
        <v>1437</v>
      </c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83"/>
      <c r="N462" s="783"/>
      <c r="O462" s="784"/>
      <c r="P462" s="779" t="s">
        <v>1163</v>
      </c>
      <c r="Q462" s="780"/>
      <c r="R462" s="1284" t="s">
        <v>1429</v>
      </c>
      <c r="S462" s="1285"/>
      <c r="T462" s="1286"/>
      <c r="U462" s="556"/>
      <c r="V462" s="558"/>
      <c r="W462" s="557"/>
      <c r="X462" s="557"/>
      <c r="Y462" s="557"/>
      <c r="Z462" s="557"/>
      <c r="AA462" s="557"/>
      <c r="AB462" s="605"/>
      <c r="AC462" s="606"/>
      <c r="AD462" s="628"/>
      <c r="AE462" s="588"/>
    </row>
    <row r="463" spans="1:31" ht="16" thickBot="1">
      <c r="A463" s="555"/>
      <c r="B463" s="782" t="s">
        <v>1438</v>
      </c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83"/>
      <c r="N463" s="783"/>
      <c r="O463" s="784"/>
      <c r="P463" s="779" t="s">
        <v>1212</v>
      </c>
      <c r="Q463" s="780"/>
      <c r="R463" s="1284" t="s">
        <v>1180</v>
      </c>
      <c r="S463" s="1285"/>
      <c r="T463" s="1286"/>
      <c r="U463" s="556"/>
      <c r="V463" s="558"/>
      <c r="W463" s="557"/>
      <c r="X463" s="557"/>
      <c r="Y463" s="557"/>
      <c r="Z463" s="557"/>
      <c r="AA463" s="557"/>
      <c r="AB463" s="605"/>
      <c r="AC463" s="606"/>
      <c r="AD463" s="628"/>
      <c r="AE463" s="588"/>
    </row>
    <row r="464" spans="1:31" ht="47.25" customHeight="1" thickBot="1">
      <c r="A464" s="555"/>
      <c r="B464" s="782" t="s">
        <v>1439</v>
      </c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83"/>
      <c r="N464" s="783"/>
      <c r="O464" s="784"/>
      <c r="P464" s="779" t="s">
        <v>1163</v>
      </c>
      <c r="Q464" s="780"/>
      <c r="R464" s="1287">
        <f>R440</f>
        <v>3.55</v>
      </c>
      <c r="S464" s="1288"/>
      <c r="T464" s="1289"/>
      <c r="U464" s="556"/>
      <c r="V464" s="558"/>
      <c r="W464" s="557"/>
      <c r="X464" s="557"/>
      <c r="Y464" s="557"/>
      <c r="Z464" s="557"/>
      <c r="AA464" s="557"/>
      <c r="AB464" s="605"/>
      <c r="AC464" s="606"/>
      <c r="AD464" s="628"/>
      <c r="AE464" s="588"/>
    </row>
    <row r="465" spans="1:31" ht="16" thickBot="1">
      <c r="A465" s="555"/>
      <c r="B465" s="782" t="s">
        <v>1440</v>
      </c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83"/>
      <c r="N465" s="783"/>
      <c r="O465" s="784"/>
      <c r="P465" s="779" t="s">
        <v>1163</v>
      </c>
      <c r="Q465" s="780"/>
      <c r="R465" s="1284" t="str">
        <f>R441</f>
        <v>0,05</v>
      </c>
      <c r="S465" s="1285"/>
      <c r="T465" s="1286"/>
      <c r="U465" s="556"/>
      <c r="V465" s="558"/>
      <c r="W465" s="557"/>
      <c r="X465" s="557"/>
      <c r="Y465" s="557"/>
      <c r="Z465" s="557"/>
      <c r="AA465" s="557"/>
      <c r="AB465" s="605"/>
      <c r="AC465" s="606"/>
      <c r="AD465" s="628"/>
      <c r="AE465" s="588"/>
    </row>
    <row r="466" spans="1:31" ht="16" thickBot="1">
      <c r="A466" s="555"/>
      <c r="B466" s="782" t="s">
        <v>1206</v>
      </c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83"/>
      <c r="N466" s="783"/>
      <c r="O466" s="784"/>
      <c r="P466" s="779" t="s">
        <v>1163</v>
      </c>
      <c r="Q466" s="780"/>
      <c r="R466" s="1284" t="str">
        <f>R442</f>
        <v>0,05</v>
      </c>
      <c r="S466" s="1285"/>
      <c r="T466" s="1286"/>
      <c r="U466" s="556"/>
      <c r="V466" s="558"/>
      <c r="W466" s="557"/>
      <c r="X466" s="557"/>
      <c r="Y466" s="557"/>
      <c r="Z466" s="557"/>
      <c r="AA466" s="557"/>
      <c r="AB466" s="605"/>
      <c r="AC466" s="606"/>
      <c r="AD466" s="628"/>
      <c r="AE466" s="588"/>
    </row>
    <row r="467" spans="1:31" ht="33.75" customHeight="1" thickBot="1">
      <c r="A467" s="555"/>
      <c r="B467" s="782" t="s">
        <v>1441</v>
      </c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83"/>
      <c r="N467" s="783"/>
      <c r="O467" s="784"/>
      <c r="P467" s="779" t="s">
        <v>1442</v>
      </c>
      <c r="Q467" s="780"/>
      <c r="R467" s="1284" t="s">
        <v>1223</v>
      </c>
      <c r="S467" s="1285"/>
      <c r="T467" s="1286"/>
      <c r="U467" s="556"/>
      <c r="V467" s="558"/>
      <c r="W467" s="557"/>
      <c r="X467" s="557"/>
      <c r="Y467" s="557"/>
      <c r="Z467" s="557"/>
      <c r="AA467" s="557"/>
      <c r="AB467" s="605"/>
      <c r="AC467" s="606"/>
      <c r="AD467" s="628"/>
      <c r="AE467" s="588"/>
    </row>
    <row r="468" spans="1:31" ht="16" thickBot="1">
      <c r="A468" s="554" t="str">
        <f t="shared" si="33"/>
        <v>36.</v>
      </c>
      <c r="B468" s="785" t="s">
        <v>1216</v>
      </c>
      <c r="C468" s="786"/>
      <c r="D468" s="786"/>
      <c r="E468" s="786"/>
      <c r="F468" s="786"/>
      <c r="G468" s="786"/>
      <c r="H468" s="786"/>
      <c r="I468" s="786"/>
      <c r="J468" s="786"/>
      <c r="K468" s="786"/>
      <c r="L468" s="786"/>
      <c r="M468" s="786"/>
      <c r="N468" s="786"/>
      <c r="O468" s="787"/>
      <c r="P468" s="779" t="str">
        <f t="shared" si="37"/>
        <v/>
      </c>
      <c r="Q468" s="780"/>
      <c r="R468" s="1284" t="str">
        <f>CONCATENATE(AD468)</f>
        <v/>
      </c>
      <c r="S468" s="1285"/>
      <c r="T468" s="1286"/>
      <c r="U468" s="556">
        <v>36</v>
      </c>
      <c r="V468" s="558"/>
      <c r="W468" s="557"/>
      <c r="X468" s="557"/>
      <c r="Y468" s="557"/>
      <c r="Z468" s="557"/>
      <c r="AA468" s="557"/>
      <c r="AB468" s="602" t="s">
        <v>1216</v>
      </c>
      <c r="AC468" s="603"/>
      <c r="AD468" s="630"/>
      <c r="AE468" s="588"/>
    </row>
    <row r="469" spans="1:31" ht="38.25" customHeight="1" thickBot="1">
      <c r="A469" s="555" t="str">
        <f t="shared" si="33"/>
        <v>36.1</v>
      </c>
      <c r="B469" s="782" t="s">
        <v>1409</v>
      </c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83"/>
      <c r="N469" s="783"/>
      <c r="O469" s="784"/>
      <c r="P469" s="779" t="str">
        <f t="shared" si="37"/>
        <v>м/м3</v>
      </c>
      <c r="Q469" s="780"/>
      <c r="R469" s="1284" t="str">
        <f>CONCATENATE(X434,"/",ROUND(X434*0.425,2))</f>
        <v>13,2/5,61</v>
      </c>
      <c r="S469" s="1285"/>
      <c r="T469" s="1286"/>
      <c r="U469" s="556">
        <f t="shared" si="34"/>
        <v>36</v>
      </c>
      <c r="V469" s="558">
        <f t="shared" si="35"/>
        <v>1</v>
      </c>
      <c r="W469" s="557"/>
      <c r="X469" s="557"/>
      <c r="Y469" s="557"/>
      <c r="Z469" s="557"/>
      <c r="AA469" s="557"/>
      <c r="AB469" s="605" t="s">
        <v>1376</v>
      </c>
      <c r="AC469" s="606" t="s">
        <v>1217</v>
      </c>
      <c r="AD469" s="628" t="s">
        <v>1377</v>
      </c>
      <c r="AE469" s="588"/>
    </row>
    <row r="470" spans="1:31" ht="16" thickBot="1">
      <c r="A470" s="555" t="str">
        <f t="shared" si="33"/>
        <v>36.2</v>
      </c>
      <c r="B470" s="782" t="s">
        <v>1207</v>
      </c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83"/>
      <c r="N470" s="783"/>
      <c r="O470" s="784"/>
      <c r="P470" s="779" t="str">
        <f t="shared" si="37"/>
        <v>м3</v>
      </c>
      <c r="Q470" s="780"/>
      <c r="R470" s="1284">
        <f>ROUND(X434*0.425*0.7,2)</f>
        <v>3.93</v>
      </c>
      <c r="S470" s="1285"/>
      <c r="T470" s="1286"/>
      <c r="U470" s="556">
        <f t="shared" si="34"/>
        <v>36</v>
      </c>
      <c r="V470" s="558">
        <f t="shared" si="35"/>
        <v>2</v>
      </c>
      <c r="W470" s="557"/>
      <c r="X470" s="557"/>
      <c r="Y470" s="557"/>
      <c r="Z470" s="557"/>
      <c r="AA470" s="557"/>
      <c r="AB470" s="605" t="s">
        <v>1207</v>
      </c>
      <c r="AC470" s="606" t="s">
        <v>1163</v>
      </c>
      <c r="AD470" s="628">
        <v>21.4</v>
      </c>
      <c r="AE470" s="588"/>
    </row>
    <row r="471" spans="1:31" ht="16" thickBot="1">
      <c r="A471" s="555" t="str">
        <f t="shared" si="33"/>
        <v>36.3</v>
      </c>
      <c r="B471" s="782" t="s">
        <v>1208</v>
      </c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83"/>
      <c r="N471" s="783"/>
      <c r="O471" s="784"/>
      <c r="P471" s="779" t="str">
        <f t="shared" si="37"/>
        <v>м3</v>
      </c>
      <c r="Q471" s="780"/>
      <c r="R471" s="1284">
        <f>ROUND(X434*0.425*0.3,2)</f>
        <v>1.68</v>
      </c>
      <c r="S471" s="1285"/>
      <c r="T471" s="1286"/>
      <c r="U471" s="556">
        <f t="shared" si="34"/>
        <v>36</v>
      </c>
      <c r="V471" s="558">
        <f t="shared" si="35"/>
        <v>3</v>
      </c>
      <c r="W471" s="557"/>
      <c r="X471" s="557"/>
      <c r="Y471" s="557"/>
      <c r="Z471" s="557"/>
      <c r="AA471" s="557"/>
      <c r="AB471" s="605" t="s">
        <v>1208</v>
      </c>
      <c r="AC471" s="606" t="s">
        <v>1163</v>
      </c>
      <c r="AD471" s="628">
        <v>9.1999999999999993</v>
      </c>
      <c r="AE471" s="588"/>
    </row>
    <row r="472" spans="1:31" ht="16" thickBot="1">
      <c r="A472" s="555" t="str">
        <f t="shared" si="33"/>
        <v>36.4</v>
      </c>
      <c r="B472" s="782" t="s">
        <v>1251</v>
      </c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83"/>
      <c r="N472" s="783"/>
      <c r="O472" s="784"/>
      <c r="P472" s="779" t="str">
        <f t="shared" si="37"/>
        <v>м3</v>
      </c>
      <c r="Q472" s="780"/>
      <c r="R472" s="1284">
        <f>R470</f>
        <v>3.93</v>
      </c>
      <c r="S472" s="1285"/>
      <c r="T472" s="1286"/>
      <c r="U472" s="556">
        <f t="shared" si="34"/>
        <v>36</v>
      </c>
      <c r="V472" s="558">
        <f t="shared" si="35"/>
        <v>4</v>
      </c>
      <c r="W472" s="557"/>
      <c r="X472" s="557"/>
      <c r="Y472" s="557"/>
      <c r="Z472" s="557"/>
      <c r="AA472" s="557"/>
      <c r="AB472" s="605" t="s">
        <v>1251</v>
      </c>
      <c r="AC472" s="606" t="s">
        <v>1163</v>
      </c>
      <c r="AD472" s="628">
        <v>21.4</v>
      </c>
      <c r="AE472" s="588"/>
    </row>
    <row r="473" spans="1:31" ht="16" thickBot="1">
      <c r="A473" s="555" t="str">
        <f t="shared" si="33"/>
        <v>36.5</v>
      </c>
      <c r="B473" s="782" t="s">
        <v>1252</v>
      </c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83"/>
      <c r="N473" s="783"/>
      <c r="O473" s="784"/>
      <c r="P473" s="779" t="str">
        <f t="shared" si="37"/>
        <v>м3</v>
      </c>
      <c r="Q473" s="780"/>
      <c r="R473" s="1284">
        <f>R471</f>
        <v>1.68</v>
      </c>
      <c r="S473" s="1285"/>
      <c r="T473" s="1286"/>
      <c r="U473" s="556">
        <f t="shared" si="34"/>
        <v>36</v>
      </c>
      <c r="V473" s="558">
        <f t="shared" si="35"/>
        <v>5</v>
      </c>
      <c r="W473" s="557"/>
      <c r="X473" s="557"/>
      <c r="Y473" s="557"/>
      <c r="Z473" s="557"/>
      <c r="AA473" s="557"/>
      <c r="AB473" s="605" t="s">
        <v>1252</v>
      </c>
      <c r="AC473" s="606" t="s">
        <v>1163</v>
      </c>
      <c r="AD473" s="628">
        <v>9.1999999999999993</v>
      </c>
      <c r="AE473" s="588"/>
    </row>
    <row r="474" spans="1:31" ht="16" thickBot="1">
      <c r="A474" s="555" t="str">
        <f t="shared" si="33"/>
        <v>36.6</v>
      </c>
      <c r="B474" s="782" t="s">
        <v>1218</v>
      </c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83"/>
      <c r="N474" s="783"/>
      <c r="O474" s="784"/>
      <c r="P474" s="779" t="str">
        <f t="shared" si="37"/>
        <v>м3</v>
      </c>
      <c r="Q474" s="780"/>
      <c r="R474" s="1284">
        <f>0.1*R473</f>
        <v>0.16800000000000001</v>
      </c>
      <c r="S474" s="1285"/>
      <c r="T474" s="1286"/>
      <c r="U474" s="556">
        <f t="shared" si="34"/>
        <v>36</v>
      </c>
      <c r="V474" s="558">
        <f t="shared" si="35"/>
        <v>6</v>
      </c>
      <c r="W474" s="557"/>
      <c r="X474" s="557"/>
      <c r="Y474" s="557"/>
      <c r="Z474" s="557"/>
      <c r="AA474" s="557"/>
      <c r="AB474" s="605" t="s">
        <v>1218</v>
      </c>
      <c r="AC474" s="606" t="s">
        <v>1163</v>
      </c>
      <c r="AD474" s="628">
        <v>0.92</v>
      </c>
      <c r="AE474" s="588"/>
    </row>
    <row r="475" spans="1:31" ht="29.5" thickBot="1">
      <c r="A475" s="555" t="str">
        <f t="shared" si="33"/>
        <v>36.7</v>
      </c>
      <c r="B475" s="782" t="s">
        <v>1410</v>
      </c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83"/>
      <c r="N475" s="783"/>
      <c r="O475" s="784"/>
      <c r="P475" s="779" t="str">
        <f t="shared" si="37"/>
        <v>м3</v>
      </c>
      <c r="Q475" s="780"/>
      <c r="R475" s="1284">
        <f>X434*0.15*0.5</f>
        <v>0.98999999999999988</v>
      </c>
      <c r="S475" s="1285"/>
      <c r="T475" s="1286"/>
      <c r="U475" s="556">
        <f t="shared" si="34"/>
        <v>36</v>
      </c>
      <c r="V475" s="558">
        <f t="shared" si="35"/>
        <v>7</v>
      </c>
      <c r="W475" s="557"/>
      <c r="X475" s="557"/>
      <c r="Y475" s="557"/>
      <c r="Z475" s="557"/>
      <c r="AA475" s="557"/>
      <c r="AB475" s="605" t="s">
        <v>1378</v>
      </c>
      <c r="AC475" s="606" t="s">
        <v>1163</v>
      </c>
      <c r="AD475" s="628">
        <v>5.4</v>
      </c>
      <c r="AE475" s="588"/>
    </row>
    <row r="476" spans="1:31" ht="44" thickBot="1">
      <c r="A476" s="555" t="str">
        <f t="shared" ref="A476:A520" si="38">CONCATENATE(U476,".",V476)</f>
        <v>36.8</v>
      </c>
      <c r="B476" s="782" t="s">
        <v>1412</v>
      </c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83"/>
      <c r="N476" s="783"/>
      <c r="O476" s="784"/>
      <c r="P476" s="779" t="str">
        <f t="shared" si="37"/>
        <v>м</v>
      </c>
      <c r="Q476" s="780"/>
      <c r="R476" s="1284">
        <f>X434*2*1.02</f>
        <v>26.927999999999997</v>
      </c>
      <c r="S476" s="1285"/>
      <c r="T476" s="1286"/>
      <c r="U476" s="556">
        <f t="shared" si="34"/>
        <v>36</v>
      </c>
      <c r="V476" s="558">
        <f t="shared" si="35"/>
        <v>8</v>
      </c>
      <c r="W476" s="557"/>
      <c r="X476" s="557"/>
      <c r="Y476" s="557"/>
      <c r="Z476" s="557"/>
      <c r="AA476" s="557"/>
      <c r="AB476" s="605" t="s">
        <v>1379</v>
      </c>
      <c r="AC476" s="606" t="s">
        <v>1159</v>
      </c>
      <c r="AD476" s="628">
        <v>56.1</v>
      </c>
      <c r="AE476" s="588"/>
    </row>
    <row r="477" spans="1:31" ht="16" thickBot="1">
      <c r="A477" s="555" t="str">
        <f t="shared" si="38"/>
        <v>36.9</v>
      </c>
      <c r="B477" s="782" t="s">
        <v>1255</v>
      </c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83"/>
      <c r="N477" s="783"/>
      <c r="O477" s="784"/>
      <c r="P477" s="779" t="str">
        <f t="shared" si="37"/>
        <v>м</v>
      </c>
      <c r="Q477" s="780"/>
      <c r="R477" s="1284" t="str">
        <f>CONCATENATE(AD477)</f>
        <v>10</v>
      </c>
      <c r="S477" s="1285"/>
      <c r="T477" s="1286"/>
      <c r="U477" s="556">
        <f t="shared" si="34"/>
        <v>36</v>
      </c>
      <c r="V477" s="558">
        <f t="shared" si="35"/>
        <v>9</v>
      </c>
      <c r="W477" s="557"/>
      <c r="X477" s="557"/>
      <c r="Y477" s="557"/>
      <c r="Z477" s="557"/>
      <c r="AA477" s="557"/>
      <c r="AB477" s="605" t="s">
        <v>1255</v>
      </c>
      <c r="AC477" s="606" t="s">
        <v>1159</v>
      </c>
      <c r="AD477" s="628">
        <v>10</v>
      </c>
      <c r="AE477" s="588"/>
    </row>
    <row r="478" spans="1:31" ht="29.5" thickBot="1">
      <c r="A478" s="555" t="str">
        <f t="shared" si="38"/>
        <v>36.10</v>
      </c>
      <c r="B478" s="782" t="s">
        <v>1256</v>
      </c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83"/>
      <c r="N478" s="783"/>
      <c r="O478" s="784"/>
      <c r="P478" s="779" t="str">
        <f t="shared" si="37"/>
        <v>м</v>
      </c>
      <c r="Q478" s="780"/>
      <c r="R478" s="1284">
        <v>10</v>
      </c>
      <c r="S478" s="1285"/>
      <c r="T478" s="1286"/>
      <c r="U478" s="556">
        <f t="shared" si="34"/>
        <v>36</v>
      </c>
      <c r="V478" s="558">
        <f t="shared" si="35"/>
        <v>10</v>
      </c>
      <c r="W478" s="557"/>
      <c r="X478" s="557"/>
      <c r="Y478" s="557"/>
      <c r="Z478" s="557"/>
      <c r="AA478" s="557"/>
      <c r="AB478" s="605" t="s">
        <v>1256</v>
      </c>
      <c r="AC478" s="606" t="s">
        <v>1159</v>
      </c>
      <c r="AD478" s="628">
        <v>4</v>
      </c>
      <c r="AE478" s="588"/>
    </row>
    <row r="479" spans="1:31" ht="16" thickBot="1">
      <c r="A479" s="555" t="str">
        <f t="shared" si="38"/>
        <v>36.11</v>
      </c>
      <c r="B479" s="782" t="s">
        <v>1413</v>
      </c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83"/>
      <c r="N479" s="783"/>
      <c r="O479" s="784"/>
      <c r="P479" s="779" t="str">
        <f t="shared" si="37"/>
        <v>м</v>
      </c>
      <c r="Q479" s="780"/>
      <c r="R479" s="1284">
        <v>3</v>
      </c>
      <c r="S479" s="1285"/>
      <c r="T479" s="1286"/>
      <c r="U479" s="556">
        <f t="shared" si="34"/>
        <v>36</v>
      </c>
      <c r="V479" s="558">
        <f t="shared" si="35"/>
        <v>11</v>
      </c>
      <c r="W479" s="557"/>
      <c r="X479" s="557"/>
      <c r="Y479" s="557"/>
      <c r="Z479" s="557"/>
      <c r="AA479" s="557"/>
      <c r="AB479" s="605" t="s">
        <v>1257</v>
      </c>
      <c r="AC479" s="606" t="s">
        <v>1159</v>
      </c>
      <c r="AD479" s="628">
        <v>4</v>
      </c>
      <c r="AE479" s="588"/>
    </row>
    <row r="480" spans="1:31" ht="17.25" customHeight="1" thickBot="1">
      <c r="A480" s="555" t="str">
        <f t="shared" si="38"/>
        <v>36.12</v>
      </c>
      <c r="B480" s="782" t="s">
        <v>1258</v>
      </c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83"/>
      <c r="N480" s="783"/>
      <c r="O480" s="784"/>
      <c r="P480" s="779" t="str">
        <f t="shared" si="37"/>
        <v>м</v>
      </c>
      <c r="Q480" s="780"/>
      <c r="R480" s="1284">
        <v>3</v>
      </c>
      <c r="S480" s="1285"/>
      <c r="T480" s="1286"/>
      <c r="U480" s="556">
        <f t="shared" si="34"/>
        <v>36</v>
      </c>
      <c r="V480" s="558">
        <f t="shared" si="35"/>
        <v>12</v>
      </c>
      <c r="W480" s="557"/>
      <c r="X480" s="557"/>
      <c r="Y480" s="557"/>
      <c r="Z480" s="557"/>
      <c r="AA480" s="557"/>
      <c r="AB480" s="605" t="s">
        <v>1258</v>
      </c>
      <c r="AC480" s="606" t="s">
        <v>1159</v>
      </c>
      <c r="AD480" s="628">
        <v>2</v>
      </c>
      <c r="AE480" s="588"/>
    </row>
    <row r="481" spans="1:31" ht="16" thickBot="1">
      <c r="A481" s="555" t="str">
        <f t="shared" si="38"/>
        <v>36.13</v>
      </c>
      <c r="B481" s="782" t="s">
        <v>1449</v>
      </c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83"/>
      <c r="N481" s="783"/>
      <c r="O481" s="784"/>
      <c r="P481" s="779" t="str">
        <f t="shared" si="37"/>
        <v>м</v>
      </c>
      <c r="Q481" s="780"/>
      <c r="R481" s="1284">
        <f>24.05*2+23.1*2</f>
        <v>94.300000000000011</v>
      </c>
      <c r="S481" s="1285"/>
      <c r="T481" s="1286"/>
      <c r="U481" s="556">
        <f t="shared" si="34"/>
        <v>36</v>
      </c>
      <c r="V481" s="558">
        <f t="shared" si="35"/>
        <v>13</v>
      </c>
      <c r="W481" s="557"/>
      <c r="X481" s="557"/>
      <c r="Y481" s="557"/>
      <c r="Z481" s="557"/>
      <c r="AA481" s="557"/>
      <c r="AB481" s="605" t="s">
        <v>1370</v>
      </c>
      <c r="AC481" s="606" t="s">
        <v>1159</v>
      </c>
      <c r="AD481" s="628">
        <v>89</v>
      </c>
      <c r="AE481" s="588"/>
    </row>
    <row r="482" spans="1:31" ht="29.5" thickBot="1">
      <c r="A482" s="555" t="str">
        <f t="shared" si="38"/>
        <v>36.14</v>
      </c>
      <c r="B482" s="782" t="s">
        <v>1260</v>
      </c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83"/>
      <c r="N482" s="783"/>
      <c r="O482" s="784"/>
      <c r="P482" s="779" t="str">
        <f t="shared" si="37"/>
        <v>шт</v>
      </c>
      <c r="Q482" s="780"/>
      <c r="R482" s="1284" t="str">
        <f>CONCATENATE(AD482)</f>
        <v>8</v>
      </c>
      <c r="S482" s="1285"/>
      <c r="T482" s="1286"/>
      <c r="U482" s="556">
        <f t="shared" si="34"/>
        <v>36</v>
      </c>
      <c r="V482" s="558">
        <f t="shared" si="35"/>
        <v>14</v>
      </c>
      <c r="W482" s="557"/>
      <c r="X482" s="557"/>
      <c r="Y482" s="557"/>
      <c r="Z482" s="557"/>
      <c r="AA482" s="557"/>
      <c r="AB482" s="605" t="s">
        <v>1260</v>
      </c>
      <c r="AC482" s="606" t="s">
        <v>1161</v>
      </c>
      <c r="AD482" s="628">
        <v>8</v>
      </c>
      <c r="AE482" s="588"/>
    </row>
    <row r="483" spans="1:31" ht="29.5" thickBot="1">
      <c r="A483" s="555" t="str">
        <f t="shared" si="38"/>
        <v>36.15</v>
      </c>
      <c r="B483" s="782" t="s">
        <v>1422</v>
      </c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83"/>
      <c r="N483" s="783"/>
      <c r="O483" s="784"/>
      <c r="P483" s="779" t="str">
        <f t="shared" si="37"/>
        <v>м3</v>
      </c>
      <c r="Q483" s="780"/>
      <c r="R483" s="1284">
        <f>R475</f>
        <v>0.98999999999999988</v>
      </c>
      <c r="S483" s="1285"/>
      <c r="T483" s="1286"/>
      <c r="U483" s="556">
        <f t="shared" si="34"/>
        <v>36</v>
      </c>
      <c r="V483" s="558">
        <f t="shared" si="35"/>
        <v>15</v>
      </c>
      <c r="W483" s="557"/>
      <c r="X483" s="557"/>
      <c r="Y483" s="557"/>
      <c r="Z483" s="557"/>
      <c r="AA483" s="557"/>
      <c r="AB483" s="605" t="s">
        <v>1380</v>
      </c>
      <c r="AC483" s="606" t="s">
        <v>1163</v>
      </c>
      <c r="AD483" s="628">
        <v>5.4</v>
      </c>
      <c r="AE483" s="588"/>
    </row>
    <row r="484" spans="1:31" ht="21.75" customHeight="1" thickBot="1">
      <c r="A484" s="555" t="str">
        <f t="shared" si="38"/>
        <v>36.16</v>
      </c>
      <c r="B484" s="782" t="s">
        <v>1423</v>
      </c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83"/>
      <c r="N484" s="783"/>
      <c r="O484" s="784"/>
      <c r="P484" s="779" t="str">
        <f t="shared" si="37"/>
        <v>шт</v>
      </c>
      <c r="Q484" s="780"/>
      <c r="R484" s="1284">
        <f>X434*2/0.48</f>
        <v>55</v>
      </c>
      <c r="S484" s="1285"/>
      <c r="T484" s="1286"/>
      <c r="U484" s="556">
        <f t="shared" si="34"/>
        <v>36</v>
      </c>
      <c r="V484" s="558">
        <f t="shared" si="35"/>
        <v>16</v>
      </c>
      <c r="W484" s="557"/>
      <c r="X484" s="557"/>
      <c r="Y484" s="557"/>
      <c r="Z484" s="557"/>
      <c r="AA484" s="557"/>
      <c r="AB484" s="605" t="s">
        <v>1381</v>
      </c>
      <c r="AC484" s="606" t="s">
        <v>1161</v>
      </c>
      <c r="AD484" s="628">
        <v>114</v>
      </c>
      <c r="AE484" s="588"/>
    </row>
    <row r="485" spans="1:31" ht="29.5" thickBot="1">
      <c r="A485" s="555" t="str">
        <f t="shared" si="38"/>
        <v>36.17</v>
      </c>
      <c r="B485" s="782" t="s">
        <v>1420</v>
      </c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83"/>
      <c r="N485" s="783"/>
      <c r="O485" s="784"/>
      <c r="P485" s="779" t="str">
        <f t="shared" si="37"/>
        <v>м3</v>
      </c>
      <c r="Q485" s="780"/>
      <c r="R485" s="1284">
        <f>ROUND(X434*0.425,2)-R475-R483</f>
        <v>3.6300000000000003</v>
      </c>
      <c r="S485" s="1285"/>
      <c r="T485" s="1286"/>
      <c r="U485" s="556">
        <f t="shared" si="34"/>
        <v>36</v>
      </c>
      <c r="V485" s="558">
        <f t="shared" si="35"/>
        <v>17</v>
      </c>
      <c r="W485" s="557"/>
      <c r="X485" s="557"/>
      <c r="Y485" s="557"/>
      <c r="Z485" s="557"/>
      <c r="AA485" s="557"/>
      <c r="AB485" s="605" t="s">
        <v>1382</v>
      </c>
      <c r="AC485" s="606" t="s">
        <v>1163</v>
      </c>
      <c r="AD485" s="628">
        <v>19.8</v>
      </c>
      <c r="AE485" s="588"/>
    </row>
    <row r="486" spans="1:31" ht="33" customHeight="1" thickBot="1">
      <c r="A486" s="555" t="str">
        <f t="shared" si="38"/>
        <v>36.18</v>
      </c>
      <c r="B486" s="782" t="s">
        <v>1415</v>
      </c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83"/>
      <c r="N486" s="783"/>
      <c r="O486" s="784"/>
      <c r="P486" s="779" t="str">
        <f t="shared" si="37"/>
        <v>т.</v>
      </c>
      <c r="Q486" s="780"/>
      <c r="R486" s="1284">
        <f>(ROUND(X434*0.425,2)-R485)*1.8</f>
        <v>3.5640000000000001</v>
      </c>
      <c r="S486" s="1285"/>
      <c r="T486" s="1286"/>
      <c r="U486" s="556">
        <f t="shared" si="34"/>
        <v>36</v>
      </c>
      <c r="V486" s="558">
        <f t="shared" si="35"/>
        <v>18</v>
      </c>
      <c r="W486" s="557"/>
      <c r="X486" s="557"/>
      <c r="Y486" s="557"/>
      <c r="Z486" s="557"/>
      <c r="AA486" s="557"/>
      <c r="AB486" s="605" t="s">
        <v>1383</v>
      </c>
      <c r="AC486" s="606" t="s">
        <v>1244</v>
      </c>
      <c r="AD486" s="628">
        <v>19.399999999999999</v>
      </c>
      <c r="AE486" s="588"/>
    </row>
    <row r="487" spans="1:31" ht="49.5" customHeight="1" thickBot="1">
      <c r="A487" s="555" t="str">
        <f t="shared" si="38"/>
        <v>36.19</v>
      </c>
      <c r="B487" s="782" t="s">
        <v>1266</v>
      </c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83"/>
      <c r="N487" s="783"/>
      <c r="O487" s="784"/>
      <c r="P487" s="779" t="str">
        <f t="shared" si="37"/>
        <v>т.</v>
      </c>
      <c r="Q487" s="780"/>
      <c r="R487" s="1284">
        <f>R486</f>
        <v>3.5640000000000001</v>
      </c>
      <c r="S487" s="1285"/>
      <c r="T487" s="1286"/>
      <c r="U487" s="556">
        <f t="shared" si="34"/>
        <v>36</v>
      </c>
      <c r="V487" s="558">
        <f t="shared" si="35"/>
        <v>19</v>
      </c>
      <c r="W487" s="557"/>
      <c r="X487" s="557"/>
      <c r="Y487" s="557"/>
      <c r="Z487" s="557"/>
      <c r="AA487" s="557"/>
      <c r="AB487" s="605" t="s">
        <v>1266</v>
      </c>
      <c r="AC487" s="606" t="s">
        <v>1244</v>
      </c>
      <c r="AD487" s="628">
        <v>19.399999999999999</v>
      </c>
      <c r="AE487" s="588"/>
    </row>
    <row r="488" spans="1:31" ht="29">
      <c r="A488" s="555" t="str">
        <f t="shared" si="38"/>
        <v>36.20</v>
      </c>
      <c r="B488" s="782" t="s">
        <v>1267</v>
      </c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83"/>
      <c r="N488" s="783"/>
      <c r="O488" s="784"/>
      <c r="P488" s="779" t="str">
        <f t="shared" si="37"/>
        <v>компл</v>
      </c>
      <c r="Q488" s="780"/>
      <c r="R488" s="1284" t="str">
        <f t="shared" ref="R488:R498" si="39">CONCATENATE(AD488)</f>
        <v>4</v>
      </c>
      <c r="S488" s="1285"/>
      <c r="T488" s="1286"/>
      <c r="U488" s="556">
        <f t="shared" si="34"/>
        <v>36</v>
      </c>
      <c r="V488" s="558">
        <f t="shared" si="35"/>
        <v>20</v>
      </c>
      <c r="W488" s="557"/>
      <c r="X488" s="557"/>
      <c r="Y488" s="557"/>
      <c r="Z488" s="557"/>
      <c r="AA488" s="557"/>
      <c r="AB488" s="624" t="s">
        <v>1267</v>
      </c>
      <c r="AC488" s="612" t="s">
        <v>1162</v>
      </c>
      <c r="AD488" s="634">
        <v>4</v>
      </c>
      <c r="AE488" s="588"/>
    </row>
    <row r="489" spans="1:31" ht="29.5" thickBot="1">
      <c r="A489" s="555" t="str">
        <f t="shared" si="38"/>
        <v>36.21</v>
      </c>
      <c r="B489" s="782" t="s">
        <v>1268</v>
      </c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83"/>
      <c r="N489" s="783"/>
      <c r="O489" s="784"/>
      <c r="P489" s="779" t="str">
        <f t="shared" si="37"/>
        <v>шт</v>
      </c>
      <c r="Q489" s="780"/>
      <c r="R489" s="1284" t="str">
        <f t="shared" si="39"/>
        <v>8</v>
      </c>
      <c r="S489" s="1285"/>
      <c r="T489" s="1286"/>
      <c r="U489" s="556">
        <f t="shared" si="34"/>
        <v>36</v>
      </c>
      <c r="V489" s="558">
        <f t="shared" si="35"/>
        <v>21</v>
      </c>
      <c r="W489" s="557"/>
      <c r="X489" s="557"/>
      <c r="Y489" s="557"/>
      <c r="Z489" s="557"/>
      <c r="AA489" s="557"/>
      <c r="AB489" s="605" t="s">
        <v>1268</v>
      </c>
      <c r="AC489" s="606" t="s">
        <v>1161</v>
      </c>
      <c r="AD489" s="628">
        <v>8</v>
      </c>
      <c r="AE489" s="588"/>
    </row>
    <row r="490" spans="1:31" ht="16" thickBot="1">
      <c r="A490" s="555" t="str">
        <f t="shared" si="38"/>
        <v>36.22</v>
      </c>
      <c r="B490" s="782" t="s">
        <v>1269</v>
      </c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83"/>
      <c r="N490" s="783"/>
      <c r="O490" s="784"/>
      <c r="P490" s="779" t="str">
        <f t="shared" si="37"/>
        <v>шт</v>
      </c>
      <c r="Q490" s="780"/>
      <c r="R490" s="1284" t="str">
        <f t="shared" si="39"/>
        <v>8</v>
      </c>
      <c r="S490" s="1285"/>
      <c r="T490" s="1286"/>
      <c r="U490" s="556">
        <f t="shared" si="34"/>
        <v>36</v>
      </c>
      <c r="V490" s="558">
        <f t="shared" si="35"/>
        <v>22</v>
      </c>
      <c r="W490" s="557"/>
      <c r="X490" s="557"/>
      <c r="Y490" s="557"/>
      <c r="Z490" s="557"/>
      <c r="AA490" s="557"/>
      <c r="AB490" s="605" t="s">
        <v>1269</v>
      </c>
      <c r="AC490" s="606" t="s">
        <v>1161</v>
      </c>
      <c r="AD490" s="628">
        <v>8</v>
      </c>
      <c r="AE490" s="588"/>
    </row>
    <row r="491" spans="1:31" ht="16" thickBot="1">
      <c r="A491" s="555" t="str">
        <f t="shared" si="38"/>
        <v>36.23</v>
      </c>
      <c r="B491" s="782" t="s">
        <v>1270</v>
      </c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83"/>
      <c r="N491" s="783"/>
      <c r="O491" s="784"/>
      <c r="P491" s="779" t="str">
        <f t="shared" si="37"/>
        <v>шт</v>
      </c>
      <c r="Q491" s="780"/>
      <c r="R491" s="1284" t="str">
        <f t="shared" si="39"/>
        <v>4</v>
      </c>
      <c r="S491" s="1285"/>
      <c r="T491" s="1286"/>
      <c r="U491" s="556">
        <f t="shared" si="34"/>
        <v>36</v>
      </c>
      <c r="V491" s="558">
        <f t="shared" si="35"/>
        <v>23</v>
      </c>
      <c r="W491" s="557"/>
      <c r="X491" s="557"/>
      <c r="Y491" s="557"/>
      <c r="Z491" s="557"/>
      <c r="AA491" s="557"/>
      <c r="AB491" s="605" t="s">
        <v>1270</v>
      </c>
      <c r="AC491" s="606" t="s">
        <v>1161</v>
      </c>
      <c r="AD491" s="628">
        <v>4</v>
      </c>
      <c r="AE491" s="588"/>
    </row>
    <row r="492" spans="1:31">
      <c r="A492" s="554" t="str">
        <f t="shared" si="38"/>
        <v>37.</v>
      </c>
      <c r="B492" s="785" t="s">
        <v>1219</v>
      </c>
      <c r="C492" s="786"/>
      <c r="D492" s="786"/>
      <c r="E492" s="786"/>
      <c r="F492" s="786"/>
      <c r="G492" s="786"/>
      <c r="H492" s="786"/>
      <c r="I492" s="786"/>
      <c r="J492" s="786"/>
      <c r="K492" s="786"/>
      <c r="L492" s="786"/>
      <c r="M492" s="786"/>
      <c r="N492" s="786"/>
      <c r="O492" s="787"/>
      <c r="P492" s="779" t="str">
        <f t="shared" si="37"/>
        <v/>
      </c>
      <c r="Q492" s="780"/>
      <c r="R492" s="1284" t="str">
        <f t="shared" si="39"/>
        <v/>
      </c>
      <c r="S492" s="1285"/>
      <c r="T492" s="1286"/>
      <c r="U492" s="556">
        <v>37</v>
      </c>
      <c r="V492" s="558"/>
      <c r="W492" s="557"/>
      <c r="X492" s="557"/>
      <c r="Y492" s="557"/>
      <c r="Z492" s="557"/>
      <c r="AA492" s="557"/>
      <c r="AB492" s="635" t="s">
        <v>1219</v>
      </c>
      <c r="AC492" s="645"/>
      <c r="AD492" s="592"/>
      <c r="AE492" s="588"/>
    </row>
    <row r="493" spans="1:31" ht="16" thickBot="1">
      <c r="A493" s="555" t="str">
        <f t="shared" si="38"/>
        <v>37.1</v>
      </c>
      <c r="B493" s="782" t="s">
        <v>1220</v>
      </c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83"/>
      <c r="N493" s="783"/>
      <c r="O493" s="784"/>
      <c r="P493" s="779" t="str">
        <f t="shared" si="37"/>
        <v>шт.</v>
      </c>
      <c r="Q493" s="780"/>
      <c r="R493" s="1284" t="str">
        <f t="shared" si="39"/>
        <v>2</v>
      </c>
      <c r="S493" s="1285"/>
      <c r="T493" s="1286"/>
      <c r="U493" s="556">
        <f t="shared" si="34"/>
        <v>37</v>
      </c>
      <c r="V493" s="558">
        <f t="shared" si="35"/>
        <v>1</v>
      </c>
      <c r="W493" s="557"/>
      <c r="X493" s="557"/>
      <c r="Y493" s="557"/>
      <c r="Z493" s="557"/>
      <c r="AA493" s="557"/>
      <c r="AB493" s="605" t="s">
        <v>1220</v>
      </c>
      <c r="AC493" s="606" t="s">
        <v>1194</v>
      </c>
      <c r="AD493" s="628">
        <v>2</v>
      </c>
      <c r="AE493" s="588"/>
    </row>
    <row r="494" spans="1:31" ht="16" thickBot="1">
      <c r="A494" s="555" t="str">
        <f t="shared" si="38"/>
        <v>37.2</v>
      </c>
      <c r="B494" s="782" t="s">
        <v>1271</v>
      </c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83"/>
      <c r="N494" s="783"/>
      <c r="O494" s="784"/>
      <c r="P494" s="779" t="str">
        <f t="shared" si="37"/>
        <v>изм.</v>
      </c>
      <c r="Q494" s="780"/>
      <c r="R494" s="1284" t="str">
        <f t="shared" si="39"/>
        <v>2</v>
      </c>
      <c r="S494" s="1285"/>
      <c r="T494" s="1286"/>
      <c r="U494" s="556">
        <f t="shared" si="34"/>
        <v>37</v>
      </c>
      <c r="V494" s="558">
        <f t="shared" si="35"/>
        <v>2</v>
      </c>
      <c r="W494" s="557"/>
      <c r="X494" s="557"/>
      <c r="Y494" s="557"/>
      <c r="Z494" s="557"/>
      <c r="AA494" s="557"/>
      <c r="AB494" s="605" t="s">
        <v>1271</v>
      </c>
      <c r="AC494" s="606" t="s">
        <v>1213</v>
      </c>
      <c r="AD494" s="628">
        <v>2</v>
      </c>
      <c r="AE494" s="588"/>
    </row>
    <row r="495" spans="1:31" ht="16" thickBot="1">
      <c r="A495" s="555" t="str">
        <f t="shared" si="38"/>
        <v>37.3</v>
      </c>
      <c r="B495" s="782" t="s">
        <v>1272</v>
      </c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83"/>
      <c r="N495" s="783"/>
      <c r="O495" s="784"/>
      <c r="P495" s="779" t="str">
        <f t="shared" si="37"/>
        <v>изм.</v>
      </c>
      <c r="Q495" s="780"/>
      <c r="R495" s="1284" t="str">
        <f t="shared" si="39"/>
        <v>3</v>
      </c>
      <c r="S495" s="1285"/>
      <c r="T495" s="1286"/>
      <c r="U495" s="556">
        <f t="shared" si="34"/>
        <v>37</v>
      </c>
      <c r="V495" s="558">
        <f t="shared" si="35"/>
        <v>3</v>
      </c>
      <c r="W495" s="557"/>
      <c r="X495" s="557"/>
      <c r="Y495" s="557"/>
      <c r="Z495" s="557"/>
      <c r="AA495" s="557"/>
      <c r="AB495" s="605" t="s">
        <v>1272</v>
      </c>
      <c r="AC495" s="606" t="s">
        <v>1213</v>
      </c>
      <c r="AD495" s="628">
        <v>3</v>
      </c>
      <c r="AE495" s="588"/>
    </row>
    <row r="496" spans="1:31" ht="29.5" thickBot="1">
      <c r="A496" s="555" t="str">
        <f t="shared" si="38"/>
        <v>37.4</v>
      </c>
      <c r="B496" s="782" t="s">
        <v>1221</v>
      </c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83"/>
      <c r="N496" s="783"/>
      <c r="O496" s="784"/>
      <c r="P496" s="779" t="str">
        <f t="shared" si="37"/>
        <v>изм.</v>
      </c>
      <c r="Q496" s="780"/>
      <c r="R496" s="1284" t="str">
        <f t="shared" si="39"/>
        <v>4</v>
      </c>
      <c r="S496" s="1285"/>
      <c r="T496" s="1286"/>
      <c r="U496" s="556">
        <f t="shared" si="34"/>
        <v>37</v>
      </c>
      <c r="V496" s="558">
        <f t="shared" si="35"/>
        <v>4</v>
      </c>
      <c r="W496" s="557"/>
      <c r="X496" s="557"/>
      <c r="Y496" s="557"/>
      <c r="Z496" s="557"/>
      <c r="AA496" s="557"/>
      <c r="AB496" s="605" t="s">
        <v>1221</v>
      </c>
      <c r="AC496" s="606" t="s">
        <v>1213</v>
      </c>
      <c r="AD496" s="628">
        <v>4</v>
      </c>
      <c r="AE496" s="588"/>
    </row>
    <row r="497" spans="1:31" ht="29.5" thickBot="1">
      <c r="A497" s="555" t="str">
        <f t="shared" si="38"/>
        <v>37.5</v>
      </c>
      <c r="B497" s="782" t="s">
        <v>1273</v>
      </c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83"/>
      <c r="N497" s="783"/>
      <c r="O497" s="784"/>
      <c r="P497" s="779" t="str">
        <f t="shared" si="37"/>
        <v>изм.</v>
      </c>
      <c r="Q497" s="780"/>
      <c r="R497" s="1284" t="str">
        <f t="shared" si="39"/>
        <v>1</v>
      </c>
      <c r="S497" s="1285"/>
      <c r="T497" s="1286"/>
      <c r="U497" s="556">
        <f t="shared" ref="U497:U520" si="40">U496</f>
        <v>37</v>
      </c>
      <c r="V497" s="558">
        <f t="shared" ref="V497:V520" si="41">V496+1</f>
        <v>5</v>
      </c>
      <c r="W497" s="557"/>
      <c r="X497" s="557"/>
      <c r="Y497" s="557"/>
      <c r="Z497" s="557"/>
      <c r="AA497" s="557"/>
      <c r="AB497" s="605" t="s">
        <v>1273</v>
      </c>
      <c r="AC497" s="606" t="s">
        <v>1213</v>
      </c>
      <c r="AD497" s="628">
        <v>1</v>
      </c>
      <c r="AE497" s="588"/>
    </row>
    <row r="498" spans="1:31" ht="29.5" thickBot="1">
      <c r="A498" s="555" t="str">
        <f t="shared" si="38"/>
        <v>37.6</v>
      </c>
      <c r="B498" s="782" t="s">
        <v>1274</v>
      </c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83"/>
      <c r="N498" s="783"/>
      <c r="O498" s="784"/>
      <c r="P498" s="779" t="str">
        <f t="shared" si="37"/>
        <v>точек</v>
      </c>
      <c r="Q498" s="780"/>
      <c r="R498" s="1284" t="str">
        <f t="shared" si="39"/>
        <v>1</v>
      </c>
      <c r="S498" s="1285"/>
      <c r="T498" s="1286"/>
      <c r="U498" s="556">
        <f t="shared" si="40"/>
        <v>37</v>
      </c>
      <c r="V498" s="558">
        <f t="shared" si="41"/>
        <v>6</v>
      </c>
      <c r="W498" s="557"/>
      <c r="X498" s="557"/>
      <c r="Y498" s="557"/>
      <c r="Z498" s="557"/>
      <c r="AA498" s="557"/>
      <c r="AB498" s="624" t="s">
        <v>1274</v>
      </c>
      <c r="AC498" s="612" t="s">
        <v>1164</v>
      </c>
      <c r="AD498" s="634">
        <v>1</v>
      </c>
      <c r="AE498" s="588"/>
    </row>
    <row r="499" spans="1:31" ht="16" thickBot="1">
      <c r="A499" s="555" t="str">
        <f t="shared" si="38"/>
        <v>37.7</v>
      </c>
      <c r="B499" s="782" t="s">
        <v>1275</v>
      </c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83"/>
      <c r="N499" s="783"/>
      <c r="O499" s="784"/>
      <c r="P499" s="779" t="str">
        <f t="shared" si="37"/>
        <v>км</v>
      </c>
      <c r="Q499" s="780"/>
      <c r="R499" s="1284">
        <f>R434/1000</f>
        <v>6.0200000000000004E-2</v>
      </c>
      <c r="S499" s="1285"/>
      <c r="T499" s="1286"/>
      <c r="U499" s="556">
        <f t="shared" si="40"/>
        <v>37</v>
      </c>
      <c r="V499" s="558">
        <f t="shared" si="41"/>
        <v>7</v>
      </c>
      <c r="W499" s="557"/>
      <c r="X499" s="557"/>
      <c r="Y499" s="557"/>
      <c r="Z499" s="557"/>
      <c r="AA499" s="557"/>
      <c r="AB499" s="625" t="s">
        <v>1275</v>
      </c>
      <c r="AC499" s="626" t="s">
        <v>1192</v>
      </c>
      <c r="AD499" s="631">
        <v>7.1999999999999995E-2</v>
      </c>
      <c r="AE499" s="588"/>
    </row>
    <row r="500" spans="1:31" ht="17.5" customHeight="1" thickBot="1">
      <c r="A500" s="555"/>
      <c r="B500" s="785" t="s">
        <v>1401</v>
      </c>
      <c r="C500" s="786"/>
      <c r="D500" s="786"/>
      <c r="E500" s="786"/>
      <c r="F500" s="786"/>
      <c r="G500" s="786"/>
      <c r="H500" s="786"/>
      <c r="I500" s="786"/>
      <c r="J500" s="786"/>
      <c r="K500" s="786"/>
      <c r="L500" s="786"/>
      <c r="M500" s="786"/>
      <c r="N500" s="786"/>
      <c r="O500" s="787"/>
      <c r="P500" s="779" t="str">
        <f t="shared" si="37"/>
        <v/>
      </c>
      <c r="Q500" s="780"/>
      <c r="R500" s="1284" t="str">
        <f>CONCATENATE(AD500)</f>
        <v/>
      </c>
      <c r="S500" s="1285"/>
      <c r="T500" s="1286"/>
      <c r="U500" s="556">
        <f t="shared" si="40"/>
        <v>37</v>
      </c>
      <c r="V500" s="558">
        <f t="shared" si="41"/>
        <v>8</v>
      </c>
      <c r="W500" s="557"/>
      <c r="X500" s="557"/>
      <c r="Y500" s="557"/>
      <c r="Z500" s="557"/>
      <c r="AA500" s="557"/>
      <c r="AB500" s="608" t="s">
        <v>1384</v>
      </c>
      <c r="AC500" s="608"/>
      <c r="AD500" s="644"/>
      <c r="AE500" s="588"/>
    </row>
    <row r="501" spans="1:31" ht="29.5" thickBot="1">
      <c r="A501" s="555" t="str">
        <f t="shared" si="38"/>
        <v>38.1</v>
      </c>
      <c r="B501" s="782" t="s">
        <v>1385</v>
      </c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83"/>
      <c r="N501" s="783"/>
      <c r="O501" s="784"/>
      <c r="P501" s="779" t="str">
        <f t="shared" si="37"/>
        <v>м3</v>
      </c>
      <c r="Q501" s="780"/>
      <c r="R501" s="1284">
        <f>0.5*8</f>
        <v>4</v>
      </c>
      <c r="S501" s="1285"/>
      <c r="T501" s="1286"/>
      <c r="U501" s="556">
        <v>38</v>
      </c>
      <c r="V501" s="558">
        <v>1</v>
      </c>
      <c r="W501" s="557"/>
      <c r="X501" s="557"/>
      <c r="Y501" s="557"/>
      <c r="Z501" s="557"/>
      <c r="AA501" s="557"/>
      <c r="AB501" s="625" t="s">
        <v>1385</v>
      </c>
      <c r="AC501" s="626" t="s">
        <v>1163</v>
      </c>
      <c r="AD501" s="627">
        <v>0.5</v>
      </c>
      <c r="AE501" s="588"/>
    </row>
    <row r="502" spans="1:31" ht="16" thickBot="1">
      <c r="A502" s="555" t="str">
        <f t="shared" si="38"/>
        <v>38.2</v>
      </c>
      <c r="B502" s="782" t="s">
        <v>1386</v>
      </c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83"/>
      <c r="N502" s="783"/>
      <c r="O502" s="784"/>
      <c r="P502" s="779" t="str">
        <f t="shared" si="37"/>
        <v>шт./т.</v>
      </c>
      <c r="Q502" s="780"/>
      <c r="R502" s="1284" t="str">
        <f>CONCATENATE(1*8,"/",0.099*8)</f>
        <v>8/0,792</v>
      </c>
      <c r="S502" s="1285"/>
      <c r="T502" s="1286"/>
      <c r="U502" s="556">
        <f t="shared" si="40"/>
        <v>38</v>
      </c>
      <c r="V502" s="558">
        <f t="shared" si="41"/>
        <v>2</v>
      </c>
      <c r="W502" s="557"/>
      <c r="X502" s="557"/>
      <c r="Y502" s="557"/>
      <c r="Z502" s="557"/>
      <c r="AA502" s="557"/>
      <c r="AB502" s="605" t="s">
        <v>1386</v>
      </c>
      <c r="AC502" s="606" t="s">
        <v>1387</v>
      </c>
      <c r="AD502" s="629" t="s">
        <v>1388</v>
      </c>
      <c r="AE502" s="588"/>
    </row>
    <row r="503" spans="1:31" ht="16" thickBot="1">
      <c r="A503" s="555" t="str">
        <f t="shared" si="38"/>
        <v>38.3</v>
      </c>
      <c r="B503" s="782" t="s">
        <v>1389</v>
      </c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83"/>
      <c r="N503" s="783"/>
      <c r="O503" s="784"/>
      <c r="P503" s="779" t="str">
        <f t="shared" si="37"/>
        <v>шт</v>
      </c>
      <c r="Q503" s="780"/>
      <c r="R503" s="1284">
        <v>8</v>
      </c>
      <c r="S503" s="1285"/>
      <c r="T503" s="1286"/>
      <c r="U503" s="556">
        <f t="shared" si="40"/>
        <v>38</v>
      </c>
      <c r="V503" s="558">
        <f t="shared" si="41"/>
        <v>3</v>
      </c>
      <c r="W503" s="557"/>
      <c r="X503" s="557"/>
      <c r="Y503" s="557"/>
      <c r="Z503" s="557"/>
      <c r="AA503" s="557"/>
      <c r="AB503" s="605" t="s">
        <v>1389</v>
      </c>
      <c r="AC503" s="606" t="s">
        <v>1161</v>
      </c>
      <c r="AD503" s="628">
        <v>1</v>
      </c>
      <c r="AE503" s="588"/>
    </row>
    <row r="504" spans="1:31" ht="29.5" thickBot="1">
      <c r="A504" s="555" t="str">
        <f t="shared" si="38"/>
        <v>38.4</v>
      </c>
      <c r="B504" s="782" t="s">
        <v>1390</v>
      </c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83"/>
      <c r="N504" s="783"/>
      <c r="O504" s="784"/>
      <c r="P504" s="779" t="str">
        <f t="shared" si="37"/>
        <v>шт.</v>
      </c>
      <c r="Q504" s="780"/>
      <c r="R504" s="1284">
        <v>48</v>
      </c>
      <c r="S504" s="1285"/>
      <c r="T504" s="1286"/>
      <c r="U504" s="556">
        <f t="shared" si="40"/>
        <v>38</v>
      </c>
      <c r="V504" s="558">
        <f t="shared" si="41"/>
        <v>4</v>
      </c>
      <c r="W504" s="557"/>
      <c r="X504" s="557"/>
      <c r="Y504" s="557"/>
      <c r="Z504" s="557"/>
      <c r="AA504" s="557"/>
      <c r="AB504" s="605" t="s">
        <v>1390</v>
      </c>
      <c r="AC504" s="606" t="s">
        <v>1194</v>
      </c>
      <c r="AD504" s="628">
        <v>6</v>
      </c>
      <c r="AE504" s="588"/>
    </row>
    <row r="505" spans="1:31" ht="51" customHeight="1" thickBot="1">
      <c r="A505" s="555" t="str">
        <f t="shared" si="38"/>
        <v>38.5</v>
      </c>
      <c r="B505" s="782" t="s">
        <v>1391</v>
      </c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83"/>
      <c r="N505" s="783"/>
      <c r="O505" s="784"/>
      <c r="P505" s="779" t="str">
        <f t="shared" si="37"/>
        <v>м/м3</v>
      </c>
      <c r="Q505" s="780"/>
      <c r="R505" s="1284" t="s">
        <v>1402</v>
      </c>
      <c r="S505" s="1285"/>
      <c r="T505" s="1286"/>
      <c r="U505" s="556">
        <f t="shared" si="40"/>
        <v>38</v>
      </c>
      <c r="V505" s="558">
        <f t="shared" si="41"/>
        <v>5</v>
      </c>
      <c r="W505" s="557"/>
      <c r="X505" s="557">
        <f>1.26*8</f>
        <v>10.08</v>
      </c>
      <c r="Y505" s="557"/>
      <c r="Z505" s="557"/>
      <c r="AA505" s="557"/>
      <c r="AB505" s="605" t="s">
        <v>1391</v>
      </c>
      <c r="AC505" s="606" t="s">
        <v>1217</v>
      </c>
      <c r="AD505" s="628" t="s">
        <v>1392</v>
      </c>
      <c r="AE505" s="588"/>
    </row>
    <row r="506" spans="1:31" ht="16" thickBot="1">
      <c r="A506" s="555" t="str">
        <f t="shared" si="38"/>
        <v>38.6</v>
      </c>
      <c r="B506" s="782" t="s">
        <v>1207</v>
      </c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83"/>
      <c r="N506" s="783"/>
      <c r="O506" s="784"/>
      <c r="P506" s="779" t="str">
        <f t="shared" si="37"/>
        <v>м3</v>
      </c>
      <c r="Q506" s="780"/>
      <c r="R506" s="1284">
        <f>X505*0.7</f>
        <v>7.0559999999999992</v>
      </c>
      <c r="S506" s="1285"/>
      <c r="T506" s="1286"/>
      <c r="U506" s="556">
        <f t="shared" si="40"/>
        <v>38</v>
      </c>
      <c r="V506" s="558">
        <f t="shared" si="41"/>
        <v>6</v>
      </c>
      <c r="W506" s="557"/>
      <c r="X506" s="557"/>
      <c r="Y506" s="557"/>
      <c r="Z506" s="557"/>
      <c r="AA506" s="557"/>
      <c r="AB506" s="605" t="s">
        <v>1207</v>
      </c>
      <c r="AC506" s="606" t="s">
        <v>1163</v>
      </c>
      <c r="AD506" s="629">
        <v>0.88200000000000001</v>
      </c>
      <c r="AE506" s="588"/>
    </row>
    <row r="507" spans="1:31" ht="16" thickBot="1">
      <c r="A507" s="555" t="str">
        <f t="shared" si="38"/>
        <v>38.7</v>
      </c>
      <c r="B507" s="782" t="s">
        <v>1208</v>
      </c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83"/>
      <c r="N507" s="783"/>
      <c r="O507" s="784"/>
      <c r="P507" s="779" t="str">
        <f t="shared" si="37"/>
        <v>м3</v>
      </c>
      <c r="Q507" s="780"/>
      <c r="R507" s="1284">
        <f>X505*0.3</f>
        <v>3.024</v>
      </c>
      <c r="S507" s="1285"/>
      <c r="T507" s="1286"/>
      <c r="U507" s="556">
        <f t="shared" si="40"/>
        <v>38</v>
      </c>
      <c r="V507" s="558">
        <f t="shared" si="41"/>
        <v>7</v>
      </c>
      <c r="W507" s="557"/>
      <c r="X507" s="557"/>
      <c r="Y507" s="557"/>
      <c r="Z507" s="557"/>
      <c r="AA507" s="557"/>
      <c r="AB507" s="605" t="s">
        <v>1208</v>
      </c>
      <c r="AC507" s="606" t="s">
        <v>1163</v>
      </c>
      <c r="AD507" s="629">
        <v>0.378</v>
      </c>
      <c r="AE507" s="588"/>
    </row>
    <row r="508" spans="1:31" ht="16" thickBot="1">
      <c r="A508" s="555" t="str">
        <f t="shared" si="38"/>
        <v>38.8</v>
      </c>
      <c r="B508" s="782" t="s">
        <v>1218</v>
      </c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83"/>
      <c r="N508" s="783"/>
      <c r="O508" s="784"/>
      <c r="P508" s="779" t="str">
        <f t="shared" si="37"/>
        <v>м3</v>
      </c>
      <c r="Q508" s="780"/>
      <c r="R508" s="1284">
        <f>R507*0.1</f>
        <v>0.3024</v>
      </c>
      <c r="S508" s="1285"/>
      <c r="T508" s="1286"/>
      <c r="U508" s="556">
        <f t="shared" si="40"/>
        <v>38</v>
      </c>
      <c r="V508" s="558">
        <f t="shared" si="41"/>
        <v>8</v>
      </c>
      <c r="W508" s="557"/>
      <c r="X508" s="557"/>
      <c r="Y508" s="557"/>
      <c r="Z508" s="557"/>
      <c r="AA508" s="557"/>
      <c r="AB508" s="605" t="s">
        <v>1218</v>
      </c>
      <c r="AC508" s="606" t="s">
        <v>1163</v>
      </c>
      <c r="AD508" s="628">
        <v>0.4</v>
      </c>
      <c r="AE508" s="588"/>
    </row>
    <row r="509" spans="1:31" ht="16" thickBot="1">
      <c r="A509" s="555" t="str">
        <f t="shared" si="38"/>
        <v>38.9</v>
      </c>
      <c r="B509" s="782" t="s">
        <v>1393</v>
      </c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83"/>
      <c r="N509" s="783"/>
      <c r="O509" s="784"/>
      <c r="P509" s="779" t="str">
        <f t="shared" si="37"/>
        <v>шт./м</v>
      </c>
      <c r="Q509" s="780"/>
      <c r="R509" s="1284" t="s">
        <v>1222</v>
      </c>
      <c r="S509" s="1285"/>
      <c r="T509" s="1286"/>
      <c r="U509" s="556">
        <f t="shared" si="40"/>
        <v>38</v>
      </c>
      <c r="V509" s="558">
        <f t="shared" si="41"/>
        <v>9</v>
      </c>
      <c r="W509" s="557"/>
      <c r="X509" s="557"/>
      <c r="Y509" s="557"/>
      <c r="Z509" s="557"/>
      <c r="AA509" s="557"/>
      <c r="AB509" s="605" t="s">
        <v>1393</v>
      </c>
      <c r="AC509" s="606" t="s">
        <v>1209</v>
      </c>
      <c r="AD509" s="638">
        <v>45445</v>
      </c>
      <c r="AE509" s="588"/>
    </row>
    <row r="510" spans="1:31" ht="29.5" thickBot="1">
      <c r="A510" s="555" t="str">
        <f t="shared" si="38"/>
        <v>38.10</v>
      </c>
      <c r="B510" s="782" t="s">
        <v>1394</v>
      </c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83"/>
      <c r="N510" s="783"/>
      <c r="O510" s="784"/>
      <c r="P510" s="779" t="str">
        <f t="shared" si="37"/>
        <v>шт./м</v>
      </c>
      <c r="Q510" s="780"/>
      <c r="R510" s="1296" t="s">
        <v>1403</v>
      </c>
      <c r="S510" s="1297"/>
      <c r="T510" s="1298"/>
      <c r="U510" s="556">
        <f t="shared" si="40"/>
        <v>38</v>
      </c>
      <c r="V510" s="558">
        <f t="shared" si="41"/>
        <v>10</v>
      </c>
      <c r="W510" s="557"/>
      <c r="X510" s="557"/>
      <c r="Y510" s="557"/>
      <c r="Z510" s="557"/>
      <c r="AA510" s="557"/>
      <c r="AB510" s="605" t="s">
        <v>1394</v>
      </c>
      <c r="AC510" s="606" t="s">
        <v>1209</v>
      </c>
      <c r="AD510" s="638">
        <v>45444</v>
      </c>
      <c r="AE510" s="588"/>
    </row>
    <row r="511" spans="1:31" ht="29.5" thickBot="1">
      <c r="A511" s="555" t="str">
        <f t="shared" si="38"/>
        <v>38.11</v>
      </c>
      <c r="B511" s="782" t="s">
        <v>1395</v>
      </c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83"/>
      <c r="N511" s="783"/>
      <c r="O511" s="784"/>
      <c r="P511" s="779" t="str">
        <f t="shared" si="37"/>
        <v>шт.</v>
      </c>
      <c r="Q511" s="780"/>
      <c r="R511" s="1284">
        <v>16</v>
      </c>
      <c r="S511" s="1285"/>
      <c r="T511" s="1286"/>
      <c r="U511" s="556">
        <f t="shared" si="40"/>
        <v>38</v>
      </c>
      <c r="V511" s="558">
        <f t="shared" si="41"/>
        <v>11</v>
      </c>
      <c r="W511" s="557"/>
      <c r="X511" s="557"/>
      <c r="Y511" s="557"/>
      <c r="Z511" s="557"/>
      <c r="AA511" s="557"/>
      <c r="AB511" s="605" t="s">
        <v>1395</v>
      </c>
      <c r="AC511" s="606" t="s">
        <v>1194</v>
      </c>
      <c r="AD511" s="628">
        <v>2</v>
      </c>
      <c r="AE511" s="588"/>
    </row>
    <row r="512" spans="1:31" ht="29.5" thickBot="1">
      <c r="A512" s="555" t="str">
        <f t="shared" si="38"/>
        <v>38.12</v>
      </c>
      <c r="B512" s="782" t="s">
        <v>1396</v>
      </c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83"/>
      <c r="N512" s="783"/>
      <c r="O512" s="784"/>
      <c r="P512" s="779" t="str">
        <f t="shared" si="37"/>
        <v>шт.</v>
      </c>
      <c r="Q512" s="780"/>
      <c r="R512" s="1284">
        <v>8</v>
      </c>
      <c r="S512" s="1285"/>
      <c r="T512" s="1286"/>
      <c r="U512" s="556">
        <f t="shared" si="40"/>
        <v>38</v>
      </c>
      <c r="V512" s="558">
        <f t="shared" si="41"/>
        <v>12</v>
      </c>
      <c r="W512" s="557"/>
      <c r="X512" s="557"/>
      <c r="Y512" s="557"/>
      <c r="Z512" s="557"/>
      <c r="AA512" s="557"/>
      <c r="AB512" s="605" t="s">
        <v>1396</v>
      </c>
      <c r="AC512" s="606" t="s">
        <v>1194</v>
      </c>
      <c r="AD512" s="628">
        <v>1</v>
      </c>
      <c r="AE512" s="588"/>
    </row>
    <row r="513" spans="1:31" ht="16" thickBot="1">
      <c r="A513" s="555" t="str">
        <f t="shared" si="38"/>
        <v>38.13</v>
      </c>
      <c r="B513" s="782" t="s">
        <v>1397</v>
      </c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83"/>
      <c r="N513" s="783"/>
      <c r="O513" s="784"/>
      <c r="P513" s="779" t="str">
        <f t="shared" si="37"/>
        <v>шт./м</v>
      </c>
      <c r="Q513" s="780"/>
      <c r="R513" s="1284" t="s">
        <v>1404</v>
      </c>
      <c r="S513" s="1285"/>
      <c r="T513" s="1286"/>
      <c r="U513" s="556">
        <f t="shared" si="40"/>
        <v>38</v>
      </c>
      <c r="V513" s="558">
        <f t="shared" si="41"/>
        <v>13</v>
      </c>
      <c r="W513" s="557"/>
      <c r="X513" s="557">
        <f>0.59*8</f>
        <v>4.72</v>
      </c>
      <c r="Y513" s="557"/>
      <c r="Z513" s="557"/>
      <c r="AA513" s="557"/>
      <c r="AB513" s="605" t="s">
        <v>1397</v>
      </c>
      <c r="AC513" s="606" t="s">
        <v>1209</v>
      </c>
      <c r="AD513" s="629" t="s">
        <v>1398</v>
      </c>
      <c r="AE513" s="588"/>
    </row>
    <row r="514" spans="1:31" ht="30" customHeight="1" thickBot="1">
      <c r="A514" s="555" t="str">
        <f t="shared" si="38"/>
        <v>38.14</v>
      </c>
      <c r="B514" s="782" t="s">
        <v>1399</v>
      </c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83"/>
      <c r="N514" s="783"/>
      <c r="O514" s="784"/>
      <c r="P514" s="779" t="str">
        <f t="shared" si="37"/>
        <v>шт./м2</v>
      </c>
      <c r="Q514" s="780"/>
      <c r="R514" s="1284" t="s">
        <v>1405</v>
      </c>
      <c r="S514" s="1285"/>
      <c r="T514" s="1286"/>
      <c r="U514" s="556">
        <f t="shared" si="40"/>
        <v>38</v>
      </c>
      <c r="V514" s="558">
        <f t="shared" si="41"/>
        <v>14</v>
      </c>
      <c r="W514" s="557"/>
      <c r="X514" s="557">
        <f>24*0.0022</f>
        <v>5.28E-2</v>
      </c>
      <c r="Y514" s="557"/>
      <c r="Z514" s="557"/>
      <c r="AA514" s="557"/>
      <c r="AB514" s="605" t="s">
        <v>1399</v>
      </c>
      <c r="AC514" s="606" t="s">
        <v>1323</v>
      </c>
      <c r="AD514" s="639" t="s">
        <v>1400</v>
      </c>
      <c r="AE514" s="588"/>
    </row>
    <row r="515" spans="1:31" ht="29.5" thickBot="1">
      <c r="A515" s="555" t="str">
        <f t="shared" si="38"/>
        <v>38.15</v>
      </c>
      <c r="B515" s="782" t="s">
        <v>1210</v>
      </c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83"/>
      <c r="N515" s="783"/>
      <c r="O515" s="784"/>
      <c r="P515" s="779" t="str">
        <f t="shared" si="37"/>
        <v>м3</v>
      </c>
      <c r="Q515" s="780"/>
      <c r="R515" s="1284">
        <f>1.26*8</f>
        <v>10.08</v>
      </c>
      <c r="S515" s="1285"/>
      <c r="T515" s="1286"/>
      <c r="U515" s="556">
        <f t="shared" si="40"/>
        <v>38</v>
      </c>
      <c r="V515" s="558">
        <f t="shared" si="41"/>
        <v>15</v>
      </c>
      <c r="W515" s="557"/>
      <c r="X515" s="557"/>
      <c r="Y515" s="557"/>
      <c r="Z515" s="557"/>
      <c r="AA515" s="557"/>
      <c r="AB515" s="624" t="s">
        <v>1210</v>
      </c>
      <c r="AC515" s="606" t="s">
        <v>1306</v>
      </c>
      <c r="AD515" s="634">
        <v>1.26</v>
      </c>
      <c r="AE515" s="588"/>
    </row>
    <row r="516" spans="1:31" ht="16" thickBot="1">
      <c r="A516" s="555" t="str">
        <f t="shared" si="38"/>
        <v>38.16</v>
      </c>
      <c r="B516" s="782" t="s">
        <v>1205</v>
      </c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83"/>
      <c r="N516" s="783"/>
      <c r="O516" s="784"/>
      <c r="P516" s="779" t="str">
        <f t="shared" si="37"/>
        <v>м3</v>
      </c>
      <c r="Q516" s="780"/>
      <c r="R516" s="1284">
        <f>R515*0.7</f>
        <v>7.0559999999999992</v>
      </c>
      <c r="S516" s="1285"/>
      <c r="T516" s="1286"/>
      <c r="U516" s="556">
        <f t="shared" si="40"/>
        <v>38</v>
      </c>
      <c r="V516" s="558">
        <f t="shared" si="41"/>
        <v>16</v>
      </c>
      <c r="W516" s="557"/>
      <c r="X516" s="557"/>
      <c r="Y516" s="557"/>
      <c r="Z516" s="557"/>
      <c r="AA516" s="557"/>
      <c r="AB516" s="605" t="s">
        <v>1205</v>
      </c>
      <c r="AC516" s="606" t="s">
        <v>1306</v>
      </c>
      <c r="AD516" s="629">
        <v>0.88200000000000001</v>
      </c>
      <c r="AE516" s="588"/>
    </row>
    <row r="517" spans="1:31" ht="16" thickBot="1">
      <c r="A517" s="555" t="str">
        <f t="shared" si="38"/>
        <v>38.17</v>
      </c>
      <c r="B517" s="782" t="s">
        <v>1206</v>
      </c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83"/>
      <c r="N517" s="783"/>
      <c r="O517" s="784"/>
      <c r="P517" s="779" t="str">
        <f t="shared" si="37"/>
        <v>м3</v>
      </c>
      <c r="Q517" s="780"/>
      <c r="R517" s="779">
        <f>R515*0.3</f>
        <v>3.024</v>
      </c>
      <c r="S517" s="780"/>
      <c r="T517" s="781"/>
      <c r="U517" s="556">
        <f t="shared" si="40"/>
        <v>38</v>
      </c>
      <c r="V517" s="558">
        <f t="shared" si="41"/>
        <v>17</v>
      </c>
      <c r="W517" s="557"/>
      <c r="X517" s="557"/>
      <c r="Y517" s="557"/>
      <c r="Z517" s="557"/>
      <c r="AA517" s="557"/>
      <c r="AB517" s="605" t="s">
        <v>1206</v>
      </c>
      <c r="AC517" s="606" t="s">
        <v>1306</v>
      </c>
      <c r="AD517" s="629">
        <v>0.378</v>
      </c>
      <c r="AE517" s="588"/>
    </row>
    <row r="518" spans="1:31" ht="16" thickBot="1">
      <c r="A518" s="554" t="str">
        <f t="shared" si="38"/>
        <v>39.</v>
      </c>
      <c r="B518" s="785" t="s">
        <v>1219</v>
      </c>
      <c r="C518" s="786"/>
      <c r="D518" s="786"/>
      <c r="E518" s="786"/>
      <c r="F518" s="786"/>
      <c r="G518" s="786"/>
      <c r="H518" s="786"/>
      <c r="I518" s="786"/>
      <c r="J518" s="786"/>
      <c r="K518" s="786"/>
      <c r="L518" s="786"/>
      <c r="M518" s="786"/>
      <c r="N518" s="786"/>
      <c r="O518" s="787"/>
      <c r="P518" s="779" t="str">
        <f t="shared" si="37"/>
        <v/>
      </c>
      <c r="Q518" s="780"/>
      <c r="R518" s="779" t="str">
        <f>CONCATENATE(AD518)</f>
        <v/>
      </c>
      <c r="S518" s="780"/>
      <c r="T518" s="781"/>
      <c r="U518" s="556">
        <v>39</v>
      </c>
      <c r="V518" s="558"/>
      <c r="W518" s="557"/>
      <c r="X518" s="557"/>
      <c r="Y518" s="557"/>
      <c r="Z518" s="557"/>
      <c r="AA518" s="557"/>
      <c r="AB518" s="641" t="s">
        <v>1219</v>
      </c>
      <c r="AC518" s="608"/>
      <c r="AD518" s="644"/>
      <c r="AE518" s="588"/>
    </row>
    <row r="519" spans="1:31" ht="29.5" thickBot="1">
      <c r="A519" s="555" t="str">
        <f t="shared" si="38"/>
        <v>39.1</v>
      </c>
      <c r="B519" s="782" t="s">
        <v>1273</v>
      </c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83"/>
      <c r="N519" s="783"/>
      <c r="O519" s="784"/>
      <c r="P519" s="779" t="str">
        <f t="shared" si="37"/>
        <v>изм.</v>
      </c>
      <c r="Q519" s="780"/>
      <c r="R519" s="779">
        <v>8</v>
      </c>
      <c r="S519" s="780"/>
      <c r="T519" s="781"/>
      <c r="U519" s="556">
        <f t="shared" si="40"/>
        <v>39</v>
      </c>
      <c r="V519" s="558">
        <f t="shared" si="41"/>
        <v>1</v>
      </c>
      <c r="W519" s="557"/>
      <c r="X519" s="557"/>
      <c r="Y519" s="557"/>
      <c r="Z519" s="557"/>
      <c r="AA519" s="557"/>
      <c r="AB519" s="625" t="s">
        <v>1273</v>
      </c>
      <c r="AC519" s="626" t="s">
        <v>1213</v>
      </c>
      <c r="AD519" s="627">
        <v>1</v>
      </c>
      <c r="AE519" s="588"/>
    </row>
    <row r="520" spans="1:31" ht="29">
      <c r="A520" s="555" t="str">
        <f t="shared" si="38"/>
        <v>39.2</v>
      </c>
      <c r="B520" s="782" t="s">
        <v>1274</v>
      </c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83"/>
      <c r="N520" s="783"/>
      <c r="O520" s="784"/>
      <c r="P520" s="779" t="str">
        <f t="shared" si="37"/>
        <v>точек</v>
      </c>
      <c r="Q520" s="780"/>
      <c r="R520" s="779">
        <v>24</v>
      </c>
      <c r="S520" s="780"/>
      <c r="T520" s="781"/>
      <c r="U520" s="556">
        <f t="shared" si="40"/>
        <v>39</v>
      </c>
      <c r="V520" s="558">
        <f t="shared" si="41"/>
        <v>2</v>
      </c>
      <c r="W520" s="557"/>
      <c r="X520" s="557"/>
      <c r="Y520" s="557"/>
      <c r="Z520" s="557"/>
      <c r="AA520" s="557"/>
      <c r="AB520" s="608" t="s">
        <v>1274</v>
      </c>
      <c r="AC520" s="609" t="s">
        <v>1164</v>
      </c>
      <c r="AD520" s="633">
        <v>3</v>
      </c>
      <c r="AE520" s="588"/>
    </row>
    <row r="521" spans="1:31" ht="12.75" customHeight="1">
      <c r="A521" s="573">
        <v>1</v>
      </c>
      <c r="B521" s="573">
        <v>2</v>
      </c>
      <c r="C521" s="573"/>
      <c r="D521" s="573"/>
      <c r="E521" s="573"/>
      <c r="F521" s="573"/>
      <c r="G521" s="574"/>
      <c r="H521" s="574"/>
      <c r="I521" s="574"/>
      <c r="J521" s="574"/>
      <c r="K521" s="800"/>
      <c r="L521" s="800"/>
      <c r="M521" s="800"/>
      <c r="N521" s="800"/>
      <c r="O521" s="574"/>
      <c r="P521" s="575"/>
      <c r="Q521" s="573"/>
      <c r="R521" s="573"/>
      <c r="S521" s="573"/>
      <c r="T521" s="573"/>
      <c r="U521" s="559" t="s">
        <v>1179</v>
      </c>
      <c r="AB521" s="646"/>
      <c r="AC521" s="647"/>
      <c r="AD521" s="647"/>
      <c r="AE521" s="588"/>
    </row>
    <row r="522" spans="1:31" ht="55.9" customHeight="1">
      <c r="A522" s="805" t="s">
        <v>741</v>
      </c>
      <c r="B522" s="805"/>
      <c r="C522" s="805"/>
      <c r="D522" s="560"/>
      <c r="E522" s="806" t="str">
        <f>ПОДПИСИ!B5</f>
        <v>Начальник мастерского участка №1 Курортного РЭС ПАО «Россети Ленэнерго» «СЭС»</v>
      </c>
      <c r="F522" s="806"/>
      <c r="G522" s="806"/>
      <c r="H522" s="806"/>
      <c r="I522" s="806"/>
      <c r="J522" s="806"/>
      <c r="K522" s="806"/>
      <c r="M522" s="807"/>
      <c r="N522" s="807"/>
      <c r="O522" s="807"/>
      <c r="Q522" s="808" t="str">
        <f>ПОДПИСИ!E5</f>
        <v>Д.М. Чечин</v>
      </c>
      <c r="R522" s="808"/>
      <c r="S522" s="808"/>
      <c r="T522" s="808"/>
      <c r="U522" s="548">
        <f>IF(OR(ФОРМА!I16=1,ФОРМА!I16="+"),1,0)</f>
        <v>0</v>
      </c>
      <c r="AB522" s="646"/>
      <c r="AC522" s="647"/>
      <c r="AD522" s="647"/>
      <c r="AE522" s="588"/>
    </row>
    <row r="523" spans="1:31" ht="10.15" customHeight="1" outlineLevel="1">
      <c r="E523" s="801" t="s">
        <v>48</v>
      </c>
      <c r="F523" s="802"/>
      <c r="G523" s="802"/>
      <c r="H523" s="802"/>
      <c r="I523" s="802"/>
      <c r="J523" s="802"/>
      <c r="K523" s="802"/>
      <c r="L523" s="563"/>
      <c r="M523" s="803" t="s">
        <v>49</v>
      </c>
      <c r="N523" s="804"/>
      <c r="O523" s="804"/>
      <c r="P523" s="559"/>
      <c r="Q523" s="803" t="s">
        <v>50</v>
      </c>
      <c r="R523" s="804"/>
      <c r="S523" s="804"/>
      <c r="T523" s="804"/>
      <c r="U523" s="548">
        <f>IF(U522=1,1,0)</f>
        <v>0</v>
      </c>
      <c r="AB523" s="646"/>
      <c r="AC523" s="647"/>
      <c r="AD523" s="647"/>
      <c r="AE523" s="588"/>
    </row>
    <row r="524" spans="1:31" ht="3.65" customHeight="1" outlineLevel="1">
      <c r="E524" s="561"/>
      <c r="F524" s="562"/>
      <c r="G524" s="562"/>
      <c r="H524" s="562"/>
      <c r="I524" s="562"/>
      <c r="J524" s="562"/>
      <c r="K524" s="562"/>
      <c r="L524" s="563"/>
      <c r="M524" s="561"/>
      <c r="N524" s="562"/>
      <c r="O524" s="562"/>
      <c r="P524" s="559"/>
      <c r="Q524" s="561"/>
      <c r="R524" s="562"/>
      <c r="S524" s="562"/>
      <c r="T524" s="562"/>
      <c r="AB524" s="646"/>
      <c r="AC524" s="647"/>
      <c r="AD524" s="647"/>
      <c r="AE524" s="588"/>
    </row>
    <row r="525" spans="1:31" ht="54.65" hidden="1" customHeight="1" outlineLevel="1">
      <c r="A525" s="805" t="s">
        <v>741</v>
      </c>
      <c r="B525" s="805"/>
      <c r="C525" s="805"/>
      <c r="D525" s="560"/>
      <c r="E525" s="806" t="str">
        <f>ПОДПИСИ!B6</f>
        <v>Начальник мастерского участка №1 Курортного РЭС ПАО «Россети Ленэнерго» «СЭС»</v>
      </c>
      <c r="F525" s="806"/>
      <c r="G525" s="806"/>
      <c r="H525" s="806"/>
      <c r="I525" s="806"/>
      <c r="J525" s="806"/>
      <c r="K525" s="806"/>
      <c r="M525" s="807"/>
      <c r="N525" s="807"/>
      <c r="O525" s="807"/>
      <c r="Q525" s="808" t="str">
        <f>ПОДПИСИ!E6</f>
        <v>Д.М. Чечин</v>
      </c>
      <c r="R525" s="808"/>
      <c r="S525" s="808"/>
      <c r="T525" s="808"/>
      <c r="U525" s="548">
        <f>IF(OR(ФОРМА!G16=1,ФОРМА!G16="+"),1,0)</f>
        <v>0</v>
      </c>
      <c r="AB525" s="548"/>
    </row>
    <row r="526" spans="1:31" ht="13.9" hidden="1" customHeight="1" outlineLevel="1">
      <c r="E526" s="801" t="s">
        <v>48</v>
      </c>
      <c r="F526" s="802"/>
      <c r="G526" s="802"/>
      <c r="H526" s="802"/>
      <c r="I526" s="802"/>
      <c r="J526" s="802"/>
      <c r="K526" s="802"/>
      <c r="L526" s="563"/>
      <c r="M526" s="803" t="s">
        <v>49</v>
      </c>
      <c r="N526" s="804"/>
      <c r="O526" s="804"/>
      <c r="P526" s="559"/>
      <c r="Q526" s="803" t="s">
        <v>50</v>
      </c>
      <c r="R526" s="804"/>
      <c r="S526" s="804"/>
      <c r="T526" s="804"/>
      <c r="U526" s="548">
        <f>IF(U525=1,1,0)</f>
        <v>0</v>
      </c>
      <c r="AB526" s="548"/>
    </row>
    <row r="527" spans="1:31" ht="4.9000000000000004" customHeight="1" outlineLevel="1">
      <c r="E527" s="561"/>
      <c r="F527" s="562"/>
      <c r="G527" s="562"/>
      <c r="H527" s="562"/>
      <c r="I527" s="562"/>
      <c r="J527" s="562"/>
      <c r="K527" s="562"/>
      <c r="L527" s="563"/>
      <c r="M527" s="561"/>
      <c r="N527" s="562"/>
      <c r="O527" s="562"/>
      <c r="P527" s="559"/>
      <c r="Q527" s="561"/>
      <c r="R527" s="562"/>
      <c r="S527" s="562"/>
      <c r="T527" s="562"/>
    </row>
    <row r="528" spans="1:31" ht="55.15" hidden="1" customHeight="1" outlineLevel="1">
      <c r="A528" s="805" t="s">
        <v>741</v>
      </c>
      <c r="B528" s="805"/>
      <c r="C528" s="805"/>
      <c r="D528" s="560"/>
      <c r="E528" s="806" t="str">
        <f>ПОДПИСИ!B7</f>
        <v>Начальник мастерского участка №1 Курортного РЭС ПАО «Россети Ленэнерго» «СЭС»</v>
      </c>
      <c r="F528" s="806"/>
      <c r="G528" s="806"/>
      <c r="H528" s="806"/>
      <c r="I528" s="806"/>
      <c r="J528" s="806"/>
      <c r="K528" s="806"/>
      <c r="M528" s="807"/>
      <c r="N528" s="807"/>
      <c r="O528" s="807"/>
      <c r="Q528" s="808" t="str">
        <f>ПОДПИСИ!E7</f>
        <v>Д.М. Чечин</v>
      </c>
      <c r="R528" s="808"/>
      <c r="S528" s="808"/>
      <c r="T528" s="808"/>
      <c r="U528" s="548">
        <f>IF(OR(ФОРМА!H16=1,ФОРМА!H16="+"),1,0)</f>
        <v>1</v>
      </c>
      <c r="AB528" s="548"/>
    </row>
    <row r="529" spans="1:28" ht="13.9" hidden="1" customHeight="1" outlineLevel="1">
      <c r="E529" s="801" t="s">
        <v>48</v>
      </c>
      <c r="F529" s="802"/>
      <c r="G529" s="802"/>
      <c r="H529" s="802"/>
      <c r="I529" s="802"/>
      <c r="J529" s="802"/>
      <c r="K529" s="802"/>
      <c r="L529" s="563"/>
      <c r="M529" s="803" t="s">
        <v>49</v>
      </c>
      <c r="N529" s="804"/>
      <c r="O529" s="804"/>
      <c r="P529" s="559"/>
      <c r="Q529" s="803" t="s">
        <v>50</v>
      </c>
      <c r="R529" s="804"/>
      <c r="S529" s="804"/>
      <c r="T529" s="804"/>
      <c r="U529" s="548">
        <f>IF(U528=1,1,0)</f>
        <v>1</v>
      </c>
      <c r="AB529" s="548"/>
    </row>
    <row r="530" spans="1:28" ht="8.25" customHeight="1">
      <c r="U530" s="548">
        <v>1</v>
      </c>
    </row>
    <row r="531" spans="1:28" ht="55.9" customHeight="1">
      <c r="A531" s="805" t="s">
        <v>720</v>
      </c>
      <c r="B531" s="809"/>
      <c r="C531" s="809"/>
      <c r="E531" s="806" t="str">
        <f>ПОДПИСИ!B2</f>
        <v xml:space="preserve">Заместитель генерального директора ООО «БЭСК» </v>
      </c>
      <c r="F531" s="806"/>
      <c r="G531" s="806"/>
      <c r="H531" s="806"/>
      <c r="I531" s="806"/>
      <c r="J531" s="806"/>
      <c r="K531" s="806"/>
      <c r="M531" s="807"/>
      <c r="N531" s="807"/>
      <c r="O531" s="807"/>
      <c r="Q531" s="808" t="str">
        <f>ПОДПИСИ!E2</f>
        <v>А.С. Матвеев</v>
      </c>
      <c r="R531" s="808"/>
      <c r="S531" s="808"/>
      <c r="T531" s="808"/>
      <c r="U531" s="548">
        <v>1</v>
      </c>
    </row>
    <row r="532" spans="1:28">
      <c r="E532" s="801" t="s">
        <v>48</v>
      </c>
      <c r="F532" s="802"/>
      <c r="G532" s="802"/>
      <c r="H532" s="802"/>
      <c r="I532" s="802"/>
      <c r="J532" s="802"/>
      <c r="K532" s="802"/>
      <c r="L532" s="563"/>
      <c r="M532" s="803" t="s">
        <v>49</v>
      </c>
      <c r="N532" s="804"/>
      <c r="O532" s="804"/>
      <c r="P532" s="559"/>
      <c r="Q532" s="803" t="s">
        <v>50</v>
      </c>
      <c r="R532" s="804"/>
      <c r="S532" s="804"/>
      <c r="T532" s="804"/>
      <c r="U532" s="548">
        <v>1</v>
      </c>
    </row>
    <row r="533" spans="1:28" ht="6.75" customHeight="1">
      <c r="U533" s="548">
        <v>1</v>
      </c>
    </row>
    <row r="534" spans="1:28" ht="45" customHeight="1">
      <c r="A534" s="805" t="s">
        <v>718</v>
      </c>
      <c r="B534" s="809"/>
      <c r="C534" s="809"/>
      <c r="E534" s="806" t="str">
        <f>ПОДПИСИ!B12</f>
        <v xml:space="preserve">Производитель работ ООО«БЭСК» </v>
      </c>
      <c r="F534" s="806"/>
      <c r="G534" s="806"/>
      <c r="H534" s="806"/>
      <c r="I534" s="806"/>
      <c r="J534" s="806"/>
      <c r="K534" s="806"/>
      <c r="M534" s="807"/>
      <c r="N534" s="807"/>
      <c r="O534" s="807"/>
      <c r="Q534" s="808" t="str">
        <f>ПОДПИСИ!E12</f>
        <v>А.Р. Махмадов</v>
      </c>
      <c r="R534" s="808"/>
      <c r="S534" s="808"/>
      <c r="T534" s="808"/>
      <c r="U534" s="548">
        <v>1</v>
      </c>
    </row>
    <row r="535" spans="1:28">
      <c r="E535" s="801" t="s">
        <v>48</v>
      </c>
      <c r="F535" s="802"/>
      <c r="G535" s="802"/>
      <c r="H535" s="802"/>
      <c r="I535" s="802"/>
      <c r="J535" s="802"/>
      <c r="K535" s="802"/>
      <c r="L535" s="563"/>
      <c r="M535" s="803" t="s">
        <v>49</v>
      </c>
      <c r="N535" s="804"/>
      <c r="O535" s="804"/>
      <c r="P535" s="559"/>
      <c r="Q535" s="803" t="s">
        <v>50</v>
      </c>
      <c r="R535" s="804"/>
      <c r="S535" s="804"/>
      <c r="T535" s="804"/>
      <c r="U535" s="548">
        <v>1</v>
      </c>
    </row>
  </sheetData>
  <autoFilter ref="A521:U535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585">
    <mergeCell ref="P466:Q466"/>
    <mergeCell ref="R466:T466"/>
    <mergeCell ref="B467:O467"/>
    <mergeCell ref="P467:Q467"/>
    <mergeCell ref="R467:T467"/>
    <mergeCell ref="P460:Q460"/>
    <mergeCell ref="R460:T460"/>
    <mergeCell ref="B461:O461"/>
    <mergeCell ref="P461:Q461"/>
    <mergeCell ref="R461:T461"/>
    <mergeCell ref="B462:O462"/>
    <mergeCell ref="P462:Q462"/>
    <mergeCell ref="R462:T462"/>
    <mergeCell ref="B463:O463"/>
    <mergeCell ref="P463:Q463"/>
    <mergeCell ref="R463:T463"/>
    <mergeCell ref="B464:O464"/>
    <mergeCell ref="P464:Q464"/>
    <mergeCell ref="R464:T464"/>
    <mergeCell ref="B465:O465"/>
    <mergeCell ref="P465:Q465"/>
    <mergeCell ref="R465:T465"/>
    <mergeCell ref="P454:Q454"/>
    <mergeCell ref="R454:T454"/>
    <mergeCell ref="B455:O455"/>
    <mergeCell ref="P455:Q455"/>
    <mergeCell ref="R455:T455"/>
    <mergeCell ref="B456:O456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R459:T459"/>
    <mergeCell ref="B397:O397"/>
    <mergeCell ref="P397:Q397"/>
    <mergeCell ref="R397:T397"/>
    <mergeCell ref="B398:O398"/>
    <mergeCell ref="P398:Q398"/>
    <mergeCell ref="R398:T398"/>
    <mergeCell ref="B399:O399"/>
    <mergeCell ref="P399:Q399"/>
    <mergeCell ref="R399:T399"/>
    <mergeCell ref="B444:O444"/>
    <mergeCell ref="P444:Q444"/>
    <mergeCell ref="R444:T444"/>
    <mergeCell ref="B445:O445"/>
    <mergeCell ref="P445:Q445"/>
    <mergeCell ref="R445:T445"/>
    <mergeCell ref="B446:O446"/>
    <mergeCell ref="P446:Q446"/>
    <mergeCell ref="R446:T446"/>
    <mergeCell ref="P418:Q418"/>
    <mergeCell ref="R418:T418"/>
    <mergeCell ref="P419:Q419"/>
    <mergeCell ref="R419:T419"/>
    <mergeCell ref="P420:Q420"/>
    <mergeCell ref="R420:T420"/>
    <mergeCell ref="P421:Q421"/>
    <mergeCell ref="R421:T421"/>
    <mergeCell ref="P422:Q422"/>
    <mergeCell ref="R422:T422"/>
    <mergeCell ref="P423:Q423"/>
    <mergeCell ref="R423:T423"/>
    <mergeCell ref="P424:Q424"/>
    <mergeCell ref="R424:T424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B396:O396"/>
    <mergeCell ref="P396:Q396"/>
    <mergeCell ref="R396:T396"/>
    <mergeCell ref="B389:O389"/>
    <mergeCell ref="P389:Q389"/>
    <mergeCell ref="R389:T389"/>
    <mergeCell ref="B390:O390"/>
    <mergeCell ref="P390:Q390"/>
    <mergeCell ref="R390:T390"/>
    <mergeCell ref="B391:O391"/>
    <mergeCell ref="P391:Q391"/>
    <mergeCell ref="R391:T391"/>
    <mergeCell ref="B392:O392"/>
    <mergeCell ref="P392:Q392"/>
    <mergeCell ref="R392:T392"/>
    <mergeCell ref="B383:O383"/>
    <mergeCell ref="P383:Q383"/>
    <mergeCell ref="R383:T383"/>
    <mergeCell ref="B384:O384"/>
    <mergeCell ref="P384:Q384"/>
    <mergeCell ref="R384:T384"/>
    <mergeCell ref="B385:O385"/>
    <mergeCell ref="P385:Q385"/>
    <mergeCell ref="R385:T385"/>
    <mergeCell ref="B386:O386"/>
    <mergeCell ref="P386:Q386"/>
    <mergeCell ref="R386:T386"/>
    <mergeCell ref="B387:O387"/>
    <mergeCell ref="P387:Q387"/>
    <mergeCell ref="R387:T387"/>
    <mergeCell ref="B388:O388"/>
    <mergeCell ref="P388:Q388"/>
    <mergeCell ref="R388:T388"/>
    <mergeCell ref="B377:O377"/>
    <mergeCell ref="P377:Q377"/>
    <mergeCell ref="R377:T377"/>
    <mergeCell ref="B378:O378"/>
    <mergeCell ref="P378:Q378"/>
    <mergeCell ref="R378:T378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56:O56"/>
    <mergeCell ref="B277:O277"/>
    <mergeCell ref="P277:Q277"/>
    <mergeCell ref="R277:T277"/>
    <mergeCell ref="P512:Q512"/>
    <mergeCell ref="R512:T512"/>
    <mergeCell ref="P513:Q513"/>
    <mergeCell ref="R513:T513"/>
    <mergeCell ref="P514:Q514"/>
    <mergeCell ref="R514:T514"/>
    <mergeCell ref="P515:Q515"/>
    <mergeCell ref="R515:T515"/>
    <mergeCell ref="P516:Q516"/>
    <mergeCell ref="R516:T516"/>
    <mergeCell ref="P517:Q517"/>
    <mergeCell ref="R517:T517"/>
    <mergeCell ref="P494:Q494"/>
    <mergeCell ref="R494:T494"/>
    <mergeCell ref="P495:Q495"/>
    <mergeCell ref="R495:T495"/>
    <mergeCell ref="P496:Q496"/>
    <mergeCell ref="R496:T496"/>
    <mergeCell ref="P497:Q497"/>
    <mergeCell ref="R497:T497"/>
    <mergeCell ref="P498:Q498"/>
    <mergeCell ref="R498:T498"/>
    <mergeCell ref="P499:Q499"/>
    <mergeCell ref="R499:T499"/>
    <mergeCell ref="P500:Q500"/>
    <mergeCell ref="R500:T500"/>
    <mergeCell ref="B376:O376"/>
    <mergeCell ref="P376:Q376"/>
    <mergeCell ref="P518:Q518"/>
    <mergeCell ref="R518:T518"/>
    <mergeCell ref="P519:Q519"/>
    <mergeCell ref="R519:T519"/>
    <mergeCell ref="P520:Q520"/>
    <mergeCell ref="R520:T520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508:Q508"/>
    <mergeCell ref="R508:T508"/>
    <mergeCell ref="P509:Q509"/>
    <mergeCell ref="R509:T509"/>
    <mergeCell ref="P510:Q510"/>
    <mergeCell ref="R510:T510"/>
    <mergeCell ref="P511:Q511"/>
    <mergeCell ref="R511:T511"/>
    <mergeCell ref="P501:Q501"/>
    <mergeCell ref="R501:T501"/>
    <mergeCell ref="P502:Q502"/>
    <mergeCell ref="R502:T502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P476:Q476"/>
    <mergeCell ref="R476:T476"/>
    <mergeCell ref="P477:Q477"/>
    <mergeCell ref="R477:T477"/>
    <mergeCell ref="P478:Q478"/>
    <mergeCell ref="R478:T478"/>
    <mergeCell ref="P479:Q479"/>
    <mergeCell ref="R479:T479"/>
    <mergeCell ref="P480:Q480"/>
    <mergeCell ref="R480:T480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469:Q469"/>
    <mergeCell ref="R469:T469"/>
    <mergeCell ref="P470:Q470"/>
    <mergeCell ref="R470:T470"/>
    <mergeCell ref="P471:Q471"/>
    <mergeCell ref="R471:T471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40:Q440"/>
    <mergeCell ref="R440:T440"/>
    <mergeCell ref="P441:Q441"/>
    <mergeCell ref="R441:T441"/>
    <mergeCell ref="P442:Q442"/>
    <mergeCell ref="R442:T442"/>
    <mergeCell ref="P443:Q443"/>
    <mergeCell ref="R443:T443"/>
    <mergeCell ref="P468:Q468"/>
    <mergeCell ref="R468:T468"/>
    <mergeCell ref="P447:Q447"/>
    <mergeCell ref="R447:T447"/>
    <mergeCell ref="P448:Q448"/>
    <mergeCell ref="R448:T448"/>
    <mergeCell ref="P449:Q449"/>
    <mergeCell ref="R449:T449"/>
    <mergeCell ref="P450:Q450"/>
    <mergeCell ref="R450:T450"/>
    <mergeCell ref="P451:Q451"/>
    <mergeCell ref="R451:T451"/>
    <mergeCell ref="P452:Q452"/>
    <mergeCell ref="R452:T452"/>
    <mergeCell ref="P453:Q453"/>
    <mergeCell ref="R453:T453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25:Q425"/>
    <mergeCell ref="R425:T425"/>
    <mergeCell ref="P426:Q426"/>
    <mergeCell ref="R426:T426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4:Q414"/>
    <mergeCell ref="R414:T414"/>
    <mergeCell ref="P415:Q415"/>
    <mergeCell ref="R415:T415"/>
    <mergeCell ref="P416:Q416"/>
    <mergeCell ref="R416:T416"/>
    <mergeCell ref="P417:Q417"/>
    <mergeCell ref="R417:T417"/>
    <mergeCell ref="P402:Q402"/>
    <mergeCell ref="R402:T402"/>
    <mergeCell ref="P403:Q403"/>
    <mergeCell ref="R403:T403"/>
    <mergeCell ref="P404:Q404"/>
    <mergeCell ref="R404:T404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369:Q369"/>
    <mergeCell ref="R369:T369"/>
    <mergeCell ref="P370:Q370"/>
    <mergeCell ref="R370:T370"/>
    <mergeCell ref="P371:Q371"/>
    <mergeCell ref="R371:T371"/>
    <mergeCell ref="P372:Q372"/>
    <mergeCell ref="R372:T372"/>
    <mergeCell ref="P373:Q373"/>
    <mergeCell ref="R373:T373"/>
    <mergeCell ref="P374:Q374"/>
    <mergeCell ref="R374:T374"/>
    <mergeCell ref="P375:Q375"/>
    <mergeCell ref="R375:T375"/>
    <mergeCell ref="P400:Q400"/>
    <mergeCell ref="R400:T400"/>
    <mergeCell ref="P401:Q401"/>
    <mergeCell ref="R401:T401"/>
    <mergeCell ref="R376:T376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B517:O517"/>
    <mergeCell ref="B518:O518"/>
    <mergeCell ref="B519:O519"/>
    <mergeCell ref="B520:O520"/>
    <mergeCell ref="P118:Q118"/>
    <mergeCell ref="R118:T118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503:O503"/>
    <mergeCell ref="B504:O504"/>
    <mergeCell ref="B505:O505"/>
    <mergeCell ref="B506:O506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86:O486"/>
    <mergeCell ref="B487:O487"/>
    <mergeCell ref="B488:O488"/>
    <mergeCell ref="B489:O489"/>
    <mergeCell ref="B434:O434"/>
    <mergeCell ref="B435:O435"/>
    <mergeCell ref="B436:O436"/>
    <mergeCell ref="B437:O437"/>
    <mergeCell ref="B438:O438"/>
    <mergeCell ref="B439:O439"/>
    <mergeCell ref="B440:O440"/>
    <mergeCell ref="B441:O441"/>
    <mergeCell ref="B442:O442"/>
    <mergeCell ref="B443:O443"/>
    <mergeCell ref="B468:O468"/>
    <mergeCell ref="B469:O469"/>
    <mergeCell ref="B470:O470"/>
    <mergeCell ref="B471:O471"/>
    <mergeCell ref="B472:O472"/>
    <mergeCell ref="B473:O473"/>
    <mergeCell ref="B474:O474"/>
    <mergeCell ref="B447:O447"/>
    <mergeCell ref="B448:O448"/>
    <mergeCell ref="B449:O449"/>
    <mergeCell ref="B450:O450"/>
    <mergeCell ref="B451:O451"/>
    <mergeCell ref="B452:O452"/>
    <mergeCell ref="B453:O453"/>
    <mergeCell ref="B454:O454"/>
    <mergeCell ref="B460:O460"/>
    <mergeCell ref="B466:O46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430:O430"/>
    <mergeCell ref="B431:O431"/>
    <mergeCell ref="B432:O432"/>
    <mergeCell ref="B433:O433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412:O412"/>
    <mergeCell ref="B413:O413"/>
    <mergeCell ref="B414:O414"/>
    <mergeCell ref="B415:O415"/>
    <mergeCell ref="B416:O416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4:O364"/>
    <mergeCell ref="B365:O365"/>
    <mergeCell ref="B366:O366"/>
    <mergeCell ref="B367:O367"/>
    <mergeCell ref="B371:O371"/>
    <mergeCell ref="B368:O368"/>
    <mergeCell ref="B369:O369"/>
    <mergeCell ref="B370:O370"/>
    <mergeCell ref="B240:O240"/>
    <mergeCell ref="B246:O246"/>
    <mergeCell ref="B252:O252"/>
    <mergeCell ref="B258:O258"/>
    <mergeCell ref="B263:O263"/>
    <mergeCell ref="B270:O270"/>
    <mergeCell ref="B276:O276"/>
    <mergeCell ref="B283:O283"/>
    <mergeCell ref="B289:O289"/>
    <mergeCell ref="B296:O296"/>
    <mergeCell ref="B302:O302"/>
    <mergeCell ref="B308:O308"/>
    <mergeCell ref="B314:O314"/>
    <mergeCell ref="B331:O331"/>
    <mergeCell ref="B343:O343"/>
    <mergeCell ref="B320:O320"/>
    <mergeCell ref="B342:O342"/>
    <mergeCell ref="B372:O372"/>
    <mergeCell ref="B373:O373"/>
    <mergeCell ref="B374:O374"/>
    <mergeCell ref="B375:O375"/>
    <mergeCell ref="B400:O400"/>
    <mergeCell ref="B401:O401"/>
    <mergeCell ref="AB205:AE205"/>
    <mergeCell ref="AB100:AC100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R148:T148"/>
    <mergeCell ref="B137:O137"/>
    <mergeCell ref="P137:Q137"/>
    <mergeCell ref="R137:T137"/>
    <mergeCell ref="B138:O138"/>
    <mergeCell ref="P138:Q138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R49:T49"/>
    <mergeCell ref="B50:O50"/>
    <mergeCell ref="P50:Q50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R56:T56"/>
    <mergeCell ref="P56:Q56"/>
    <mergeCell ref="B44:O44"/>
    <mergeCell ref="P44:Q44"/>
    <mergeCell ref="R44:T44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0:T50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Q531:T531"/>
    <mergeCell ref="E529:K529"/>
    <mergeCell ref="M529:O529"/>
    <mergeCell ref="Q529:T52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K521:N521"/>
    <mergeCell ref="E523:K523"/>
    <mergeCell ref="M523:O523"/>
    <mergeCell ref="Q523:T523"/>
    <mergeCell ref="A528:C528"/>
    <mergeCell ref="E528:K528"/>
    <mergeCell ref="M528:O528"/>
    <mergeCell ref="A522:C522"/>
    <mergeCell ref="E522:K522"/>
    <mergeCell ref="M522:O522"/>
    <mergeCell ref="Q522:T522"/>
    <mergeCell ref="Q528:T528"/>
    <mergeCell ref="E535:K535"/>
    <mergeCell ref="M535:O535"/>
    <mergeCell ref="Q535:T535"/>
    <mergeCell ref="A525:C525"/>
    <mergeCell ref="E525:K525"/>
    <mergeCell ref="M525:O525"/>
    <mergeCell ref="Q525:T525"/>
    <mergeCell ref="E526:K526"/>
    <mergeCell ref="M526:O526"/>
    <mergeCell ref="Q526:T526"/>
    <mergeCell ref="E532:K532"/>
    <mergeCell ref="M532:O532"/>
    <mergeCell ref="Q532:T532"/>
    <mergeCell ref="A534:C534"/>
    <mergeCell ref="E534:K534"/>
    <mergeCell ref="M534:O534"/>
    <mergeCell ref="Q534:T534"/>
    <mergeCell ref="A531:C531"/>
    <mergeCell ref="E531:K531"/>
    <mergeCell ref="M531:O531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5:O145"/>
    <mergeCell ref="P145:Q145"/>
    <mergeCell ref="R145:T145"/>
    <mergeCell ref="R144:T144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1:O131"/>
    <mergeCell ref="P125:Q125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25:O125"/>
    <mergeCell ref="B116:O116"/>
    <mergeCell ref="P116:Q116"/>
    <mergeCell ref="R116:T116"/>
    <mergeCell ref="B117:O117"/>
    <mergeCell ref="P117:Q117"/>
    <mergeCell ref="R117:T117"/>
    <mergeCell ref="B119:O119"/>
    <mergeCell ref="P119:Q119"/>
    <mergeCell ref="R119:T119"/>
    <mergeCell ref="B120:O120"/>
    <mergeCell ref="P120:Q120"/>
    <mergeCell ref="B123:O123"/>
    <mergeCell ref="P123:Q123"/>
    <mergeCell ref="R123:T123"/>
    <mergeCell ref="B124:O124"/>
    <mergeCell ref="P124:Q124"/>
    <mergeCell ref="R124:T124"/>
    <mergeCell ref="R120:T120"/>
    <mergeCell ref="B121:O121"/>
    <mergeCell ref="P121:Q121"/>
    <mergeCell ref="R121:T121"/>
    <mergeCell ref="B122:O122"/>
    <mergeCell ref="P122:Q122"/>
    <mergeCell ref="R122:T122"/>
    <mergeCell ref="B118:O118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B110:O110"/>
    <mergeCell ref="P110:Q110"/>
    <mergeCell ref="R110:T110"/>
    <mergeCell ref="B111:O111"/>
    <mergeCell ref="P111:Q111"/>
    <mergeCell ref="R111:T111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P98:Q98"/>
    <mergeCell ref="B98:O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89:O89"/>
    <mergeCell ref="P89:Q89"/>
    <mergeCell ref="R89:T89"/>
    <mergeCell ref="B90:O90"/>
    <mergeCell ref="P90:Q90"/>
    <mergeCell ref="R90:T90"/>
    <mergeCell ref="B94:O94"/>
    <mergeCell ref="P94:Q94"/>
    <mergeCell ref="R94:T94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9:O19"/>
    <mergeCell ref="P19:Q19"/>
    <mergeCell ref="R19:T19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1:O91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P91:Q91"/>
    <mergeCell ref="R91:T91"/>
    <mergeCell ref="B92:O92"/>
    <mergeCell ref="P92:Q92"/>
    <mergeCell ref="R92:T92"/>
    <mergeCell ref="B93:O93"/>
    <mergeCell ref="P93:Q93"/>
    <mergeCell ref="R93:T9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P146:Q146"/>
    <mergeCell ref="R146:T146"/>
    <mergeCell ref="B147:O147"/>
    <mergeCell ref="P147:Q147"/>
    <mergeCell ref="R147:T147"/>
    <mergeCell ref="B148:O148"/>
    <mergeCell ref="P148:Q148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B153:O153"/>
    <mergeCell ref="P153:Q153"/>
    <mergeCell ref="R153:T153"/>
    <mergeCell ref="B154:O154"/>
    <mergeCell ref="P154:Q154"/>
    <mergeCell ref="R154:T154"/>
    <mergeCell ref="B155:O155"/>
    <mergeCell ref="P155:Q155"/>
    <mergeCell ref="R155:T155"/>
    <mergeCell ref="B146:O146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59:O159"/>
    <mergeCell ref="P159:Q159"/>
    <mergeCell ref="R159:T159"/>
    <mergeCell ref="B160:O160"/>
    <mergeCell ref="P160:Q160"/>
    <mergeCell ref="R160:T160"/>
    <mergeCell ref="B166:O166"/>
    <mergeCell ref="P166:Q166"/>
    <mergeCell ref="R166:T166"/>
    <mergeCell ref="B161:O161"/>
    <mergeCell ref="P167:Q167"/>
    <mergeCell ref="R167:T167"/>
    <mergeCell ref="B168:O168"/>
    <mergeCell ref="P168:Q168"/>
    <mergeCell ref="R168:T168"/>
    <mergeCell ref="B164:O164"/>
    <mergeCell ref="P164:Q164"/>
    <mergeCell ref="R164:T164"/>
    <mergeCell ref="B165:O165"/>
    <mergeCell ref="P165:Q165"/>
    <mergeCell ref="R165:T165"/>
    <mergeCell ref="B172:O172"/>
    <mergeCell ref="P172:Q172"/>
    <mergeCell ref="R172:T172"/>
    <mergeCell ref="B173:O173"/>
    <mergeCell ref="P173:Q173"/>
    <mergeCell ref="R173:T173"/>
    <mergeCell ref="B167:O167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8:O178"/>
    <mergeCell ref="P178:Q178"/>
    <mergeCell ref="R178:T178"/>
    <mergeCell ref="B179:O179"/>
    <mergeCell ref="P179:Q179"/>
    <mergeCell ref="R179:T179"/>
    <mergeCell ref="B174:O174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84:O184"/>
    <mergeCell ref="P184:Q184"/>
    <mergeCell ref="R184:T184"/>
    <mergeCell ref="B185:O185"/>
    <mergeCell ref="P185:Q185"/>
    <mergeCell ref="R185:T185"/>
    <mergeCell ref="B180:O180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90:O190"/>
    <mergeCell ref="P190:Q190"/>
    <mergeCell ref="R190:T190"/>
    <mergeCell ref="B191:O191"/>
    <mergeCell ref="P191:Q191"/>
    <mergeCell ref="R191:T191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6:O186"/>
    <mergeCell ref="P195:Q195"/>
    <mergeCell ref="R195:T195"/>
    <mergeCell ref="B196:O196"/>
    <mergeCell ref="P196:Q196"/>
    <mergeCell ref="R196:T196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200:O200"/>
    <mergeCell ref="P200:Q200"/>
    <mergeCell ref="R200:T200"/>
    <mergeCell ref="B195:O195"/>
    <mergeCell ref="P201:Q201"/>
    <mergeCell ref="R201:T201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5:O205"/>
    <mergeCell ref="P205:Q205"/>
    <mergeCell ref="R205:T205"/>
    <mergeCell ref="B206:O206"/>
    <mergeCell ref="P206:Q206"/>
    <mergeCell ref="R206:T206"/>
    <mergeCell ref="B201:O201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07:O207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3:O213"/>
    <mergeCell ref="P222:Q222"/>
    <mergeCell ref="R222:T222"/>
    <mergeCell ref="B223:O223"/>
    <mergeCell ref="P223:Q223"/>
    <mergeCell ref="R223:T223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8:O228"/>
    <mergeCell ref="P228:Q228"/>
    <mergeCell ref="R228:T228"/>
    <mergeCell ref="B222:O222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24:O224"/>
    <mergeCell ref="P224:Q224"/>
    <mergeCell ref="R224:T224"/>
    <mergeCell ref="B225:O225"/>
    <mergeCell ref="P225:Q225"/>
    <mergeCell ref="R225:T225"/>
    <mergeCell ref="B234:O234"/>
    <mergeCell ref="P234:Q234"/>
    <mergeCell ref="R234:T234"/>
    <mergeCell ref="B229:O229"/>
    <mergeCell ref="P235:Q235"/>
    <mergeCell ref="R235:T235"/>
    <mergeCell ref="B236:O236"/>
    <mergeCell ref="P236:Q236"/>
    <mergeCell ref="R236:T236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35:O235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P263:Q263"/>
    <mergeCell ref="R263:T263"/>
    <mergeCell ref="B264:O264"/>
    <mergeCell ref="P264:Q264"/>
    <mergeCell ref="R264:T264"/>
    <mergeCell ref="B261:O261"/>
    <mergeCell ref="P261:Q261"/>
    <mergeCell ref="R261:T261"/>
    <mergeCell ref="B262:O262"/>
    <mergeCell ref="P262:Q262"/>
    <mergeCell ref="R262:T262"/>
    <mergeCell ref="B268:O268"/>
    <mergeCell ref="P268:Q268"/>
    <mergeCell ref="R268:T268"/>
    <mergeCell ref="B269:O269"/>
    <mergeCell ref="P269:Q269"/>
    <mergeCell ref="R269:T269"/>
    <mergeCell ref="P270:Q270"/>
    <mergeCell ref="R270:T270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74:O274"/>
    <mergeCell ref="P274:Q274"/>
    <mergeCell ref="R274:T274"/>
    <mergeCell ref="B275:O275"/>
    <mergeCell ref="P275:Q275"/>
    <mergeCell ref="R275:T275"/>
    <mergeCell ref="P276:Q276"/>
    <mergeCell ref="R276:T276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81:O281"/>
    <mergeCell ref="P281:Q281"/>
    <mergeCell ref="R281:T281"/>
    <mergeCell ref="B282:O282"/>
    <mergeCell ref="P282:Q282"/>
    <mergeCell ref="R282:T282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5:O285"/>
    <mergeCell ref="P285:Q285"/>
    <mergeCell ref="R285:T285"/>
    <mergeCell ref="B286:O286"/>
    <mergeCell ref="P286:Q286"/>
    <mergeCell ref="R286:T286"/>
    <mergeCell ref="B284:O284"/>
    <mergeCell ref="P284:Q284"/>
    <mergeCell ref="R284:T284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87:O287"/>
    <mergeCell ref="P287:Q287"/>
    <mergeCell ref="R287:T287"/>
    <mergeCell ref="B288:O288"/>
    <mergeCell ref="P288:Q288"/>
    <mergeCell ref="R288:T288"/>
    <mergeCell ref="B295:O295"/>
    <mergeCell ref="P295:Q295"/>
    <mergeCell ref="R295:T295"/>
    <mergeCell ref="P296:Q296"/>
    <mergeCell ref="R296:T296"/>
    <mergeCell ref="B297:O297"/>
    <mergeCell ref="P297:Q297"/>
    <mergeCell ref="R297:T297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301:O301"/>
    <mergeCell ref="P301:Q301"/>
    <mergeCell ref="R301:T301"/>
    <mergeCell ref="P302:Q302"/>
    <mergeCell ref="R302:T302"/>
    <mergeCell ref="B303:O303"/>
    <mergeCell ref="P303:Q303"/>
    <mergeCell ref="R303:T303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7:O307"/>
    <mergeCell ref="P307:Q307"/>
    <mergeCell ref="R307:T307"/>
    <mergeCell ref="P308:Q308"/>
    <mergeCell ref="R308:T308"/>
    <mergeCell ref="B309:O309"/>
    <mergeCell ref="P309:Q309"/>
    <mergeCell ref="R309:T309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13:O313"/>
    <mergeCell ref="P313:Q313"/>
    <mergeCell ref="R313:T313"/>
    <mergeCell ref="P314:Q314"/>
    <mergeCell ref="R314:T314"/>
    <mergeCell ref="B315:O315"/>
    <mergeCell ref="P315:Q315"/>
    <mergeCell ref="R315:T315"/>
    <mergeCell ref="B310:O310"/>
    <mergeCell ref="P310:Q310"/>
    <mergeCell ref="R310:T310"/>
    <mergeCell ref="B311:O311"/>
    <mergeCell ref="P311:Q311"/>
    <mergeCell ref="R311:T311"/>
    <mergeCell ref="B312:O312"/>
    <mergeCell ref="P312:Q312"/>
    <mergeCell ref="R312:T312"/>
    <mergeCell ref="B319:O319"/>
    <mergeCell ref="P319:Q319"/>
    <mergeCell ref="R319:T319"/>
    <mergeCell ref="P320:Q320"/>
    <mergeCell ref="R320:T320"/>
    <mergeCell ref="B321:O321"/>
    <mergeCell ref="P321:Q321"/>
    <mergeCell ref="R321:T321"/>
    <mergeCell ref="B316:O316"/>
    <mergeCell ref="P316:Q316"/>
    <mergeCell ref="R316:T316"/>
    <mergeCell ref="B317:O317"/>
    <mergeCell ref="P317:Q317"/>
    <mergeCell ref="R317:T317"/>
    <mergeCell ref="B318:O318"/>
    <mergeCell ref="P318:Q318"/>
    <mergeCell ref="R318:T318"/>
    <mergeCell ref="B325:O325"/>
    <mergeCell ref="P325:Q325"/>
    <mergeCell ref="R325:T325"/>
    <mergeCell ref="P331:Q331"/>
    <mergeCell ref="R331:T331"/>
    <mergeCell ref="B332:O332"/>
    <mergeCell ref="P332:Q332"/>
    <mergeCell ref="R332:T332"/>
    <mergeCell ref="B333:O333"/>
    <mergeCell ref="P333:Q333"/>
    <mergeCell ref="R333:T333"/>
    <mergeCell ref="B326:O326"/>
    <mergeCell ref="P326:Q326"/>
    <mergeCell ref="R326:T326"/>
    <mergeCell ref="B322:O322"/>
    <mergeCell ref="P322:Q322"/>
    <mergeCell ref="R322:T322"/>
    <mergeCell ref="B323:O323"/>
    <mergeCell ref="P323:Q323"/>
    <mergeCell ref="R323:T323"/>
    <mergeCell ref="B324:O324"/>
    <mergeCell ref="P324:Q324"/>
    <mergeCell ref="R324:T324"/>
    <mergeCell ref="B329:O329"/>
    <mergeCell ref="P329:Q329"/>
    <mergeCell ref="R329:T329"/>
    <mergeCell ref="B330:O330"/>
    <mergeCell ref="P330:Q330"/>
    <mergeCell ref="R330:T330"/>
    <mergeCell ref="B327:O327"/>
    <mergeCell ref="P327:Q327"/>
    <mergeCell ref="R327:T327"/>
    <mergeCell ref="B328:O328"/>
    <mergeCell ref="P328:Q328"/>
    <mergeCell ref="R328:T328"/>
    <mergeCell ref="P342:Q342"/>
    <mergeCell ref="R342:T342"/>
    <mergeCell ref="B337:O337"/>
    <mergeCell ref="P337:Q337"/>
    <mergeCell ref="R337:T337"/>
    <mergeCell ref="B338:O338"/>
    <mergeCell ref="P338:Q338"/>
    <mergeCell ref="R338:T338"/>
    <mergeCell ref="B339:O339"/>
    <mergeCell ref="P339:Q339"/>
    <mergeCell ref="R339:T339"/>
    <mergeCell ref="B334:O334"/>
    <mergeCell ref="P334:Q334"/>
    <mergeCell ref="R334:T334"/>
    <mergeCell ref="B335:O335"/>
    <mergeCell ref="P335:Q335"/>
    <mergeCell ref="R335:T335"/>
    <mergeCell ref="B336:O336"/>
    <mergeCell ref="P336:Q336"/>
    <mergeCell ref="R336:T336"/>
    <mergeCell ref="P343:Q343"/>
    <mergeCell ref="R343:T343"/>
    <mergeCell ref="B344:O344"/>
    <mergeCell ref="P344:Q344"/>
    <mergeCell ref="R344:T344"/>
    <mergeCell ref="B345:O345"/>
    <mergeCell ref="P345:Q345"/>
    <mergeCell ref="R345:T345"/>
    <mergeCell ref="B340:O340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46:O346"/>
    <mergeCell ref="P346:Q346"/>
    <mergeCell ref="R346:T346"/>
    <mergeCell ref="B347:O347"/>
    <mergeCell ref="P347:Q347"/>
    <mergeCell ref="R347:T347"/>
    <mergeCell ref="B348:O348"/>
    <mergeCell ref="P348:Q348"/>
    <mergeCell ref="R348:T348"/>
    <mergeCell ref="P340:Q340"/>
    <mergeCell ref="R340:T340"/>
    <mergeCell ref="B341:O341"/>
    <mergeCell ref="P341:Q341"/>
    <mergeCell ref="R341:T341"/>
  </mergeCells>
  <pageMargins left="0.74803149606299213" right="0.74803149606299213" top="0.98425196850393704" bottom="0.98425196850393704" header="0.51181102362204722" footer="0.51181102362204722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1796875" defaultRowHeight="14" outlineLevelRow="1"/>
  <cols>
    <col min="1" max="1" width="5" style="19" customWidth="1"/>
    <col min="2" max="2" width="27.81640625" style="19" customWidth="1"/>
    <col min="3" max="3" width="1" style="19" customWidth="1"/>
    <col min="4" max="4" width="11.453125" style="19" customWidth="1"/>
    <col min="5" max="5" width="3.26953125" style="19" customWidth="1"/>
    <col min="6" max="6" width="8.81640625" style="19" customWidth="1"/>
    <col min="7" max="7" width="3.7265625" style="19" customWidth="1"/>
    <col min="8" max="8" width="8.7265625" style="19" customWidth="1"/>
    <col min="9" max="9" width="3.7265625" style="19" customWidth="1"/>
    <col min="10" max="10" width="16.81640625" style="19" customWidth="1"/>
    <col min="11" max="11" width="9.1796875" style="19"/>
    <col min="12" max="12" width="4" style="19" customWidth="1"/>
    <col min="13" max="15" width="15.7265625" style="19" customWidth="1"/>
    <col min="16" max="16" width="0" style="19" hidden="1" customWidth="1"/>
    <col min="17" max="17" width="47.81640625" style="141" customWidth="1"/>
    <col min="18" max="18" width="8.81640625" style="19" customWidth="1"/>
    <col min="19" max="19" width="3.7265625" style="19" customWidth="1"/>
    <col min="20" max="20" width="8.7265625" style="19" customWidth="1"/>
    <col min="21" max="21" width="3.7265625" style="19" customWidth="1"/>
    <col min="22" max="22" width="16.81640625" style="19" customWidth="1"/>
    <col min="23" max="16384" width="9.1796875" style="19"/>
  </cols>
  <sheetData>
    <row r="1" spans="1:22" ht="14.5" outlineLevel="1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814"/>
      <c r="L1" s="814"/>
      <c r="M1" s="207"/>
      <c r="N1"/>
      <c r="O1"/>
    </row>
    <row r="2" spans="1:22" ht="15.75" customHeight="1" outlineLevel="1">
      <c r="A2" s="771"/>
      <c r="B2" s="771"/>
      <c r="C2" s="771"/>
      <c r="D2" s="23"/>
      <c r="E2" s="758" t="s">
        <v>71</v>
      </c>
      <c r="F2" s="758"/>
      <c r="G2" s="758"/>
      <c r="H2" s="758"/>
      <c r="I2" s="758"/>
      <c r="J2" s="758"/>
      <c r="K2" s="815"/>
      <c r="L2" s="815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70"/>
      <c r="B3" s="770"/>
      <c r="C3" s="770"/>
      <c r="D3" s="21"/>
      <c r="E3" s="736" t="s">
        <v>0</v>
      </c>
      <c r="F3" s="736"/>
      <c r="G3" s="736"/>
      <c r="H3" s="736"/>
      <c r="I3" s="736"/>
      <c r="J3" s="736"/>
      <c r="Q3" s="146"/>
      <c r="R3" s="21"/>
      <c r="S3" s="21"/>
      <c r="T3" s="21"/>
      <c r="U3" s="21"/>
      <c r="V3" s="21"/>
    </row>
    <row r="4" spans="1:22" outlineLevel="1">
      <c r="A4" s="758" t="str">
        <f>ФОРМА!B4</f>
        <v>ООО «БЭСК»</v>
      </c>
      <c r="B4" s="758"/>
      <c r="C4" s="758"/>
      <c r="D4" s="23"/>
      <c r="E4" s="772" t="str">
        <f>ФОРМА!B2</f>
        <v>ПАО "Россети Ленэнерго"</v>
      </c>
      <c r="F4" s="772"/>
      <c r="G4" s="772"/>
      <c r="H4" s="772"/>
      <c r="I4" s="772"/>
      <c r="J4" s="772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36" t="s">
        <v>44</v>
      </c>
      <c r="B5" s="736"/>
      <c r="C5" s="736"/>
      <c r="D5" s="21"/>
      <c r="E5" s="736" t="s">
        <v>2</v>
      </c>
      <c r="F5" s="736"/>
      <c r="G5" s="736"/>
      <c r="H5" s="736"/>
      <c r="I5" s="736"/>
      <c r="J5" s="736"/>
      <c r="Q5" s="146"/>
      <c r="R5" s="21"/>
      <c r="S5" s="21"/>
      <c r="T5" s="21"/>
      <c r="U5" s="21"/>
      <c r="V5" s="21"/>
    </row>
    <row r="6" spans="1:22" ht="126" outlineLevel="1">
      <c r="A6" s="758"/>
      <c r="B6" s="758"/>
      <c r="C6" s="758"/>
      <c r="D6" s="23"/>
      <c r="E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20"/>
      <c r="G6" s="820"/>
      <c r="H6" s="820"/>
      <c r="I6" s="820"/>
      <c r="J6" s="82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36" t="s">
        <v>45</v>
      </c>
      <c r="B7" s="736"/>
      <c r="C7" s="736"/>
      <c r="D7" s="21"/>
      <c r="E7" s="770" t="s">
        <v>38</v>
      </c>
      <c r="F7" s="770"/>
      <c r="G7" s="770"/>
      <c r="H7" s="770"/>
      <c r="I7" s="770"/>
      <c r="J7" s="770"/>
      <c r="Q7" s="146"/>
      <c r="R7" s="21"/>
      <c r="S7" s="21"/>
      <c r="T7" s="21"/>
      <c r="U7" s="21"/>
      <c r="V7" s="21"/>
    </row>
    <row r="8" spans="1:22" outlineLevel="1">
      <c r="A8" s="758"/>
      <c r="B8" s="758"/>
      <c r="C8" s="758"/>
      <c r="D8" s="23"/>
      <c r="E8" s="735">
        <f>ФОРМА!B13</f>
        <v>45625</v>
      </c>
      <c r="F8" s="758"/>
      <c r="G8" s="758"/>
      <c r="H8" s="758"/>
      <c r="I8" s="758"/>
      <c r="J8" s="758"/>
      <c r="Q8" s="170"/>
      <c r="R8" s="23"/>
      <c r="S8" s="23"/>
      <c r="T8" s="23"/>
      <c r="U8" s="23"/>
      <c r="V8" s="23"/>
    </row>
    <row r="9" spans="1:22" ht="14.5" customHeight="1" outlineLevel="1">
      <c r="A9" s="736" t="s">
        <v>1</v>
      </c>
      <c r="B9" s="736"/>
      <c r="C9" s="736"/>
      <c r="D9" s="21"/>
      <c r="E9" s="736" t="s">
        <v>3</v>
      </c>
      <c r="F9" s="736"/>
      <c r="G9" s="736"/>
      <c r="H9" s="736"/>
      <c r="I9" s="736"/>
      <c r="J9" s="736"/>
      <c r="Q9" s="146"/>
      <c r="R9" s="21"/>
      <c r="S9" s="21"/>
      <c r="T9" s="21"/>
      <c r="U9" s="21"/>
      <c r="V9" s="21"/>
    </row>
    <row r="10" spans="1:22" ht="41.5" customHeight="1">
      <c r="A10" s="821" t="s">
        <v>1131</v>
      </c>
      <c r="B10" s="822"/>
      <c r="C10" s="822"/>
      <c r="D10" s="822"/>
      <c r="E10" s="822"/>
      <c r="F10" s="822"/>
      <c r="G10" s="822"/>
      <c r="H10" s="822"/>
      <c r="I10" s="822"/>
      <c r="J10" s="822"/>
    </row>
    <row r="11" spans="1:22" ht="41.5" customHeight="1">
      <c r="A11" s="823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24"/>
      <c r="C11" s="824"/>
      <c r="D11" s="824"/>
      <c r="E11" s="824"/>
      <c r="F11" s="824"/>
      <c r="G11" s="824"/>
      <c r="H11" s="824"/>
      <c r="I11" s="824"/>
      <c r="J11" s="824"/>
    </row>
    <row r="12" spans="1:22" ht="40.5" customHeight="1">
      <c r="A12" s="59" t="s">
        <v>19</v>
      </c>
      <c r="B12" s="107" t="s">
        <v>88</v>
      </c>
      <c r="C12" s="829" t="s">
        <v>36</v>
      </c>
      <c r="D12" s="830"/>
      <c r="E12" s="831"/>
      <c r="F12" s="832" t="s">
        <v>93</v>
      </c>
      <c r="G12" s="833"/>
      <c r="H12" s="834" t="s">
        <v>59</v>
      </c>
      <c r="I12" s="834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627</v>
      </c>
      <c r="C13" s="837" t="s">
        <v>632</v>
      </c>
      <c r="D13" s="838"/>
      <c r="E13" s="839"/>
      <c r="F13" s="835"/>
      <c r="G13" s="836"/>
      <c r="H13" s="837" t="s">
        <v>628</v>
      </c>
      <c r="I13" s="839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629</v>
      </c>
      <c r="C14" s="825" t="s">
        <v>630</v>
      </c>
      <c r="D14" s="826"/>
      <c r="E14" s="827"/>
      <c r="F14" s="730"/>
      <c r="G14" s="732"/>
      <c r="H14" s="828" t="s">
        <v>631</v>
      </c>
      <c r="I14" s="828"/>
      <c r="J14" s="102"/>
      <c r="R14" s="167"/>
      <c r="S14" s="167"/>
      <c r="T14" s="168"/>
      <c r="U14" s="168"/>
      <c r="V14" s="163"/>
    </row>
    <row r="15" spans="1:22" ht="36.75" customHeight="1">
      <c r="A15" s="816" t="s">
        <v>393</v>
      </c>
      <c r="B15" s="816"/>
      <c r="C15" s="816"/>
      <c r="D15" s="817" t="str">
        <f>ФОРМА!B7</f>
        <v xml:space="preserve">  </v>
      </c>
      <c r="E15" s="817"/>
      <c r="F15" s="817"/>
      <c r="G15" s="817"/>
      <c r="H15" s="817"/>
      <c r="I15" s="817"/>
      <c r="J15" s="817"/>
      <c r="K15" s="813" t="s">
        <v>1179</v>
      </c>
    </row>
    <row r="16" spans="1:22" ht="15.75" customHeight="1">
      <c r="A16" s="819"/>
      <c r="B16" s="819"/>
      <c r="C16" s="819"/>
      <c r="D16" s="819"/>
      <c r="E16" s="819"/>
      <c r="F16" s="819"/>
      <c r="G16" s="819"/>
      <c r="H16" s="819"/>
      <c r="I16" s="819"/>
      <c r="J16" s="819"/>
      <c r="K16" s="813"/>
      <c r="O16" s="23"/>
      <c r="Q16" s="169"/>
      <c r="R16" s="23"/>
      <c r="S16" s="23"/>
    </row>
    <row r="17" spans="1:22" ht="59.5" customHeight="1" outlineLevel="1">
      <c r="A17" s="764" t="s">
        <v>15</v>
      </c>
      <c r="B17" s="764"/>
      <c r="D17" s="772" t="str">
        <f>ПОДПИСИ!B5</f>
        <v>Начальник мастерского участка №1 Курортного РЭС ПАО «Россети Ленэнерго» «СЭС»</v>
      </c>
      <c r="E17" s="772"/>
      <c r="F17" s="772"/>
      <c r="H17" s="54"/>
      <c r="I17" s="23"/>
      <c r="J17" s="48" t="str">
        <f>ПОДПИСИ!E6</f>
        <v>Д.М. Чечин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26"/>
      <c r="B18" s="726"/>
      <c r="D18" s="736" t="s">
        <v>48</v>
      </c>
      <c r="E18" s="736"/>
      <c r="F18" s="736"/>
      <c r="H18" s="46" t="s">
        <v>49</v>
      </c>
      <c r="I18" s="21"/>
      <c r="J18" s="46" t="s">
        <v>50</v>
      </c>
      <c r="K18" s="548">
        <f>IF(K17=1,1,0)</f>
        <v>0</v>
      </c>
      <c r="T18" s="45"/>
      <c r="U18" s="21"/>
      <c r="V18" s="45"/>
    </row>
    <row r="19" spans="1:22" ht="59.5" customHeight="1" outlineLevel="1">
      <c r="A19" s="764" t="s">
        <v>15</v>
      </c>
      <c r="B19" s="764"/>
      <c r="D19" s="772" t="str">
        <f>ПОДПИСИ!B6</f>
        <v>Начальник мастерского участка №1 Курортного РЭС ПАО «Россети Ленэнерго» «СЭС»</v>
      </c>
      <c r="E19" s="772"/>
      <c r="F19" s="772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26"/>
      <c r="B20" s="726"/>
      <c r="D20" s="736" t="s">
        <v>48</v>
      </c>
      <c r="E20" s="736"/>
      <c r="F20" s="736"/>
      <c r="H20" s="46" t="s">
        <v>49</v>
      </c>
      <c r="I20" s="21"/>
      <c r="J20" s="46" t="s">
        <v>50</v>
      </c>
      <c r="K20" s="548">
        <f>IF(K19=1,1,0)</f>
        <v>0</v>
      </c>
      <c r="T20" s="45"/>
      <c r="U20" s="21"/>
      <c r="V20" s="45"/>
    </row>
    <row r="21" spans="1:22" ht="59.25" customHeight="1">
      <c r="A21" s="764" t="s">
        <v>15</v>
      </c>
      <c r="B21" s="764"/>
      <c r="D21" s="772" t="str">
        <f>ПОДПИСИ!B7</f>
        <v>Начальник мастерского участка №1 Курортного РЭС ПАО «Россети Ленэнерго» «СЭС»</v>
      </c>
      <c r="E21" s="772"/>
      <c r="F21" s="772"/>
      <c r="H21" s="54"/>
      <c r="I21" s="23"/>
      <c r="J21" s="48" t="str">
        <f>ПОДПИСИ!E7</f>
        <v>Д.М. Чечин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26"/>
      <c r="B22" s="726"/>
      <c r="D22" s="736" t="s">
        <v>48</v>
      </c>
      <c r="E22" s="736"/>
      <c r="F22" s="736"/>
      <c r="H22" s="46" t="s">
        <v>49</v>
      </c>
      <c r="I22" s="21"/>
      <c r="J22" s="46" t="s">
        <v>50</v>
      </c>
      <c r="K22" s="548">
        <f>IF(K21=1,1,0)</f>
        <v>1</v>
      </c>
      <c r="T22" s="45"/>
      <c r="U22" s="21"/>
      <c r="V22" s="45"/>
    </row>
    <row r="23" spans="1:22" ht="34.15" customHeight="1">
      <c r="A23" s="818" t="s">
        <v>251</v>
      </c>
      <c r="B23" s="818"/>
      <c r="D23" s="772" t="str">
        <f>IF(ПОДПИСИ!B15=0," ",ПОДПИСИ!B15)</f>
        <v xml:space="preserve">Заместитель генерального директора ООО «БЭСК» </v>
      </c>
      <c r="E23" s="772"/>
      <c r="F23" s="772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26"/>
      <c r="B24" s="726"/>
      <c r="D24" s="736" t="s">
        <v>48</v>
      </c>
      <c r="E24" s="736"/>
      <c r="F24" s="736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161" priority="5" operator="equal">
      <formula>0</formula>
    </cfRule>
  </conditionalFormatting>
  <conditionalFormatting sqref="D24">
    <cfRule type="cellIs" dxfId="160" priority="4" operator="equal">
      <formula>0</formula>
    </cfRule>
  </conditionalFormatting>
  <conditionalFormatting sqref="Q2:Q9 T17:V17 U18:V18 T19:V19 U20:V20 T21:V21 U22:V22">
    <cfRule type="cellIs" dxfId="1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sqref="A1:C1"/>
    </sheetView>
  </sheetViews>
  <sheetFormatPr defaultColWidth="9.1796875" defaultRowHeight="14.5" outlineLevelRow="1"/>
  <cols>
    <col min="1" max="106" width="0.81640625" style="19" customWidth="1"/>
    <col min="107" max="107" width="9.1796875" style="19"/>
    <col min="108" max="110" width="15.7265625" style="19" customWidth="1"/>
    <col min="111" max="111" width="0" style="19" hidden="1" customWidth="1"/>
    <col min="112" max="112" width="47.81640625" style="158" customWidth="1"/>
    <col min="113" max="16384" width="9.179687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ht="14" outlineLevel="1">
      <c r="DB3" s="58" t="s">
        <v>56</v>
      </c>
      <c r="DH3" s="156"/>
    </row>
    <row r="4" spans="1:112" ht="14" outlineLevel="1">
      <c r="CC4" s="844">
        <f>ФОРМА!B13</f>
        <v>45625</v>
      </c>
      <c r="CD4" s="844"/>
      <c r="CE4" s="844"/>
      <c r="CF4" s="844"/>
      <c r="CG4" s="844"/>
      <c r="CH4" s="844"/>
      <c r="CI4" s="844"/>
      <c r="CJ4" s="844"/>
      <c r="CK4" s="844"/>
      <c r="CL4" s="844"/>
      <c r="CM4" s="844"/>
      <c r="CN4" s="844"/>
      <c r="CO4" s="844"/>
      <c r="CP4" s="844"/>
      <c r="CQ4" s="844"/>
      <c r="CR4" s="844"/>
      <c r="CS4" s="844"/>
      <c r="CT4" s="844"/>
      <c r="CU4" s="844"/>
      <c r="CV4" s="844"/>
      <c r="CW4" s="844"/>
      <c r="CX4" s="844"/>
      <c r="CY4" s="844"/>
      <c r="CZ4" s="844"/>
      <c r="DA4" s="844"/>
      <c r="DB4" s="844"/>
      <c r="DH4" s="144"/>
    </row>
    <row r="5" spans="1:112" ht="14" outlineLevel="1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BA5" s="758" t="str">
        <f>ФОРМА!G2</f>
        <v>Санкт-Петербург</v>
      </c>
      <c r="BB5" s="758"/>
      <c r="BC5" s="758"/>
      <c r="BD5" s="758"/>
      <c r="BE5" s="758"/>
      <c r="BF5" s="758"/>
      <c r="BG5" s="758"/>
      <c r="BH5" s="758"/>
      <c r="BI5" s="758"/>
      <c r="BJ5" s="758"/>
      <c r="BK5" s="758"/>
      <c r="BL5" s="758"/>
      <c r="BM5" s="758"/>
      <c r="BN5" s="758"/>
      <c r="BO5" s="758"/>
      <c r="BP5" s="758"/>
      <c r="BQ5" s="758"/>
      <c r="BR5" s="758"/>
      <c r="BS5" s="758"/>
      <c r="BT5" s="758"/>
      <c r="BU5" s="758"/>
      <c r="BV5" s="758"/>
      <c r="BW5" s="758"/>
      <c r="BX5" s="758"/>
      <c r="BY5" s="758"/>
      <c r="BZ5" s="758"/>
      <c r="CA5" s="758"/>
      <c r="CB5" s="758"/>
      <c r="CC5" s="758"/>
      <c r="CD5" s="758"/>
      <c r="CE5" s="758"/>
      <c r="CF5" s="758"/>
      <c r="CG5" s="758"/>
      <c r="CH5" s="758"/>
      <c r="CI5" s="758"/>
      <c r="CJ5" s="758"/>
      <c r="CK5" s="758"/>
      <c r="CL5" s="758"/>
      <c r="CM5" s="758"/>
      <c r="CN5" s="758"/>
      <c r="CO5" s="758"/>
      <c r="CP5" s="758"/>
      <c r="CQ5" s="758"/>
      <c r="CR5" s="758"/>
      <c r="CS5" s="758"/>
      <c r="CT5" s="758"/>
      <c r="CU5" s="758"/>
      <c r="CV5" s="758"/>
      <c r="CW5" s="758"/>
      <c r="CX5" s="758"/>
      <c r="CY5" s="758"/>
      <c r="CZ5" s="758"/>
      <c r="DA5" s="758"/>
      <c r="DB5" s="758"/>
      <c r="DH5" s="156"/>
    </row>
    <row r="6" spans="1:112" s="50" customFormat="1" ht="15" customHeight="1" outlineLevel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770" t="s">
        <v>0</v>
      </c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/>
    </row>
    <row r="7" spans="1:112" ht="14" outlineLevel="1">
      <c r="A7" s="758" t="str">
        <f>ФОРМА!B4</f>
        <v>ООО «БЭСК»</v>
      </c>
      <c r="B7" s="758"/>
      <c r="C7" s="758"/>
      <c r="D7" s="758"/>
      <c r="E7" s="758"/>
      <c r="F7" s="758"/>
      <c r="G7" s="758"/>
      <c r="H7" s="758"/>
      <c r="I7" s="758"/>
      <c r="J7" s="758"/>
      <c r="K7" s="758"/>
      <c r="L7" s="758"/>
      <c r="M7" s="758"/>
      <c r="N7" s="758"/>
      <c r="O7" s="758"/>
      <c r="P7" s="758"/>
      <c r="Q7" s="758"/>
      <c r="R7" s="758"/>
      <c r="S7" s="758"/>
      <c r="T7" s="758"/>
      <c r="U7" s="758"/>
      <c r="V7" s="758"/>
      <c r="W7" s="758"/>
      <c r="X7" s="758"/>
      <c r="Y7" s="758"/>
      <c r="Z7" s="758"/>
      <c r="AA7" s="758"/>
      <c r="AB7" s="758"/>
      <c r="AC7" s="758"/>
      <c r="AD7" s="758"/>
      <c r="AE7" s="758"/>
      <c r="AF7" s="758"/>
      <c r="AG7" s="758"/>
      <c r="AH7" s="758"/>
      <c r="AI7" s="758"/>
      <c r="AJ7" s="758"/>
      <c r="AK7" s="758"/>
      <c r="AL7" s="758"/>
      <c r="AM7" s="758"/>
      <c r="AN7" s="758"/>
      <c r="AO7" s="758"/>
      <c r="AP7" s="758"/>
      <c r="AQ7" s="758"/>
      <c r="AR7" s="758"/>
      <c r="AS7" s="758"/>
      <c r="AT7" s="758"/>
      <c r="BA7" s="772" t="str">
        <f>ФОРМА!B2</f>
        <v>ПАО "Россети Ленэнерго"</v>
      </c>
      <c r="BB7" s="772"/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56" t="str">
        <f>BA7</f>
        <v>ПАО "Россети Ленэнерго"</v>
      </c>
    </row>
    <row r="8" spans="1:112" ht="15" customHeight="1" outlineLevel="1">
      <c r="A8" s="770" t="s">
        <v>44</v>
      </c>
      <c r="B8" s="770"/>
      <c r="C8" s="770"/>
      <c r="D8" s="770"/>
      <c r="E8" s="770"/>
      <c r="F8" s="770"/>
      <c r="G8" s="770"/>
      <c r="H8" s="770"/>
      <c r="I8" s="770"/>
      <c r="J8" s="770"/>
      <c r="K8" s="770"/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  <c r="AF8" s="770"/>
      <c r="AG8" s="770"/>
      <c r="AH8" s="770"/>
      <c r="AI8" s="770"/>
      <c r="AJ8" s="770"/>
      <c r="AK8" s="770"/>
      <c r="AL8" s="770"/>
      <c r="AM8" s="770"/>
      <c r="AN8" s="770"/>
      <c r="AO8" s="770"/>
      <c r="AP8" s="770"/>
      <c r="AQ8" s="770"/>
      <c r="AR8" s="770"/>
      <c r="AS8" s="770"/>
      <c r="AT8" s="770"/>
      <c r="AU8" s="21"/>
      <c r="AV8" s="21"/>
      <c r="AW8" s="21"/>
      <c r="AX8" s="21"/>
      <c r="AY8" s="21"/>
      <c r="AZ8" s="21"/>
      <c r="BA8" s="770" t="s">
        <v>2</v>
      </c>
      <c r="BB8" s="770"/>
      <c r="BC8" s="770"/>
      <c r="BD8" s="770"/>
      <c r="BE8" s="770"/>
      <c r="BF8" s="770"/>
      <c r="BG8" s="770"/>
      <c r="BH8" s="770"/>
      <c r="BI8" s="770"/>
      <c r="BJ8" s="770"/>
      <c r="BK8" s="770"/>
      <c r="BL8" s="770"/>
      <c r="BM8" s="770"/>
      <c r="BN8" s="770"/>
      <c r="BO8" s="770"/>
      <c r="BP8" s="770"/>
      <c r="BQ8" s="770"/>
      <c r="BR8" s="770"/>
      <c r="BS8" s="770"/>
      <c r="BT8" s="770"/>
      <c r="BU8" s="770"/>
      <c r="BV8" s="770"/>
      <c r="BW8" s="770"/>
      <c r="BX8" s="770"/>
      <c r="BY8" s="770"/>
      <c r="BZ8" s="770"/>
      <c r="CA8" s="770"/>
      <c r="CB8" s="770"/>
      <c r="CC8" s="770"/>
      <c r="CD8" s="770"/>
      <c r="CE8" s="770"/>
      <c r="CF8" s="770"/>
      <c r="CG8" s="770"/>
      <c r="CH8" s="770"/>
      <c r="CI8" s="770"/>
      <c r="CJ8" s="770"/>
      <c r="CK8" s="770"/>
      <c r="CL8" s="770"/>
      <c r="CM8" s="770"/>
      <c r="CN8" s="770"/>
      <c r="CO8" s="770"/>
      <c r="CP8" s="770"/>
      <c r="CQ8" s="770"/>
      <c r="CR8" s="770"/>
      <c r="CS8" s="770"/>
      <c r="CT8" s="770"/>
      <c r="CU8" s="770"/>
      <c r="CV8" s="770"/>
      <c r="CW8" s="770"/>
      <c r="CX8" s="770"/>
      <c r="CY8" s="770"/>
      <c r="CZ8" s="770"/>
      <c r="DA8" s="770"/>
      <c r="DB8" s="770"/>
      <c r="DH8" s="154"/>
    </row>
    <row r="9" spans="1:112" ht="133.5" customHeight="1" outlineLevel="1">
      <c r="A9" s="773"/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21"/>
      <c r="AV9" s="21"/>
      <c r="AW9" s="21"/>
      <c r="AX9" s="21"/>
      <c r="AY9" s="21"/>
      <c r="AZ9" s="21"/>
      <c r="BA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2"/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" customHeight="1" outlineLevel="1">
      <c r="A10" s="770" t="s">
        <v>45</v>
      </c>
      <c r="B10" s="770"/>
      <c r="C10" s="770"/>
      <c r="D10" s="770"/>
      <c r="E10" s="770"/>
      <c r="F10" s="770"/>
      <c r="G10" s="770"/>
      <c r="H10" s="770"/>
      <c r="I10" s="770"/>
      <c r="J10" s="770"/>
      <c r="K10" s="770"/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  <c r="AF10" s="770"/>
      <c r="AG10" s="770"/>
      <c r="AH10" s="770"/>
      <c r="AI10" s="770"/>
      <c r="AJ10" s="770"/>
      <c r="AK10" s="770"/>
      <c r="AL10" s="770"/>
      <c r="AM10" s="770"/>
      <c r="AN10" s="770"/>
      <c r="AO10" s="770"/>
      <c r="AP10" s="770"/>
      <c r="AQ10" s="770"/>
      <c r="AR10" s="770"/>
      <c r="AS10" s="770"/>
      <c r="AT10" s="770"/>
      <c r="AU10" s="21"/>
      <c r="AV10" s="21"/>
      <c r="AW10" s="21"/>
      <c r="AX10" s="21"/>
      <c r="AY10" s="21"/>
      <c r="AZ10" s="21"/>
      <c r="BA10" s="770" t="s">
        <v>38</v>
      </c>
      <c r="BB10" s="770"/>
      <c r="BC10" s="770"/>
      <c r="BD10" s="770"/>
      <c r="BE10" s="770"/>
      <c r="BF10" s="770"/>
      <c r="BG10" s="770"/>
      <c r="BH10" s="770"/>
      <c r="BI10" s="770"/>
      <c r="BJ10" s="770"/>
      <c r="BK10" s="770"/>
      <c r="BL10" s="770"/>
      <c r="BM10" s="770"/>
      <c r="BN10" s="770"/>
      <c r="BO10" s="770"/>
      <c r="BP10" s="770"/>
      <c r="BQ10" s="770"/>
      <c r="BR10" s="770"/>
      <c r="BS10" s="770"/>
      <c r="BT10" s="770"/>
      <c r="BU10" s="770"/>
      <c r="BV10" s="770"/>
      <c r="BW10" s="770"/>
      <c r="BX10" s="770"/>
      <c r="BY10" s="770"/>
      <c r="BZ10" s="770"/>
      <c r="CA10" s="770"/>
      <c r="CB10" s="770"/>
      <c r="CC10" s="770"/>
      <c r="CD10" s="770"/>
      <c r="CE10" s="770"/>
      <c r="CF10" s="770"/>
      <c r="CG10" s="770"/>
      <c r="CH10" s="770"/>
      <c r="CI10" s="770"/>
      <c r="CJ10" s="770"/>
      <c r="CK10" s="770"/>
      <c r="CL10" s="770"/>
      <c r="CM10" s="770"/>
      <c r="CN10" s="770"/>
      <c r="CO10" s="770"/>
      <c r="CP10" s="770"/>
      <c r="CQ10" s="770"/>
      <c r="CR10" s="770"/>
      <c r="CS10" s="770"/>
      <c r="CT10" s="770"/>
      <c r="CU10" s="770"/>
      <c r="CV10" s="770"/>
      <c r="CW10" s="770"/>
      <c r="CX10" s="770"/>
      <c r="CY10" s="770"/>
      <c r="CZ10" s="770"/>
      <c r="DA10" s="770"/>
      <c r="DB10" s="770"/>
    </row>
    <row r="11" spans="1:112" ht="14" outlineLevel="1">
      <c r="A11" s="758"/>
      <c r="B11" s="758"/>
      <c r="C11" s="758"/>
      <c r="D11" s="758"/>
      <c r="E11" s="758"/>
      <c r="F11" s="758"/>
      <c r="G11" s="758"/>
      <c r="H11" s="758"/>
      <c r="I11" s="758"/>
      <c r="J11" s="758"/>
      <c r="K11" s="758"/>
      <c r="L11" s="758"/>
      <c r="M11" s="758"/>
      <c r="N11" s="758"/>
      <c r="O11" s="758"/>
      <c r="P11" s="758"/>
      <c r="Q11" s="758"/>
      <c r="R11" s="758"/>
      <c r="S11" s="758"/>
      <c r="T11" s="758"/>
      <c r="U11" s="758"/>
      <c r="V11" s="758"/>
      <c r="W11" s="758"/>
      <c r="X11" s="758"/>
      <c r="Y11" s="758"/>
      <c r="Z11" s="758"/>
      <c r="AA11" s="758"/>
      <c r="AB11" s="758"/>
      <c r="AC11" s="758"/>
      <c r="AD11" s="758"/>
      <c r="AE11" s="758"/>
      <c r="AF11" s="758"/>
      <c r="AG11" s="758"/>
      <c r="AH11" s="758"/>
      <c r="AI11" s="758"/>
      <c r="AJ11" s="758"/>
      <c r="AK11" s="758"/>
      <c r="AL11" s="758"/>
      <c r="AM11" s="758"/>
      <c r="AN11" s="758"/>
      <c r="AO11" s="758"/>
      <c r="AP11" s="758"/>
      <c r="AQ11" s="758"/>
      <c r="AR11" s="758"/>
      <c r="AS11" s="758"/>
      <c r="AT11" s="758"/>
      <c r="BA11" s="735">
        <f>ФОРМА!B13</f>
        <v>45625</v>
      </c>
      <c r="BB11" s="735"/>
      <c r="BC11" s="735"/>
      <c r="BD11" s="735"/>
      <c r="BE11" s="735"/>
      <c r="BF11" s="735"/>
      <c r="BG11" s="735"/>
      <c r="BH11" s="735"/>
      <c r="BI11" s="735"/>
      <c r="BJ11" s="735"/>
      <c r="BK11" s="735"/>
      <c r="BL11" s="735"/>
      <c r="BM11" s="735"/>
      <c r="BN11" s="735"/>
      <c r="BO11" s="735"/>
      <c r="BP11" s="735"/>
      <c r="BQ11" s="735"/>
      <c r="BR11" s="735"/>
      <c r="BS11" s="735"/>
      <c r="BT11" s="735"/>
      <c r="BU11" s="735"/>
      <c r="BV11" s="735"/>
      <c r="BW11" s="735"/>
      <c r="BX11" s="735"/>
      <c r="BY11" s="735"/>
      <c r="BZ11" s="735"/>
      <c r="CA11" s="735"/>
      <c r="CB11" s="735"/>
      <c r="CC11" s="735"/>
      <c r="CD11" s="735"/>
      <c r="CE11" s="735"/>
      <c r="CF11" s="735"/>
      <c r="CG11" s="735"/>
      <c r="CH11" s="735"/>
      <c r="CI11" s="735"/>
      <c r="CJ11" s="735"/>
      <c r="CK11" s="735"/>
      <c r="CL11" s="735"/>
      <c r="CM11" s="735"/>
      <c r="CN11" s="735"/>
      <c r="CO11" s="735"/>
      <c r="CP11" s="735"/>
      <c r="CQ11" s="735"/>
      <c r="CR11" s="735"/>
      <c r="CS11" s="735"/>
      <c r="CT11" s="735"/>
      <c r="CU11" s="735"/>
      <c r="CV11" s="735"/>
      <c r="CW11" s="735"/>
      <c r="CX11" s="735"/>
      <c r="CY11" s="735"/>
      <c r="CZ11" s="735"/>
      <c r="DA11" s="735"/>
      <c r="DB11" s="735"/>
      <c r="DC11" s="51"/>
      <c r="DH11" s="155"/>
    </row>
    <row r="12" spans="1:112" ht="14.5" customHeight="1" outlineLevel="1">
      <c r="A12" s="770" t="s">
        <v>1</v>
      </c>
      <c r="B12" s="770"/>
      <c r="C12" s="770"/>
      <c r="D12" s="770"/>
      <c r="E12" s="770"/>
      <c r="F12" s="770"/>
      <c r="G12" s="770"/>
      <c r="H12" s="770"/>
      <c r="I12" s="770"/>
      <c r="J12" s="770"/>
      <c r="K12" s="770"/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  <c r="AF12" s="770"/>
      <c r="AG12" s="770"/>
      <c r="AH12" s="770"/>
      <c r="AI12" s="770"/>
      <c r="AJ12" s="770"/>
      <c r="AK12" s="770"/>
      <c r="AL12" s="770"/>
      <c r="AM12" s="770"/>
      <c r="AN12" s="770"/>
      <c r="AO12" s="770"/>
      <c r="AP12" s="770"/>
      <c r="AQ12" s="770"/>
      <c r="AR12" s="770"/>
      <c r="AS12" s="770"/>
      <c r="AT12" s="770"/>
      <c r="AU12" s="21"/>
      <c r="AV12" s="21"/>
      <c r="AW12" s="21"/>
      <c r="AX12" s="21"/>
      <c r="AY12" s="21"/>
      <c r="AZ12" s="21"/>
      <c r="BA12" s="770" t="s">
        <v>3</v>
      </c>
      <c r="BB12" s="770"/>
      <c r="BC12" s="770"/>
      <c r="BD12" s="770"/>
      <c r="BE12" s="770"/>
      <c r="BF12" s="770"/>
      <c r="BG12" s="770"/>
      <c r="BH12" s="770"/>
      <c r="BI12" s="770"/>
      <c r="BJ12" s="770"/>
      <c r="BK12" s="770"/>
      <c r="BL12" s="770"/>
      <c r="BM12" s="770"/>
      <c r="BN12" s="770"/>
      <c r="BO12" s="770"/>
      <c r="BP12" s="770"/>
      <c r="BQ12" s="770"/>
      <c r="BR12" s="770"/>
      <c r="BS12" s="770"/>
      <c r="BT12" s="770"/>
      <c r="BU12" s="770"/>
      <c r="BV12" s="770"/>
      <c r="BW12" s="770"/>
      <c r="BX12" s="770"/>
      <c r="BY12" s="770"/>
      <c r="BZ12" s="770"/>
      <c r="CA12" s="770"/>
      <c r="CB12" s="770"/>
      <c r="CC12" s="770"/>
      <c r="CD12" s="770"/>
      <c r="CE12" s="770"/>
      <c r="CF12" s="770"/>
      <c r="CG12" s="770"/>
      <c r="CH12" s="770"/>
      <c r="CI12" s="770"/>
      <c r="CJ12" s="770"/>
      <c r="CK12" s="770"/>
      <c r="CL12" s="770"/>
      <c r="CM12" s="770"/>
      <c r="CN12" s="770"/>
      <c r="CO12" s="770"/>
      <c r="CP12" s="770"/>
      <c r="CQ12" s="770"/>
      <c r="CR12" s="770"/>
      <c r="CS12" s="770"/>
      <c r="CT12" s="770"/>
      <c r="CU12" s="770"/>
      <c r="CV12" s="770"/>
      <c r="CW12" s="770"/>
      <c r="CX12" s="770"/>
      <c r="CY12" s="770"/>
      <c r="CZ12" s="770"/>
      <c r="DA12" s="770"/>
      <c r="DB12" s="770"/>
    </row>
    <row r="13" spans="1:112" ht="43.15" customHeight="1">
      <c r="A13" s="821" t="s">
        <v>496</v>
      </c>
      <c r="B13" s="822"/>
      <c r="C13" s="822"/>
      <c r="D13" s="822"/>
      <c r="E13" s="822"/>
      <c r="F13" s="822"/>
      <c r="G13" s="822"/>
      <c r="H13" s="822"/>
      <c r="I13" s="822"/>
      <c r="J13" s="822"/>
      <c r="K13" s="822"/>
      <c r="L13" s="822"/>
      <c r="M13" s="822"/>
      <c r="N13" s="822"/>
      <c r="O13" s="822"/>
      <c r="P13" s="822"/>
      <c r="Q13" s="822"/>
      <c r="R13" s="822"/>
      <c r="S13" s="822"/>
      <c r="T13" s="822"/>
      <c r="U13" s="822"/>
      <c r="V13" s="822"/>
      <c r="W13" s="822"/>
      <c r="X13" s="822"/>
      <c r="Y13" s="822"/>
      <c r="Z13" s="822"/>
      <c r="AA13" s="822"/>
      <c r="AB13" s="822"/>
      <c r="AC13" s="822"/>
      <c r="AD13" s="822"/>
      <c r="AE13" s="822"/>
      <c r="AF13" s="822"/>
      <c r="AG13" s="822"/>
      <c r="AH13" s="822"/>
      <c r="AI13" s="822"/>
      <c r="AJ13" s="822"/>
      <c r="AK13" s="822"/>
      <c r="AL13" s="822"/>
      <c r="AM13" s="822"/>
      <c r="AN13" s="822"/>
      <c r="AO13" s="822"/>
      <c r="AP13" s="822"/>
      <c r="AQ13" s="822"/>
      <c r="AR13" s="822"/>
      <c r="AS13" s="822"/>
      <c r="AT13" s="822"/>
      <c r="AU13" s="822"/>
      <c r="AV13" s="822"/>
      <c r="AW13" s="822"/>
      <c r="AX13" s="822"/>
      <c r="AY13" s="822"/>
      <c r="AZ13" s="822"/>
      <c r="BA13" s="822"/>
      <c r="BB13" s="822"/>
      <c r="BC13" s="822"/>
      <c r="BD13" s="822"/>
      <c r="BE13" s="822"/>
      <c r="BF13" s="822"/>
      <c r="BG13" s="822"/>
      <c r="BH13" s="822"/>
      <c r="BI13" s="822"/>
      <c r="BJ13" s="822"/>
      <c r="BK13" s="822"/>
      <c r="BL13" s="822"/>
      <c r="BM13" s="822"/>
      <c r="BN13" s="822"/>
      <c r="BO13" s="822"/>
      <c r="BP13" s="822"/>
      <c r="BQ13" s="822"/>
      <c r="BR13" s="822"/>
      <c r="BS13" s="822"/>
      <c r="BT13" s="822"/>
      <c r="BU13" s="822"/>
      <c r="BV13" s="822"/>
      <c r="BW13" s="822"/>
      <c r="BX13" s="822"/>
      <c r="BY13" s="822"/>
      <c r="BZ13" s="822"/>
      <c r="CA13" s="822"/>
      <c r="CB13" s="822"/>
      <c r="CC13" s="822"/>
      <c r="CD13" s="822"/>
      <c r="CE13" s="822"/>
      <c r="CF13" s="822"/>
      <c r="CG13" s="822"/>
      <c r="CH13" s="822"/>
      <c r="CI13" s="822"/>
      <c r="CJ13" s="822"/>
      <c r="CK13" s="822"/>
      <c r="CL13" s="822"/>
      <c r="CM13" s="822"/>
      <c r="CN13" s="822"/>
      <c r="CO13" s="822"/>
      <c r="CP13" s="822"/>
      <c r="CQ13" s="822"/>
      <c r="CR13" s="822"/>
      <c r="CS13" s="822"/>
      <c r="CT13" s="822"/>
      <c r="CU13" s="822"/>
      <c r="CV13" s="822"/>
      <c r="CW13" s="822"/>
      <c r="CX13" s="822"/>
      <c r="CY13" s="822"/>
      <c r="CZ13" s="822"/>
      <c r="DA13" s="822"/>
      <c r="DB13" s="822"/>
    </row>
    <row r="14" spans="1:112" ht="15" customHeight="1">
      <c r="A14" s="855" t="s">
        <v>19</v>
      </c>
      <c r="B14" s="851"/>
      <c r="C14" s="851"/>
      <c r="D14" s="851"/>
      <c r="E14" s="851"/>
      <c r="F14" s="851"/>
      <c r="G14" s="851"/>
      <c r="H14" s="851"/>
      <c r="I14" s="852"/>
      <c r="J14" s="851" t="s">
        <v>22</v>
      </c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1"/>
      <c r="V14" s="851"/>
      <c r="W14" s="851"/>
      <c r="X14" s="851"/>
      <c r="Y14" s="851"/>
      <c r="Z14" s="851"/>
      <c r="AA14" s="851"/>
      <c r="AB14" s="851"/>
      <c r="AC14" s="851"/>
      <c r="AD14" s="851"/>
      <c r="AE14" s="851"/>
      <c r="AF14" s="851"/>
      <c r="AG14" s="851"/>
      <c r="AH14" s="851"/>
      <c r="AI14" s="851"/>
      <c r="AJ14" s="851"/>
      <c r="AK14" s="851"/>
      <c r="AL14" s="851"/>
      <c r="AM14" s="851"/>
      <c r="AN14" s="851"/>
      <c r="AO14" s="852"/>
      <c r="AP14" s="857" t="s">
        <v>21</v>
      </c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R14" s="739"/>
      <c r="BS14" s="739"/>
      <c r="BT14" s="739"/>
      <c r="BU14" s="858"/>
      <c r="BV14" s="845" t="s">
        <v>250</v>
      </c>
      <c r="BW14" s="846"/>
      <c r="BX14" s="846"/>
      <c r="BY14" s="846"/>
      <c r="BZ14" s="846"/>
      <c r="CA14" s="846"/>
      <c r="CB14" s="846"/>
      <c r="CC14" s="846"/>
      <c r="CD14" s="846"/>
      <c r="CE14" s="846"/>
      <c r="CF14" s="846"/>
      <c r="CG14" s="846"/>
      <c r="CH14" s="846"/>
      <c r="CI14" s="846"/>
      <c r="CJ14" s="846"/>
      <c r="CK14" s="846"/>
      <c r="CL14" s="846"/>
      <c r="CM14" s="846"/>
      <c r="CN14" s="846"/>
      <c r="CO14" s="846"/>
      <c r="CP14" s="846"/>
      <c r="CQ14" s="846"/>
      <c r="CR14" s="846"/>
      <c r="CS14" s="846"/>
      <c r="CT14" s="846"/>
      <c r="CU14" s="846"/>
      <c r="CV14" s="846"/>
      <c r="CW14" s="846"/>
      <c r="CX14" s="846"/>
      <c r="CY14" s="846"/>
      <c r="CZ14" s="846"/>
      <c r="DA14" s="846"/>
      <c r="DB14" s="847"/>
    </row>
    <row r="15" spans="1:112" ht="15.75" customHeight="1">
      <c r="A15" s="856" t="s">
        <v>20</v>
      </c>
      <c r="B15" s="853"/>
      <c r="C15" s="853"/>
      <c r="D15" s="853"/>
      <c r="E15" s="853"/>
      <c r="F15" s="853"/>
      <c r="G15" s="853"/>
      <c r="H15" s="853"/>
      <c r="I15" s="854"/>
      <c r="J15" s="853" t="s">
        <v>23</v>
      </c>
      <c r="K15" s="853"/>
      <c r="L15" s="853"/>
      <c r="M15" s="853"/>
      <c r="N15" s="853"/>
      <c r="O15" s="853"/>
      <c r="P15" s="853"/>
      <c r="Q15" s="853"/>
      <c r="R15" s="853"/>
      <c r="S15" s="853"/>
      <c r="T15" s="853"/>
      <c r="U15" s="853"/>
      <c r="V15" s="853"/>
      <c r="W15" s="853"/>
      <c r="X15" s="853"/>
      <c r="Y15" s="853"/>
      <c r="Z15" s="853"/>
      <c r="AA15" s="853"/>
      <c r="AB15" s="853"/>
      <c r="AC15" s="853"/>
      <c r="AD15" s="853"/>
      <c r="AE15" s="853"/>
      <c r="AF15" s="853"/>
      <c r="AG15" s="853"/>
      <c r="AH15" s="853"/>
      <c r="AI15" s="853"/>
      <c r="AJ15" s="853"/>
      <c r="AK15" s="853"/>
      <c r="AL15" s="853"/>
      <c r="AM15" s="853"/>
      <c r="AN15" s="853"/>
      <c r="AO15" s="854"/>
      <c r="AP15" s="857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R15" s="739"/>
      <c r="BS15" s="739"/>
      <c r="BT15" s="739"/>
      <c r="BU15" s="858"/>
      <c r="BV15" s="848"/>
      <c r="BW15" s="849"/>
      <c r="BX15" s="849"/>
      <c r="BY15" s="849"/>
      <c r="BZ15" s="849"/>
      <c r="CA15" s="849"/>
      <c r="CB15" s="849"/>
      <c r="CC15" s="849"/>
      <c r="CD15" s="849"/>
      <c r="CE15" s="849"/>
      <c r="CF15" s="849"/>
      <c r="CG15" s="849"/>
      <c r="CH15" s="849"/>
      <c r="CI15" s="849"/>
      <c r="CJ15" s="849"/>
      <c r="CK15" s="849"/>
      <c r="CL15" s="849"/>
      <c r="CM15" s="849"/>
      <c r="CN15" s="849"/>
      <c r="CO15" s="849"/>
      <c r="CP15" s="849"/>
      <c r="CQ15" s="849"/>
      <c r="CR15" s="849"/>
      <c r="CS15" s="849"/>
      <c r="CT15" s="849"/>
      <c r="CU15" s="849"/>
      <c r="CV15" s="849"/>
      <c r="CW15" s="849"/>
      <c r="CX15" s="849"/>
      <c r="CY15" s="849"/>
      <c r="CZ15" s="849"/>
      <c r="DA15" s="849"/>
      <c r="DB15" s="850"/>
    </row>
    <row r="16" spans="1:112" ht="13.15" customHeight="1">
      <c r="A16" s="834"/>
      <c r="B16" s="834"/>
      <c r="C16" s="834"/>
      <c r="D16" s="834"/>
      <c r="E16" s="834"/>
      <c r="F16" s="834"/>
      <c r="G16" s="834"/>
      <c r="H16" s="834"/>
      <c r="I16" s="834"/>
      <c r="J16" s="840" t="s">
        <v>1039</v>
      </c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2"/>
      <c r="AQ16" s="842"/>
      <c r="AR16" s="842"/>
      <c r="AS16" s="842"/>
      <c r="AT16" s="842"/>
      <c r="AU16" s="842"/>
      <c r="AV16" s="842"/>
      <c r="AW16" s="842"/>
      <c r="AX16" s="842"/>
      <c r="AY16" s="842"/>
      <c r="AZ16" s="842"/>
      <c r="BA16" s="842"/>
      <c r="BB16" s="842"/>
      <c r="BC16" s="842"/>
      <c r="BD16" s="842"/>
      <c r="BE16" s="842"/>
      <c r="BF16" s="842"/>
      <c r="BG16" s="842"/>
      <c r="BH16" s="842"/>
      <c r="BI16" s="842"/>
      <c r="BJ16" s="842"/>
      <c r="BK16" s="842"/>
      <c r="BL16" s="842"/>
      <c r="BM16" s="842"/>
      <c r="BN16" s="842"/>
      <c r="BO16" s="842"/>
      <c r="BP16" s="842"/>
      <c r="BQ16" s="842"/>
      <c r="BR16" s="842"/>
      <c r="BS16" s="842"/>
      <c r="BT16" s="842"/>
      <c r="BU16" s="842"/>
      <c r="BV16" s="841"/>
      <c r="BW16" s="841"/>
      <c r="BX16" s="841"/>
      <c r="BY16" s="841"/>
      <c r="BZ16" s="841"/>
      <c r="CA16" s="841"/>
      <c r="CB16" s="841"/>
      <c r="CC16" s="841"/>
      <c r="CD16" s="841"/>
      <c r="CE16" s="841"/>
      <c r="CF16" s="841"/>
      <c r="CG16" s="841"/>
      <c r="CH16" s="841"/>
      <c r="CI16" s="841"/>
      <c r="CJ16" s="841"/>
      <c r="CK16" s="841"/>
      <c r="CL16" s="841"/>
      <c r="CM16" s="841"/>
      <c r="CN16" s="841"/>
      <c r="CO16" s="841"/>
      <c r="CP16" s="841"/>
      <c r="CQ16" s="841"/>
      <c r="CR16" s="841"/>
      <c r="CS16" s="841"/>
      <c r="CT16" s="841"/>
      <c r="CU16" s="841"/>
      <c r="CV16" s="841"/>
      <c r="CW16" s="841"/>
      <c r="CX16" s="841"/>
      <c r="CY16" s="841"/>
      <c r="CZ16" s="841"/>
      <c r="DA16" s="841"/>
      <c r="DB16" s="841"/>
    </row>
    <row r="17" spans="1:112" ht="13.15" customHeight="1">
      <c r="A17" s="834"/>
      <c r="B17" s="834"/>
      <c r="C17" s="834"/>
      <c r="D17" s="834"/>
      <c r="E17" s="834"/>
      <c r="F17" s="834"/>
      <c r="G17" s="834"/>
      <c r="H17" s="834"/>
      <c r="I17" s="834"/>
      <c r="J17" s="840"/>
      <c r="K17" s="840"/>
      <c r="L17" s="840"/>
      <c r="M17" s="840"/>
      <c r="N17" s="840"/>
      <c r="O17" s="840"/>
      <c r="P17" s="840"/>
      <c r="Q17" s="840"/>
      <c r="R17" s="840"/>
      <c r="S17" s="840"/>
      <c r="T17" s="840"/>
      <c r="U17" s="840"/>
      <c r="V17" s="840"/>
      <c r="W17" s="840"/>
      <c r="X17" s="840"/>
      <c r="Y17" s="840"/>
      <c r="Z17" s="840"/>
      <c r="AA17" s="840"/>
      <c r="AB17" s="840"/>
      <c r="AC17" s="840"/>
      <c r="AD17" s="840"/>
      <c r="AE17" s="840"/>
      <c r="AF17" s="840"/>
      <c r="AG17" s="840"/>
      <c r="AH17" s="840"/>
      <c r="AI17" s="840"/>
      <c r="AJ17" s="840"/>
      <c r="AK17" s="840"/>
      <c r="AL17" s="840"/>
      <c r="AM17" s="840"/>
      <c r="AN17" s="840"/>
      <c r="AO17" s="840"/>
      <c r="AP17" s="842"/>
      <c r="AQ17" s="842"/>
      <c r="AR17" s="842"/>
      <c r="AS17" s="842"/>
      <c r="AT17" s="842"/>
      <c r="AU17" s="842"/>
      <c r="AV17" s="842"/>
      <c r="AW17" s="842"/>
      <c r="AX17" s="842"/>
      <c r="AY17" s="842"/>
      <c r="AZ17" s="842"/>
      <c r="BA17" s="842"/>
      <c r="BB17" s="842"/>
      <c r="BC17" s="842"/>
      <c r="BD17" s="842"/>
      <c r="BE17" s="842"/>
      <c r="BF17" s="842"/>
      <c r="BG17" s="842"/>
      <c r="BH17" s="842"/>
      <c r="BI17" s="842"/>
      <c r="BJ17" s="842"/>
      <c r="BK17" s="842"/>
      <c r="BL17" s="842"/>
      <c r="BM17" s="842"/>
      <c r="BN17" s="842"/>
      <c r="BO17" s="842"/>
      <c r="BP17" s="842"/>
      <c r="BQ17" s="842"/>
      <c r="BR17" s="842"/>
      <c r="BS17" s="842"/>
      <c r="BT17" s="842"/>
      <c r="BU17" s="842"/>
      <c r="BV17" s="841"/>
      <c r="BW17" s="841"/>
      <c r="BX17" s="841"/>
      <c r="BY17" s="841"/>
      <c r="BZ17" s="841"/>
      <c r="CA17" s="841"/>
      <c r="CB17" s="841"/>
      <c r="CC17" s="841"/>
      <c r="CD17" s="841"/>
      <c r="CE17" s="841"/>
      <c r="CF17" s="841"/>
      <c r="CG17" s="841"/>
      <c r="CH17" s="841"/>
      <c r="CI17" s="841"/>
      <c r="CJ17" s="841"/>
      <c r="CK17" s="841"/>
      <c r="CL17" s="841"/>
      <c r="CM17" s="841"/>
      <c r="CN17" s="841"/>
      <c r="CO17" s="841"/>
      <c r="CP17" s="841"/>
      <c r="CQ17" s="841"/>
      <c r="CR17" s="841"/>
      <c r="CS17" s="841"/>
      <c r="CT17" s="841"/>
      <c r="CU17" s="841"/>
      <c r="CV17" s="841"/>
      <c r="CW17" s="841"/>
      <c r="CX17" s="841"/>
      <c r="CY17" s="841"/>
      <c r="CZ17" s="841"/>
      <c r="DA17" s="841"/>
      <c r="DB17" s="841"/>
    </row>
    <row r="18" spans="1:112" ht="13.15" customHeight="1">
      <c r="A18" s="834"/>
      <c r="B18" s="834"/>
      <c r="C18" s="834"/>
      <c r="D18" s="834"/>
      <c r="E18" s="834"/>
      <c r="F18" s="834"/>
      <c r="G18" s="834"/>
      <c r="H18" s="834"/>
      <c r="I18" s="834"/>
      <c r="J18" s="840"/>
      <c r="K18" s="840"/>
      <c r="L18" s="840"/>
      <c r="M18" s="840"/>
      <c r="N18" s="840"/>
      <c r="O18" s="840"/>
      <c r="P18" s="840"/>
      <c r="Q18" s="840"/>
      <c r="R18" s="840"/>
      <c r="S18" s="840"/>
      <c r="T18" s="840"/>
      <c r="U18" s="840"/>
      <c r="V18" s="840"/>
      <c r="W18" s="840"/>
      <c r="X18" s="840"/>
      <c r="Y18" s="840"/>
      <c r="Z18" s="840"/>
      <c r="AA18" s="840"/>
      <c r="AB18" s="840"/>
      <c r="AC18" s="840"/>
      <c r="AD18" s="840"/>
      <c r="AE18" s="840"/>
      <c r="AF18" s="840"/>
      <c r="AG18" s="840"/>
      <c r="AH18" s="840"/>
      <c r="AI18" s="840"/>
      <c r="AJ18" s="840"/>
      <c r="AK18" s="840"/>
      <c r="AL18" s="840"/>
      <c r="AM18" s="840"/>
      <c r="AN18" s="840"/>
      <c r="AO18" s="840"/>
      <c r="AP18" s="842"/>
      <c r="AQ18" s="842"/>
      <c r="AR18" s="842"/>
      <c r="AS18" s="842"/>
      <c r="AT18" s="842"/>
      <c r="AU18" s="842"/>
      <c r="AV18" s="842"/>
      <c r="AW18" s="842"/>
      <c r="AX18" s="842"/>
      <c r="AY18" s="842"/>
      <c r="AZ18" s="842"/>
      <c r="BA18" s="842"/>
      <c r="BB18" s="842"/>
      <c r="BC18" s="842"/>
      <c r="BD18" s="842"/>
      <c r="BE18" s="842"/>
      <c r="BF18" s="842"/>
      <c r="BG18" s="842"/>
      <c r="BH18" s="842"/>
      <c r="BI18" s="842"/>
      <c r="BJ18" s="842"/>
      <c r="BK18" s="842"/>
      <c r="BL18" s="842"/>
      <c r="BM18" s="842"/>
      <c r="BN18" s="842"/>
      <c r="BO18" s="842"/>
      <c r="BP18" s="842"/>
      <c r="BQ18" s="842"/>
      <c r="BR18" s="842"/>
      <c r="BS18" s="842"/>
      <c r="BT18" s="842"/>
      <c r="BU18" s="842"/>
      <c r="BV18" s="841"/>
      <c r="BW18" s="841"/>
      <c r="BX18" s="841"/>
      <c r="BY18" s="841"/>
      <c r="BZ18" s="841"/>
      <c r="CA18" s="841"/>
      <c r="CB18" s="841"/>
      <c r="CC18" s="841"/>
      <c r="CD18" s="841"/>
      <c r="CE18" s="841"/>
      <c r="CF18" s="841"/>
      <c r="CG18" s="841"/>
      <c r="CH18" s="841"/>
      <c r="CI18" s="841"/>
      <c r="CJ18" s="841"/>
      <c r="CK18" s="841"/>
      <c r="CL18" s="841"/>
      <c r="CM18" s="841"/>
      <c r="CN18" s="841"/>
      <c r="CO18" s="841"/>
      <c r="CP18" s="841"/>
      <c r="CQ18" s="841"/>
      <c r="CR18" s="841"/>
      <c r="CS18" s="841"/>
      <c r="CT18" s="841"/>
      <c r="CU18" s="841"/>
      <c r="CV18" s="841"/>
      <c r="CW18" s="841"/>
      <c r="CX18" s="841"/>
      <c r="CY18" s="841"/>
      <c r="CZ18" s="841"/>
      <c r="DA18" s="841"/>
      <c r="DB18" s="841"/>
    </row>
    <row r="19" spans="1:112" ht="13.15" customHeight="1">
      <c r="A19" s="834"/>
      <c r="B19" s="834"/>
      <c r="C19" s="834"/>
      <c r="D19" s="834"/>
      <c r="E19" s="834"/>
      <c r="F19" s="834"/>
      <c r="G19" s="834"/>
      <c r="H19" s="834"/>
      <c r="I19" s="834"/>
      <c r="J19" s="840"/>
      <c r="K19" s="840"/>
      <c r="L19" s="840"/>
      <c r="M19" s="840"/>
      <c r="N19" s="840"/>
      <c r="O19" s="840"/>
      <c r="P19" s="840"/>
      <c r="Q19" s="840"/>
      <c r="R19" s="840"/>
      <c r="S19" s="840"/>
      <c r="T19" s="840"/>
      <c r="U19" s="840"/>
      <c r="V19" s="840"/>
      <c r="W19" s="840"/>
      <c r="X19" s="840"/>
      <c r="Y19" s="840"/>
      <c r="Z19" s="840"/>
      <c r="AA19" s="840"/>
      <c r="AB19" s="840"/>
      <c r="AC19" s="840"/>
      <c r="AD19" s="840"/>
      <c r="AE19" s="840"/>
      <c r="AF19" s="840"/>
      <c r="AG19" s="840"/>
      <c r="AH19" s="840"/>
      <c r="AI19" s="840"/>
      <c r="AJ19" s="840"/>
      <c r="AK19" s="840"/>
      <c r="AL19" s="840"/>
      <c r="AM19" s="840"/>
      <c r="AN19" s="840"/>
      <c r="AO19" s="840"/>
      <c r="AP19" s="842"/>
      <c r="AQ19" s="842"/>
      <c r="AR19" s="842"/>
      <c r="AS19" s="842"/>
      <c r="AT19" s="842"/>
      <c r="AU19" s="842"/>
      <c r="AV19" s="842"/>
      <c r="AW19" s="842"/>
      <c r="AX19" s="842"/>
      <c r="AY19" s="842"/>
      <c r="AZ19" s="842"/>
      <c r="BA19" s="842"/>
      <c r="BB19" s="842"/>
      <c r="BC19" s="842"/>
      <c r="BD19" s="842"/>
      <c r="BE19" s="842"/>
      <c r="BF19" s="842"/>
      <c r="BG19" s="842"/>
      <c r="BH19" s="842"/>
      <c r="BI19" s="842"/>
      <c r="BJ19" s="842"/>
      <c r="BK19" s="842"/>
      <c r="BL19" s="842"/>
      <c r="BM19" s="842"/>
      <c r="BN19" s="842"/>
      <c r="BO19" s="842"/>
      <c r="BP19" s="842"/>
      <c r="BQ19" s="842"/>
      <c r="BR19" s="842"/>
      <c r="BS19" s="842"/>
      <c r="BT19" s="842"/>
      <c r="BU19" s="842"/>
      <c r="BV19" s="841"/>
      <c r="BW19" s="841"/>
      <c r="BX19" s="841"/>
      <c r="BY19" s="841"/>
      <c r="BZ19" s="841"/>
      <c r="CA19" s="841"/>
      <c r="CB19" s="841"/>
      <c r="CC19" s="841"/>
      <c r="CD19" s="841"/>
      <c r="CE19" s="841"/>
      <c r="CF19" s="841"/>
      <c r="CG19" s="841"/>
      <c r="CH19" s="841"/>
      <c r="CI19" s="841"/>
      <c r="CJ19" s="841"/>
      <c r="CK19" s="841"/>
      <c r="CL19" s="841"/>
      <c r="CM19" s="841"/>
      <c r="CN19" s="841"/>
      <c r="CO19" s="841"/>
      <c r="CP19" s="841"/>
      <c r="CQ19" s="841"/>
      <c r="CR19" s="841"/>
      <c r="CS19" s="841"/>
      <c r="CT19" s="841"/>
      <c r="CU19" s="841"/>
      <c r="CV19" s="841"/>
      <c r="CW19" s="841"/>
      <c r="CX19" s="841"/>
      <c r="CY19" s="841"/>
      <c r="CZ19" s="841"/>
      <c r="DA19" s="841"/>
      <c r="DB19" s="841"/>
    </row>
    <row r="20" spans="1:112" ht="13.15" customHeight="1">
      <c r="A20" s="834"/>
      <c r="B20" s="834"/>
      <c r="C20" s="834"/>
      <c r="D20" s="834"/>
      <c r="E20" s="834"/>
      <c r="F20" s="834"/>
      <c r="G20" s="834"/>
      <c r="H20" s="834"/>
      <c r="I20" s="834"/>
      <c r="J20" s="840"/>
      <c r="K20" s="840"/>
      <c r="L20" s="840"/>
      <c r="M20" s="840"/>
      <c r="N20" s="840"/>
      <c r="O20" s="840"/>
      <c r="P20" s="840"/>
      <c r="Q20" s="840"/>
      <c r="R20" s="840"/>
      <c r="S20" s="840"/>
      <c r="T20" s="840"/>
      <c r="U20" s="840"/>
      <c r="V20" s="840"/>
      <c r="W20" s="840"/>
      <c r="X20" s="840"/>
      <c r="Y20" s="840"/>
      <c r="Z20" s="840"/>
      <c r="AA20" s="840"/>
      <c r="AB20" s="840"/>
      <c r="AC20" s="840"/>
      <c r="AD20" s="840"/>
      <c r="AE20" s="840"/>
      <c r="AF20" s="840"/>
      <c r="AG20" s="840"/>
      <c r="AH20" s="840"/>
      <c r="AI20" s="840"/>
      <c r="AJ20" s="840"/>
      <c r="AK20" s="840"/>
      <c r="AL20" s="840"/>
      <c r="AM20" s="840"/>
      <c r="AN20" s="840"/>
      <c r="AO20" s="840"/>
      <c r="AP20" s="842"/>
      <c r="AQ20" s="842"/>
      <c r="AR20" s="842"/>
      <c r="AS20" s="842"/>
      <c r="AT20" s="842"/>
      <c r="AU20" s="842"/>
      <c r="AV20" s="842"/>
      <c r="AW20" s="842"/>
      <c r="AX20" s="842"/>
      <c r="AY20" s="842"/>
      <c r="AZ20" s="842"/>
      <c r="BA20" s="842"/>
      <c r="BB20" s="842"/>
      <c r="BC20" s="842"/>
      <c r="BD20" s="842"/>
      <c r="BE20" s="842"/>
      <c r="BF20" s="842"/>
      <c r="BG20" s="842"/>
      <c r="BH20" s="842"/>
      <c r="BI20" s="842"/>
      <c r="BJ20" s="842"/>
      <c r="BK20" s="842"/>
      <c r="BL20" s="842"/>
      <c r="BM20" s="842"/>
      <c r="BN20" s="842"/>
      <c r="BO20" s="842"/>
      <c r="BP20" s="842"/>
      <c r="BQ20" s="842"/>
      <c r="BR20" s="842"/>
      <c r="BS20" s="842"/>
      <c r="BT20" s="842"/>
      <c r="BU20" s="842"/>
      <c r="BV20" s="841"/>
      <c r="BW20" s="841"/>
      <c r="BX20" s="841"/>
      <c r="BY20" s="841"/>
      <c r="BZ20" s="841"/>
      <c r="CA20" s="841"/>
      <c r="CB20" s="841"/>
      <c r="CC20" s="841"/>
      <c r="CD20" s="841"/>
      <c r="CE20" s="841"/>
      <c r="CF20" s="841"/>
      <c r="CG20" s="841"/>
      <c r="CH20" s="841"/>
      <c r="CI20" s="841"/>
      <c r="CJ20" s="841"/>
      <c r="CK20" s="841"/>
      <c r="CL20" s="841"/>
      <c r="CM20" s="841"/>
      <c r="CN20" s="841"/>
      <c r="CO20" s="841"/>
      <c r="CP20" s="841"/>
      <c r="CQ20" s="841"/>
      <c r="CR20" s="841"/>
      <c r="CS20" s="841"/>
      <c r="CT20" s="841"/>
      <c r="CU20" s="841"/>
      <c r="CV20" s="841"/>
      <c r="CW20" s="841"/>
      <c r="CX20" s="841"/>
      <c r="CY20" s="841"/>
      <c r="CZ20" s="841"/>
      <c r="DA20" s="841"/>
      <c r="DB20" s="841"/>
    </row>
    <row r="21" spans="1:112" ht="13.15" customHeight="1">
      <c r="A21" s="834"/>
      <c r="B21" s="834"/>
      <c r="C21" s="834"/>
      <c r="D21" s="834"/>
      <c r="E21" s="834"/>
      <c r="F21" s="834"/>
      <c r="G21" s="834"/>
      <c r="H21" s="834"/>
      <c r="I21" s="834"/>
      <c r="J21" s="840"/>
      <c r="K21" s="840"/>
      <c r="L21" s="840"/>
      <c r="M21" s="840"/>
      <c r="N21" s="840"/>
      <c r="O21" s="840"/>
      <c r="P21" s="840"/>
      <c r="Q21" s="840"/>
      <c r="R21" s="840"/>
      <c r="S21" s="840"/>
      <c r="T21" s="840"/>
      <c r="U21" s="840"/>
      <c r="V21" s="840"/>
      <c r="W21" s="840"/>
      <c r="X21" s="840"/>
      <c r="Y21" s="840"/>
      <c r="Z21" s="840"/>
      <c r="AA21" s="840"/>
      <c r="AB21" s="840"/>
      <c r="AC21" s="840"/>
      <c r="AD21" s="840"/>
      <c r="AE21" s="840"/>
      <c r="AF21" s="840"/>
      <c r="AG21" s="840"/>
      <c r="AH21" s="840"/>
      <c r="AI21" s="840"/>
      <c r="AJ21" s="840"/>
      <c r="AK21" s="840"/>
      <c r="AL21" s="840"/>
      <c r="AM21" s="840"/>
      <c r="AN21" s="840"/>
      <c r="AO21" s="840"/>
      <c r="AP21" s="842"/>
      <c r="AQ21" s="842"/>
      <c r="AR21" s="842"/>
      <c r="AS21" s="842"/>
      <c r="AT21" s="842"/>
      <c r="AU21" s="842"/>
      <c r="AV21" s="842"/>
      <c r="AW21" s="842"/>
      <c r="AX21" s="842"/>
      <c r="AY21" s="842"/>
      <c r="AZ21" s="842"/>
      <c r="BA21" s="842"/>
      <c r="BB21" s="842"/>
      <c r="BC21" s="842"/>
      <c r="BD21" s="842"/>
      <c r="BE21" s="842"/>
      <c r="BF21" s="842"/>
      <c r="BG21" s="842"/>
      <c r="BH21" s="842"/>
      <c r="BI21" s="842"/>
      <c r="BJ21" s="842"/>
      <c r="BK21" s="842"/>
      <c r="BL21" s="842"/>
      <c r="BM21" s="842"/>
      <c r="BN21" s="842"/>
      <c r="BO21" s="842"/>
      <c r="BP21" s="842"/>
      <c r="BQ21" s="842"/>
      <c r="BR21" s="842"/>
      <c r="BS21" s="842"/>
      <c r="BT21" s="842"/>
      <c r="BU21" s="842"/>
      <c r="BV21" s="841"/>
      <c r="BW21" s="841"/>
      <c r="BX21" s="841"/>
      <c r="BY21" s="841"/>
      <c r="BZ21" s="841"/>
      <c r="CA21" s="841"/>
      <c r="CB21" s="841"/>
      <c r="CC21" s="841"/>
      <c r="CD21" s="841"/>
      <c r="CE21" s="841"/>
      <c r="CF21" s="841"/>
      <c r="CG21" s="841"/>
      <c r="CH21" s="841"/>
      <c r="CI21" s="841"/>
      <c r="CJ21" s="841"/>
      <c r="CK21" s="841"/>
      <c r="CL21" s="841"/>
      <c r="CM21" s="841"/>
      <c r="CN21" s="841"/>
      <c r="CO21" s="841"/>
      <c r="CP21" s="841"/>
      <c r="CQ21" s="841"/>
      <c r="CR21" s="841"/>
      <c r="CS21" s="841"/>
      <c r="CT21" s="841"/>
      <c r="CU21" s="841"/>
      <c r="CV21" s="841"/>
      <c r="CW21" s="841"/>
      <c r="CX21" s="841"/>
      <c r="CY21" s="841"/>
      <c r="CZ21" s="841"/>
      <c r="DA21" s="841"/>
      <c r="DB21" s="841"/>
    </row>
    <row r="22" spans="1:112" ht="13.15" customHeight="1">
      <c r="A22" s="834"/>
      <c r="B22" s="834"/>
      <c r="C22" s="834"/>
      <c r="D22" s="834"/>
      <c r="E22" s="834"/>
      <c r="F22" s="834"/>
      <c r="G22" s="834"/>
      <c r="H22" s="834"/>
      <c r="I22" s="834"/>
      <c r="J22" s="840"/>
      <c r="K22" s="840"/>
      <c r="L22" s="840"/>
      <c r="M22" s="840"/>
      <c r="N22" s="840"/>
      <c r="O22" s="840"/>
      <c r="P22" s="840"/>
      <c r="Q22" s="840"/>
      <c r="R22" s="840"/>
      <c r="S22" s="840"/>
      <c r="T22" s="840"/>
      <c r="U22" s="840"/>
      <c r="V22" s="840"/>
      <c r="W22" s="840"/>
      <c r="X22" s="840"/>
      <c r="Y22" s="840"/>
      <c r="Z22" s="840"/>
      <c r="AA22" s="840"/>
      <c r="AB22" s="840"/>
      <c r="AC22" s="840"/>
      <c r="AD22" s="840"/>
      <c r="AE22" s="840"/>
      <c r="AF22" s="840"/>
      <c r="AG22" s="840"/>
      <c r="AH22" s="840"/>
      <c r="AI22" s="840"/>
      <c r="AJ22" s="840"/>
      <c r="AK22" s="840"/>
      <c r="AL22" s="840"/>
      <c r="AM22" s="840"/>
      <c r="AN22" s="840"/>
      <c r="AO22" s="840"/>
      <c r="AP22" s="842"/>
      <c r="AQ22" s="842"/>
      <c r="AR22" s="842"/>
      <c r="AS22" s="842"/>
      <c r="AT22" s="842"/>
      <c r="AU22" s="842"/>
      <c r="AV22" s="842"/>
      <c r="AW22" s="842"/>
      <c r="AX22" s="842"/>
      <c r="AY22" s="842"/>
      <c r="AZ22" s="842"/>
      <c r="BA22" s="842"/>
      <c r="BB22" s="842"/>
      <c r="BC22" s="842"/>
      <c r="BD22" s="842"/>
      <c r="BE22" s="842"/>
      <c r="BF22" s="842"/>
      <c r="BG22" s="842"/>
      <c r="BH22" s="842"/>
      <c r="BI22" s="842"/>
      <c r="BJ22" s="842"/>
      <c r="BK22" s="842"/>
      <c r="BL22" s="842"/>
      <c r="BM22" s="842"/>
      <c r="BN22" s="842"/>
      <c r="BO22" s="842"/>
      <c r="BP22" s="842"/>
      <c r="BQ22" s="842"/>
      <c r="BR22" s="842"/>
      <c r="BS22" s="842"/>
      <c r="BT22" s="842"/>
      <c r="BU22" s="842"/>
      <c r="BV22" s="841"/>
      <c r="BW22" s="841"/>
      <c r="BX22" s="841"/>
      <c r="BY22" s="841"/>
      <c r="BZ22" s="841"/>
      <c r="CA22" s="841"/>
      <c r="CB22" s="841"/>
      <c r="CC22" s="841"/>
      <c r="CD22" s="841"/>
      <c r="CE22" s="841"/>
      <c r="CF22" s="841"/>
      <c r="CG22" s="841"/>
      <c r="CH22" s="841"/>
      <c r="CI22" s="841"/>
      <c r="CJ22" s="841"/>
      <c r="CK22" s="841"/>
      <c r="CL22" s="841"/>
      <c r="CM22" s="841"/>
      <c r="CN22" s="841"/>
      <c r="CO22" s="841"/>
      <c r="CP22" s="841"/>
      <c r="CQ22" s="841"/>
      <c r="CR22" s="841"/>
      <c r="CS22" s="841"/>
      <c r="CT22" s="841"/>
      <c r="CU22" s="841"/>
      <c r="CV22" s="841"/>
      <c r="CW22" s="841"/>
      <c r="CX22" s="841"/>
      <c r="CY22" s="841"/>
      <c r="CZ22" s="841"/>
      <c r="DA22" s="841"/>
      <c r="DB22" s="841"/>
      <c r="DH22" s="155"/>
    </row>
    <row r="23" spans="1:112" ht="13.15" customHeight="1">
      <c r="A23" s="834"/>
      <c r="B23" s="834"/>
      <c r="C23" s="834"/>
      <c r="D23" s="834"/>
      <c r="E23" s="834"/>
      <c r="F23" s="834"/>
      <c r="G23" s="834"/>
      <c r="H23" s="834"/>
      <c r="I23" s="834"/>
      <c r="J23" s="840"/>
      <c r="K23" s="840"/>
      <c r="L23" s="840"/>
      <c r="M23" s="840"/>
      <c r="N23" s="840"/>
      <c r="O23" s="840"/>
      <c r="P23" s="840"/>
      <c r="Q23" s="840"/>
      <c r="R23" s="840"/>
      <c r="S23" s="840"/>
      <c r="T23" s="840"/>
      <c r="U23" s="840"/>
      <c r="V23" s="840"/>
      <c r="W23" s="840"/>
      <c r="X23" s="840"/>
      <c r="Y23" s="840"/>
      <c r="Z23" s="840"/>
      <c r="AA23" s="840"/>
      <c r="AB23" s="840"/>
      <c r="AC23" s="840"/>
      <c r="AD23" s="840"/>
      <c r="AE23" s="840"/>
      <c r="AF23" s="840"/>
      <c r="AG23" s="840"/>
      <c r="AH23" s="840"/>
      <c r="AI23" s="840"/>
      <c r="AJ23" s="840"/>
      <c r="AK23" s="840"/>
      <c r="AL23" s="840"/>
      <c r="AM23" s="840"/>
      <c r="AN23" s="840"/>
      <c r="AO23" s="840"/>
      <c r="AP23" s="842"/>
      <c r="AQ23" s="842"/>
      <c r="AR23" s="842"/>
      <c r="AS23" s="842"/>
      <c r="AT23" s="842"/>
      <c r="AU23" s="842"/>
      <c r="AV23" s="842"/>
      <c r="AW23" s="842"/>
      <c r="AX23" s="842"/>
      <c r="AY23" s="842"/>
      <c r="AZ23" s="842"/>
      <c r="BA23" s="842"/>
      <c r="BB23" s="842"/>
      <c r="BC23" s="842"/>
      <c r="BD23" s="842"/>
      <c r="BE23" s="842"/>
      <c r="BF23" s="842"/>
      <c r="BG23" s="842"/>
      <c r="BH23" s="842"/>
      <c r="BI23" s="842"/>
      <c r="BJ23" s="842"/>
      <c r="BK23" s="842"/>
      <c r="BL23" s="842"/>
      <c r="BM23" s="842"/>
      <c r="BN23" s="842"/>
      <c r="BO23" s="842"/>
      <c r="BP23" s="842"/>
      <c r="BQ23" s="842"/>
      <c r="BR23" s="842"/>
      <c r="BS23" s="842"/>
      <c r="BT23" s="842"/>
      <c r="BU23" s="842"/>
      <c r="BV23" s="841"/>
      <c r="BW23" s="841"/>
      <c r="BX23" s="841"/>
      <c r="BY23" s="841"/>
      <c r="BZ23" s="841"/>
      <c r="CA23" s="841"/>
      <c r="CB23" s="841"/>
      <c r="CC23" s="841"/>
      <c r="CD23" s="841"/>
      <c r="CE23" s="841"/>
      <c r="CF23" s="841"/>
      <c r="CG23" s="841"/>
      <c r="CH23" s="841"/>
      <c r="CI23" s="841"/>
      <c r="CJ23" s="841"/>
      <c r="CK23" s="841"/>
      <c r="CL23" s="841"/>
      <c r="CM23" s="841"/>
      <c r="CN23" s="841"/>
      <c r="CO23" s="841"/>
      <c r="CP23" s="841"/>
      <c r="CQ23" s="841"/>
      <c r="CR23" s="841"/>
      <c r="CS23" s="841"/>
      <c r="CT23" s="841"/>
      <c r="CU23" s="841"/>
      <c r="CV23" s="841"/>
      <c r="CW23" s="841"/>
      <c r="CX23" s="841"/>
      <c r="CY23" s="841"/>
      <c r="CZ23" s="841"/>
      <c r="DA23" s="841"/>
      <c r="DB23" s="841"/>
      <c r="DH23" s="155"/>
    </row>
    <row r="24" spans="1:112" ht="13.15" customHeight="1">
      <c r="A24" s="834"/>
      <c r="B24" s="834"/>
      <c r="C24" s="834"/>
      <c r="D24" s="834"/>
      <c r="E24" s="834"/>
      <c r="F24" s="834"/>
      <c r="G24" s="834"/>
      <c r="H24" s="834"/>
      <c r="I24" s="834"/>
      <c r="J24" s="840"/>
      <c r="K24" s="840"/>
      <c r="L24" s="840"/>
      <c r="M24" s="840"/>
      <c r="N24" s="840"/>
      <c r="O24" s="840"/>
      <c r="P24" s="840"/>
      <c r="Q24" s="840"/>
      <c r="R24" s="840"/>
      <c r="S24" s="840"/>
      <c r="T24" s="840"/>
      <c r="U24" s="840"/>
      <c r="V24" s="840"/>
      <c r="W24" s="840"/>
      <c r="X24" s="840"/>
      <c r="Y24" s="840"/>
      <c r="Z24" s="840"/>
      <c r="AA24" s="840"/>
      <c r="AB24" s="840"/>
      <c r="AC24" s="840"/>
      <c r="AD24" s="840"/>
      <c r="AE24" s="840"/>
      <c r="AF24" s="840"/>
      <c r="AG24" s="840"/>
      <c r="AH24" s="840"/>
      <c r="AI24" s="840"/>
      <c r="AJ24" s="840"/>
      <c r="AK24" s="840"/>
      <c r="AL24" s="840"/>
      <c r="AM24" s="840"/>
      <c r="AN24" s="840"/>
      <c r="AO24" s="840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42"/>
      <c r="BI24" s="842"/>
      <c r="BJ24" s="842"/>
      <c r="BK24" s="842"/>
      <c r="BL24" s="842"/>
      <c r="BM24" s="842"/>
      <c r="BN24" s="842"/>
      <c r="BO24" s="842"/>
      <c r="BP24" s="842"/>
      <c r="BQ24" s="842"/>
      <c r="BR24" s="842"/>
      <c r="BS24" s="842"/>
      <c r="BT24" s="842"/>
      <c r="BU24" s="842"/>
      <c r="BV24" s="841"/>
      <c r="BW24" s="841"/>
      <c r="BX24" s="841"/>
      <c r="BY24" s="841"/>
      <c r="BZ24" s="841"/>
      <c r="CA24" s="841"/>
      <c r="CB24" s="841"/>
      <c r="CC24" s="841"/>
      <c r="CD24" s="841"/>
      <c r="CE24" s="841"/>
      <c r="CF24" s="841"/>
      <c r="CG24" s="841"/>
      <c r="CH24" s="841"/>
      <c r="CI24" s="841"/>
      <c r="CJ24" s="841"/>
      <c r="CK24" s="841"/>
      <c r="CL24" s="841"/>
      <c r="CM24" s="841"/>
      <c r="CN24" s="841"/>
      <c r="CO24" s="841"/>
      <c r="CP24" s="841"/>
      <c r="CQ24" s="841"/>
      <c r="CR24" s="841"/>
      <c r="CS24" s="841"/>
      <c r="CT24" s="841"/>
      <c r="CU24" s="841"/>
      <c r="CV24" s="841"/>
      <c r="CW24" s="841"/>
      <c r="CX24" s="841"/>
      <c r="CY24" s="841"/>
      <c r="CZ24" s="841"/>
      <c r="DA24" s="841"/>
      <c r="DB24" s="841"/>
    </row>
    <row r="25" spans="1:112" ht="13.15" customHeight="1">
      <c r="A25" s="834"/>
      <c r="B25" s="834"/>
      <c r="C25" s="834"/>
      <c r="D25" s="834"/>
      <c r="E25" s="834"/>
      <c r="F25" s="834"/>
      <c r="G25" s="834"/>
      <c r="H25" s="834"/>
      <c r="I25" s="834"/>
      <c r="J25" s="840"/>
      <c r="K25" s="840"/>
      <c r="L25" s="840"/>
      <c r="M25" s="840"/>
      <c r="N25" s="840"/>
      <c r="O25" s="840"/>
      <c r="P25" s="840"/>
      <c r="Q25" s="840"/>
      <c r="R25" s="840"/>
      <c r="S25" s="840"/>
      <c r="T25" s="840"/>
      <c r="U25" s="840"/>
      <c r="V25" s="840"/>
      <c r="W25" s="840"/>
      <c r="X25" s="840"/>
      <c r="Y25" s="840"/>
      <c r="Z25" s="840"/>
      <c r="AA25" s="840"/>
      <c r="AB25" s="840"/>
      <c r="AC25" s="840"/>
      <c r="AD25" s="840"/>
      <c r="AE25" s="840"/>
      <c r="AF25" s="840"/>
      <c r="AG25" s="840"/>
      <c r="AH25" s="840"/>
      <c r="AI25" s="840"/>
      <c r="AJ25" s="840"/>
      <c r="AK25" s="840"/>
      <c r="AL25" s="840"/>
      <c r="AM25" s="840"/>
      <c r="AN25" s="840"/>
      <c r="AO25" s="840"/>
      <c r="AP25" s="842"/>
      <c r="AQ25" s="842"/>
      <c r="AR25" s="842"/>
      <c r="AS25" s="842"/>
      <c r="AT25" s="842"/>
      <c r="AU25" s="842"/>
      <c r="AV25" s="842"/>
      <c r="AW25" s="842"/>
      <c r="AX25" s="842"/>
      <c r="AY25" s="842"/>
      <c r="AZ25" s="842"/>
      <c r="BA25" s="842"/>
      <c r="BB25" s="842"/>
      <c r="BC25" s="842"/>
      <c r="BD25" s="842"/>
      <c r="BE25" s="842"/>
      <c r="BF25" s="842"/>
      <c r="BG25" s="842"/>
      <c r="BH25" s="842"/>
      <c r="BI25" s="842"/>
      <c r="BJ25" s="842"/>
      <c r="BK25" s="842"/>
      <c r="BL25" s="842"/>
      <c r="BM25" s="842"/>
      <c r="BN25" s="842"/>
      <c r="BO25" s="842"/>
      <c r="BP25" s="842"/>
      <c r="BQ25" s="842"/>
      <c r="BR25" s="842"/>
      <c r="BS25" s="842"/>
      <c r="BT25" s="842"/>
      <c r="BU25" s="842"/>
      <c r="BV25" s="841"/>
      <c r="BW25" s="841"/>
      <c r="BX25" s="841"/>
      <c r="BY25" s="841"/>
      <c r="BZ25" s="841"/>
      <c r="CA25" s="841"/>
      <c r="CB25" s="841"/>
      <c r="CC25" s="841"/>
      <c r="CD25" s="841"/>
      <c r="CE25" s="841"/>
      <c r="CF25" s="841"/>
      <c r="CG25" s="841"/>
      <c r="CH25" s="841"/>
      <c r="CI25" s="841"/>
      <c r="CJ25" s="841"/>
      <c r="CK25" s="841"/>
      <c r="CL25" s="841"/>
      <c r="CM25" s="841"/>
      <c r="CN25" s="841"/>
      <c r="CO25" s="841"/>
      <c r="CP25" s="841"/>
      <c r="CQ25" s="841"/>
      <c r="CR25" s="841"/>
      <c r="CS25" s="841"/>
      <c r="CT25" s="841"/>
      <c r="CU25" s="841"/>
      <c r="CV25" s="841"/>
      <c r="CW25" s="841"/>
      <c r="CX25" s="841"/>
      <c r="CY25" s="841"/>
      <c r="CZ25" s="841"/>
      <c r="DA25" s="841"/>
      <c r="DB25" s="841"/>
      <c r="DH25" s="155"/>
    </row>
    <row r="26" spans="1:112" ht="13.15" customHeight="1">
      <c r="A26" s="834"/>
      <c r="B26" s="834"/>
      <c r="C26" s="834"/>
      <c r="D26" s="834"/>
      <c r="E26" s="834"/>
      <c r="F26" s="834"/>
      <c r="G26" s="834"/>
      <c r="H26" s="834"/>
      <c r="I26" s="834"/>
      <c r="J26" s="840"/>
      <c r="K26" s="840"/>
      <c r="L26" s="840"/>
      <c r="M26" s="840"/>
      <c r="N26" s="840"/>
      <c r="O26" s="840"/>
      <c r="P26" s="840"/>
      <c r="Q26" s="840"/>
      <c r="R26" s="840"/>
      <c r="S26" s="840"/>
      <c r="T26" s="840"/>
      <c r="U26" s="840"/>
      <c r="V26" s="840"/>
      <c r="W26" s="840"/>
      <c r="X26" s="840"/>
      <c r="Y26" s="840"/>
      <c r="Z26" s="840"/>
      <c r="AA26" s="840"/>
      <c r="AB26" s="840"/>
      <c r="AC26" s="840"/>
      <c r="AD26" s="840"/>
      <c r="AE26" s="840"/>
      <c r="AF26" s="840"/>
      <c r="AG26" s="840"/>
      <c r="AH26" s="840"/>
      <c r="AI26" s="840"/>
      <c r="AJ26" s="840"/>
      <c r="AK26" s="840"/>
      <c r="AL26" s="840"/>
      <c r="AM26" s="840"/>
      <c r="AN26" s="840"/>
      <c r="AO26" s="840"/>
      <c r="AP26" s="842"/>
      <c r="AQ26" s="842"/>
      <c r="AR26" s="842"/>
      <c r="AS26" s="842"/>
      <c r="AT26" s="842"/>
      <c r="AU26" s="842"/>
      <c r="AV26" s="842"/>
      <c r="AW26" s="842"/>
      <c r="AX26" s="842"/>
      <c r="AY26" s="842"/>
      <c r="AZ26" s="842"/>
      <c r="BA26" s="842"/>
      <c r="BB26" s="842"/>
      <c r="BC26" s="842"/>
      <c r="BD26" s="842"/>
      <c r="BE26" s="842"/>
      <c r="BF26" s="842"/>
      <c r="BG26" s="842"/>
      <c r="BH26" s="842"/>
      <c r="BI26" s="842"/>
      <c r="BJ26" s="842"/>
      <c r="BK26" s="842"/>
      <c r="BL26" s="842"/>
      <c r="BM26" s="842"/>
      <c r="BN26" s="842"/>
      <c r="BO26" s="842"/>
      <c r="BP26" s="842"/>
      <c r="BQ26" s="842"/>
      <c r="BR26" s="842"/>
      <c r="BS26" s="842"/>
      <c r="BT26" s="842"/>
      <c r="BU26" s="842"/>
      <c r="BV26" s="841"/>
      <c r="BW26" s="841"/>
      <c r="BX26" s="841"/>
      <c r="BY26" s="841"/>
      <c r="BZ26" s="841"/>
      <c r="CA26" s="841"/>
      <c r="CB26" s="841"/>
      <c r="CC26" s="841"/>
      <c r="CD26" s="841"/>
      <c r="CE26" s="841"/>
      <c r="CF26" s="841"/>
      <c r="CG26" s="841"/>
      <c r="CH26" s="841"/>
      <c r="CI26" s="841"/>
      <c r="CJ26" s="841"/>
      <c r="CK26" s="841"/>
      <c r="CL26" s="841"/>
      <c r="CM26" s="841"/>
      <c r="CN26" s="841"/>
      <c r="CO26" s="841"/>
      <c r="CP26" s="841"/>
      <c r="CQ26" s="841"/>
      <c r="CR26" s="841"/>
      <c r="CS26" s="841"/>
      <c r="CT26" s="841"/>
      <c r="CU26" s="841"/>
      <c r="CV26" s="841"/>
      <c r="CW26" s="841"/>
      <c r="CX26" s="841"/>
      <c r="CY26" s="841"/>
      <c r="CZ26" s="841"/>
      <c r="DA26" s="841"/>
      <c r="DB26" s="841"/>
    </row>
    <row r="27" spans="1:112" ht="13.15" customHeight="1">
      <c r="A27" s="834"/>
      <c r="B27" s="834"/>
      <c r="C27" s="834"/>
      <c r="D27" s="834"/>
      <c r="E27" s="834"/>
      <c r="F27" s="834"/>
      <c r="G27" s="834"/>
      <c r="H27" s="834"/>
      <c r="I27" s="834"/>
      <c r="J27" s="840"/>
      <c r="K27" s="840"/>
      <c r="L27" s="840"/>
      <c r="M27" s="840"/>
      <c r="N27" s="840"/>
      <c r="O27" s="840"/>
      <c r="P27" s="840"/>
      <c r="Q27" s="840"/>
      <c r="R27" s="840"/>
      <c r="S27" s="840"/>
      <c r="T27" s="840"/>
      <c r="U27" s="840"/>
      <c r="V27" s="840"/>
      <c r="W27" s="840"/>
      <c r="X27" s="840"/>
      <c r="Y27" s="840"/>
      <c r="Z27" s="840"/>
      <c r="AA27" s="840"/>
      <c r="AB27" s="840"/>
      <c r="AC27" s="840"/>
      <c r="AD27" s="840"/>
      <c r="AE27" s="840"/>
      <c r="AF27" s="840"/>
      <c r="AG27" s="840"/>
      <c r="AH27" s="840"/>
      <c r="AI27" s="840"/>
      <c r="AJ27" s="840"/>
      <c r="AK27" s="840"/>
      <c r="AL27" s="840"/>
      <c r="AM27" s="840"/>
      <c r="AN27" s="840"/>
      <c r="AO27" s="840"/>
      <c r="AP27" s="842"/>
      <c r="AQ27" s="842"/>
      <c r="AR27" s="842"/>
      <c r="AS27" s="842"/>
      <c r="AT27" s="842"/>
      <c r="AU27" s="842"/>
      <c r="AV27" s="842"/>
      <c r="AW27" s="842"/>
      <c r="AX27" s="842"/>
      <c r="AY27" s="842"/>
      <c r="AZ27" s="842"/>
      <c r="BA27" s="842"/>
      <c r="BB27" s="842"/>
      <c r="BC27" s="842"/>
      <c r="BD27" s="842"/>
      <c r="BE27" s="842"/>
      <c r="BF27" s="842"/>
      <c r="BG27" s="842"/>
      <c r="BH27" s="842"/>
      <c r="BI27" s="842"/>
      <c r="BJ27" s="842"/>
      <c r="BK27" s="842"/>
      <c r="BL27" s="842"/>
      <c r="BM27" s="842"/>
      <c r="BN27" s="842"/>
      <c r="BO27" s="842"/>
      <c r="BP27" s="842"/>
      <c r="BQ27" s="842"/>
      <c r="BR27" s="842"/>
      <c r="BS27" s="842"/>
      <c r="BT27" s="842"/>
      <c r="BU27" s="842"/>
      <c r="BV27" s="841"/>
      <c r="BW27" s="841"/>
      <c r="BX27" s="841"/>
      <c r="BY27" s="841"/>
      <c r="BZ27" s="841"/>
      <c r="CA27" s="841"/>
      <c r="CB27" s="841"/>
      <c r="CC27" s="841"/>
      <c r="CD27" s="841"/>
      <c r="CE27" s="841"/>
      <c r="CF27" s="841"/>
      <c r="CG27" s="841"/>
      <c r="CH27" s="841"/>
      <c r="CI27" s="841"/>
      <c r="CJ27" s="841"/>
      <c r="CK27" s="841"/>
      <c r="CL27" s="841"/>
      <c r="CM27" s="841"/>
      <c r="CN27" s="841"/>
      <c r="CO27" s="841"/>
      <c r="CP27" s="841"/>
      <c r="CQ27" s="841"/>
      <c r="CR27" s="841"/>
      <c r="CS27" s="841"/>
      <c r="CT27" s="841"/>
      <c r="CU27" s="841"/>
      <c r="CV27" s="841"/>
      <c r="CW27" s="841"/>
      <c r="CX27" s="841"/>
      <c r="CY27" s="841"/>
      <c r="CZ27" s="841"/>
      <c r="DA27" s="841"/>
      <c r="DB27" s="841"/>
    </row>
    <row r="28" spans="1:112" ht="14">
      <c r="DH28" s="159"/>
    </row>
    <row r="29" spans="1:112" ht="70" customHeight="1">
      <c r="A29" s="843" t="s">
        <v>16</v>
      </c>
      <c r="B29" s="843"/>
      <c r="C29" s="843"/>
      <c r="D29" s="843"/>
      <c r="E29" s="843"/>
      <c r="F29" s="843"/>
      <c r="G29" s="843"/>
      <c r="H29" s="843"/>
      <c r="I29" s="843"/>
      <c r="J29" s="843"/>
      <c r="K29" s="843"/>
      <c r="L29" s="843"/>
      <c r="M29" s="843"/>
      <c r="N29" s="843"/>
      <c r="O29" s="843"/>
      <c r="P29" s="843"/>
      <c r="Q29" s="843"/>
      <c r="R29" s="843"/>
      <c r="S29" s="843"/>
      <c r="T29" s="843"/>
      <c r="U29" s="843"/>
      <c r="V29" s="843"/>
      <c r="W29" s="843"/>
      <c r="X29" s="843"/>
      <c r="Y29" s="843"/>
      <c r="Z29" s="843"/>
      <c r="AA29" s="843"/>
      <c r="AF29" s="772" t="str">
        <f>ПОДПИСИ!B12</f>
        <v xml:space="preserve">Производитель работ ООО«БЭСК» </v>
      </c>
      <c r="AG29" s="772"/>
      <c r="AH29" s="772"/>
      <c r="AI29" s="772"/>
      <c r="AJ29" s="772"/>
      <c r="AK29" s="772"/>
      <c r="AL29" s="772"/>
      <c r="AM29" s="772"/>
      <c r="AN29" s="772"/>
      <c r="AO29" s="772"/>
      <c r="AP29" s="772"/>
      <c r="AQ29" s="772"/>
      <c r="AR29" s="772"/>
      <c r="AS29" s="772"/>
      <c r="AT29" s="772"/>
      <c r="AU29" s="772"/>
      <c r="AV29" s="772"/>
      <c r="AW29" s="772"/>
      <c r="AX29" s="772"/>
      <c r="AY29" s="772"/>
      <c r="AZ29" s="772"/>
      <c r="BA29" s="772"/>
      <c r="BB29" s="772"/>
      <c r="BC29" s="772"/>
      <c r="BD29" s="772"/>
      <c r="BE29" s="772"/>
      <c r="BF29" s="772"/>
      <c r="BG29" s="772"/>
      <c r="BH29" s="772"/>
      <c r="BI29" s="772"/>
      <c r="BJ29" s="772"/>
      <c r="BK29" s="23"/>
      <c r="BL29" s="23"/>
      <c r="BM29" s="23"/>
      <c r="BN29" s="23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23"/>
      <c r="CF29" s="23"/>
      <c r="CG29" s="23"/>
      <c r="CH29" s="23"/>
      <c r="CI29" s="758" t="str">
        <f>ПОДПИСИ!E12</f>
        <v>А.Р. Махмадов</v>
      </c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  <c r="DC29" s="23"/>
      <c r="DD29" s="23"/>
      <c r="DE29" s="23"/>
      <c r="DF29" s="23"/>
      <c r="DG29" s="23"/>
    </row>
    <row r="30" spans="1:112" s="21" customFormat="1" ht="10.5">
      <c r="AF30" s="736" t="s">
        <v>48</v>
      </c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O30" s="736" t="s">
        <v>49</v>
      </c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I30" s="770" t="s">
        <v>50</v>
      </c>
      <c r="CJ30" s="770"/>
      <c r="CK30" s="770"/>
      <c r="CL30" s="770"/>
      <c r="CM30" s="770"/>
      <c r="CN30" s="770"/>
      <c r="CO30" s="770"/>
      <c r="CP30" s="770"/>
      <c r="CQ30" s="770"/>
      <c r="CR30" s="770"/>
      <c r="CS30" s="770"/>
      <c r="CT30" s="770"/>
      <c r="CU30" s="770"/>
      <c r="CV30" s="770"/>
      <c r="CW30" s="770"/>
      <c r="CX30" s="770"/>
      <c r="CY30" s="770"/>
      <c r="CZ30" s="770"/>
      <c r="DA30" s="770"/>
      <c r="DB30" s="770"/>
      <c r="DH30" s="242"/>
    </row>
    <row r="31" spans="1:112" ht="14">
      <c r="DH31" s="155"/>
    </row>
    <row r="32" spans="1:112" ht="14">
      <c r="DH32" s="155"/>
    </row>
    <row r="34" spans="112:112" ht="14">
      <c r="DH34" s="155"/>
    </row>
    <row r="35" spans="112:112" ht="14">
      <c r="DH35" s="155"/>
    </row>
    <row r="36" spans="112:112" ht="14">
      <c r="DH36" s="155"/>
    </row>
    <row r="37" spans="112:112" ht="14">
      <c r="DH37" s="155"/>
    </row>
    <row r="38" spans="112:112" ht="14">
      <c r="DH38" s="155"/>
    </row>
    <row r="40" spans="112:112" ht="14">
      <c r="DH40" s="155"/>
    </row>
    <row r="41" spans="112:112" ht="14">
      <c r="DH41" s="160"/>
    </row>
    <row r="42" spans="112:112" ht="14">
      <c r="DH42" s="155"/>
    </row>
    <row r="43" spans="112:112" ht="14">
      <c r="DH43" s="161"/>
    </row>
    <row r="44" spans="112:112" ht="14">
      <c r="DH44" s="155"/>
    </row>
    <row r="45" spans="112:112" ht="14">
      <c r="DH45" s="162"/>
    </row>
    <row r="46" spans="112:112" ht="14">
      <c r="DH46" s="155"/>
    </row>
    <row r="47" spans="112:112" ht="14">
      <c r="DH47" s="161"/>
    </row>
    <row r="48" spans="112:112" ht="14">
      <c r="DH48" s="155"/>
    </row>
    <row r="49" spans="112:112" ht="14">
      <c r="DH49" s="160"/>
    </row>
    <row r="50" spans="112:112" ht="14">
      <c r="DH50" s="155"/>
    </row>
    <row r="51" spans="112:112" ht="14">
      <c r="DH51" s="160"/>
    </row>
    <row r="52" spans="112:112" ht="14">
      <c r="DH52" s="155"/>
    </row>
    <row r="54" spans="112:112" ht="14">
      <c r="DH54" s="155"/>
    </row>
    <row r="56" spans="112:112" ht="14">
      <c r="DH56" s="155"/>
    </row>
    <row r="57" spans="112:112" ht="14">
      <c r="DH57" s="155"/>
    </row>
    <row r="59" spans="112:112" ht="14">
      <c r="DH59" s="155"/>
    </row>
    <row r="60" spans="112:112" ht="14">
      <c r="DH60" s="155"/>
    </row>
    <row r="61" spans="112:112" ht="14">
      <c r="DH61" s="155"/>
    </row>
    <row r="62" spans="112:112" ht="14">
      <c r="DH62" s="155"/>
    </row>
    <row r="63" spans="112:112" ht="14">
      <c r="DH63" s="155"/>
    </row>
    <row r="64" spans="112:112" ht="14">
      <c r="DH64" s="155"/>
    </row>
    <row r="65" spans="112:112" ht="14">
      <c r="DH65" s="155"/>
    </row>
    <row r="66" spans="112:112" ht="14">
      <c r="DH66" s="155"/>
    </row>
    <row r="67" spans="112:112" ht="14">
      <c r="DH67" s="155"/>
    </row>
    <row r="68" spans="112:112" ht="14">
      <c r="DH68" s="155"/>
    </row>
    <row r="69" spans="112:112" ht="14">
      <c r="DH69" s="155"/>
    </row>
    <row r="70" spans="112:112" ht="14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58" priority="6" operator="equal">
      <formula>0</formula>
    </cfRule>
  </conditionalFormatting>
  <conditionalFormatting sqref="AU5:BA12">
    <cfRule type="cellIs" dxfId="157" priority="3" operator="equal">
      <formula>0</formula>
    </cfRule>
  </conditionalFormatting>
  <conditionalFormatting sqref="CI29:DB29">
    <cfRule type="cellIs" dxfId="156" priority="16" operator="equal">
      <formula>0</formula>
    </cfRule>
  </conditionalFormatting>
  <conditionalFormatting sqref="DH2:DH7">
    <cfRule type="cellIs" dxfId="155" priority="2" operator="equal">
      <formula>0</formula>
    </cfRule>
  </conditionalFormatting>
  <conditionalFormatting sqref="DH9">
    <cfRule type="cellIs" dxfId="15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zoomScaleNormal="100" zoomScaleSheetLayoutView="100" workbookViewId="0">
      <selection sqref="A1:C1"/>
    </sheetView>
  </sheetViews>
  <sheetFormatPr defaultColWidth="9.1796875" defaultRowHeight="14.5" outlineLevelRow="1"/>
  <cols>
    <col min="1" max="106" width="0.81640625" style="19" customWidth="1"/>
    <col min="107" max="107" width="9.1796875" style="19"/>
    <col min="108" max="110" width="15.7265625" style="19" customWidth="1"/>
    <col min="111" max="111" width="0" style="19" hidden="1" customWidth="1"/>
    <col min="112" max="112" width="47.81640625" style="158" customWidth="1"/>
    <col min="113" max="16384" width="9.179687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ht="14" outlineLevel="1">
      <c r="DB3" s="58" t="s">
        <v>56</v>
      </c>
      <c r="DH3" s="156"/>
    </row>
    <row r="4" spans="1:112" ht="14" outlineLevel="1">
      <c r="CC4" s="844">
        <f>ФОРМА!B13</f>
        <v>45625</v>
      </c>
      <c r="CD4" s="844"/>
      <c r="CE4" s="844"/>
      <c r="CF4" s="844"/>
      <c r="CG4" s="844"/>
      <c r="CH4" s="844"/>
      <c r="CI4" s="844"/>
      <c r="CJ4" s="844"/>
      <c r="CK4" s="844"/>
      <c r="CL4" s="844"/>
      <c r="CM4" s="844"/>
      <c r="CN4" s="844"/>
      <c r="CO4" s="844"/>
      <c r="CP4" s="844"/>
      <c r="CQ4" s="844"/>
      <c r="CR4" s="844"/>
      <c r="CS4" s="844"/>
      <c r="CT4" s="844"/>
      <c r="CU4" s="844"/>
      <c r="CV4" s="844"/>
      <c r="CW4" s="844"/>
      <c r="CX4" s="844"/>
      <c r="CY4" s="844"/>
      <c r="CZ4" s="844"/>
      <c r="DA4" s="844"/>
      <c r="DB4" s="844"/>
      <c r="DH4" s="144"/>
    </row>
    <row r="5" spans="1:112" ht="14" outlineLevel="1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BA5" s="758" t="str">
        <f>ФОРМА!G2</f>
        <v>Санкт-Петербург</v>
      </c>
      <c r="BB5" s="758"/>
      <c r="BC5" s="758"/>
      <c r="BD5" s="758"/>
      <c r="BE5" s="758"/>
      <c r="BF5" s="758"/>
      <c r="BG5" s="758"/>
      <c r="BH5" s="758"/>
      <c r="BI5" s="758"/>
      <c r="BJ5" s="758"/>
      <c r="BK5" s="758"/>
      <c r="BL5" s="758"/>
      <c r="BM5" s="758"/>
      <c r="BN5" s="758"/>
      <c r="BO5" s="758"/>
      <c r="BP5" s="758"/>
      <c r="BQ5" s="758"/>
      <c r="BR5" s="758"/>
      <c r="BS5" s="758"/>
      <c r="BT5" s="758"/>
      <c r="BU5" s="758"/>
      <c r="BV5" s="758"/>
      <c r="BW5" s="758"/>
      <c r="BX5" s="758"/>
      <c r="BY5" s="758"/>
      <c r="BZ5" s="758"/>
      <c r="CA5" s="758"/>
      <c r="CB5" s="758"/>
      <c r="CC5" s="758"/>
      <c r="CD5" s="758"/>
      <c r="CE5" s="758"/>
      <c r="CF5" s="758"/>
      <c r="CG5" s="758"/>
      <c r="CH5" s="758"/>
      <c r="CI5" s="758"/>
      <c r="CJ5" s="758"/>
      <c r="CK5" s="758"/>
      <c r="CL5" s="758"/>
      <c r="CM5" s="758"/>
      <c r="CN5" s="758"/>
      <c r="CO5" s="758"/>
      <c r="CP5" s="758"/>
      <c r="CQ5" s="758"/>
      <c r="CR5" s="758"/>
      <c r="CS5" s="758"/>
      <c r="CT5" s="758"/>
      <c r="CU5" s="758"/>
      <c r="CV5" s="758"/>
      <c r="CW5" s="758"/>
      <c r="CX5" s="758"/>
      <c r="CY5" s="758"/>
      <c r="CZ5" s="758"/>
      <c r="DA5" s="758"/>
      <c r="DB5" s="758"/>
      <c r="DH5" s="156"/>
    </row>
    <row r="6" spans="1:112" s="50" customFormat="1" ht="15" customHeight="1" outlineLevel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770" t="s">
        <v>0</v>
      </c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/>
    </row>
    <row r="7" spans="1:112" ht="14" outlineLevel="1">
      <c r="A7" s="758" t="str">
        <f>ФОРМА!B4</f>
        <v>ООО «БЭСК»</v>
      </c>
      <c r="B7" s="758"/>
      <c r="C7" s="758"/>
      <c r="D7" s="758"/>
      <c r="E7" s="758"/>
      <c r="F7" s="758"/>
      <c r="G7" s="758"/>
      <c r="H7" s="758"/>
      <c r="I7" s="758"/>
      <c r="J7" s="758"/>
      <c r="K7" s="758"/>
      <c r="L7" s="758"/>
      <c r="M7" s="758"/>
      <c r="N7" s="758"/>
      <c r="O7" s="758"/>
      <c r="P7" s="758"/>
      <c r="Q7" s="758"/>
      <c r="R7" s="758"/>
      <c r="S7" s="758"/>
      <c r="T7" s="758"/>
      <c r="U7" s="758"/>
      <c r="V7" s="758"/>
      <c r="W7" s="758"/>
      <c r="X7" s="758"/>
      <c r="Y7" s="758"/>
      <c r="Z7" s="758"/>
      <c r="AA7" s="758"/>
      <c r="AB7" s="758"/>
      <c r="AC7" s="758"/>
      <c r="AD7" s="758"/>
      <c r="AE7" s="758"/>
      <c r="AF7" s="758"/>
      <c r="AG7" s="758"/>
      <c r="AH7" s="758"/>
      <c r="AI7" s="758"/>
      <c r="AJ7" s="758"/>
      <c r="AK7" s="758"/>
      <c r="AL7" s="758"/>
      <c r="AM7" s="758"/>
      <c r="AN7" s="758"/>
      <c r="AO7" s="758"/>
      <c r="AP7" s="758"/>
      <c r="AQ7" s="758"/>
      <c r="AR7" s="758"/>
      <c r="AS7" s="758"/>
      <c r="AT7" s="758"/>
      <c r="BA7" s="772" t="str">
        <f>ФОРМА!B2</f>
        <v>ПАО "Россети Ленэнерго"</v>
      </c>
      <c r="BB7" s="772"/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56" t="str">
        <f>BA7</f>
        <v>ПАО "Россети Ленэнерго"</v>
      </c>
    </row>
    <row r="8" spans="1:112" ht="15" customHeight="1" outlineLevel="1">
      <c r="A8" s="770" t="s">
        <v>44</v>
      </c>
      <c r="B8" s="770"/>
      <c r="C8" s="770"/>
      <c r="D8" s="770"/>
      <c r="E8" s="770"/>
      <c r="F8" s="770"/>
      <c r="G8" s="770"/>
      <c r="H8" s="770"/>
      <c r="I8" s="770"/>
      <c r="J8" s="770"/>
      <c r="K8" s="770"/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  <c r="AF8" s="770"/>
      <c r="AG8" s="770"/>
      <c r="AH8" s="770"/>
      <c r="AI8" s="770"/>
      <c r="AJ8" s="770"/>
      <c r="AK8" s="770"/>
      <c r="AL8" s="770"/>
      <c r="AM8" s="770"/>
      <c r="AN8" s="770"/>
      <c r="AO8" s="770"/>
      <c r="AP8" s="770"/>
      <c r="AQ8" s="770"/>
      <c r="AR8" s="770"/>
      <c r="AS8" s="770"/>
      <c r="AT8" s="770"/>
      <c r="AU8" s="21"/>
      <c r="AV8" s="21"/>
      <c r="AW8" s="21"/>
      <c r="AX8" s="21"/>
      <c r="AY8" s="21"/>
      <c r="AZ8" s="21"/>
      <c r="BA8" s="770" t="s">
        <v>2</v>
      </c>
      <c r="BB8" s="770"/>
      <c r="BC8" s="770"/>
      <c r="BD8" s="770"/>
      <c r="BE8" s="770"/>
      <c r="BF8" s="770"/>
      <c r="BG8" s="770"/>
      <c r="BH8" s="770"/>
      <c r="BI8" s="770"/>
      <c r="BJ8" s="770"/>
      <c r="BK8" s="770"/>
      <c r="BL8" s="770"/>
      <c r="BM8" s="770"/>
      <c r="BN8" s="770"/>
      <c r="BO8" s="770"/>
      <c r="BP8" s="770"/>
      <c r="BQ8" s="770"/>
      <c r="BR8" s="770"/>
      <c r="BS8" s="770"/>
      <c r="BT8" s="770"/>
      <c r="BU8" s="770"/>
      <c r="BV8" s="770"/>
      <c r="BW8" s="770"/>
      <c r="BX8" s="770"/>
      <c r="BY8" s="770"/>
      <c r="BZ8" s="770"/>
      <c r="CA8" s="770"/>
      <c r="CB8" s="770"/>
      <c r="CC8" s="770"/>
      <c r="CD8" s="770"/>
      <c r="CE8" s="770"/>
      <c r="CF8" s="770"/>
      <c r="CG8" s="770"/>
      <c r="CH8" s="770"/>
      <c r="CI8" s="770"/>
      <c r="CJ8" s="770"/>
      <c r="CK8" s="770"/>
      <c r="CL8" s="770"/>
      <c r="CM8" s="770"/>
      <c r="CN8" s="770"/>
      <c r="CO8" s="770"/>
      <c r="CP8" s="770"/>
      <c r="CQ8" s="770"/>
      <c r="CR8" s="770"/>
      <c r="CS8" s="770"/>
      <c r="CT8" s="770"/>
      <c r="CU8" s="770"/>
      <c r="CV8" s="770"/>
      <c r="CW8" s="770"/>
      <c r="CX8" s="770"/>
      <c r="CY8" s="770"/>
      <c r="CZ8" s="770"/>
      <c r="DA8" s="770"/>
      <c r="DB8" s="770"/>
      <c r="DH8" s="154"/>
    </row>
    <row r="9" spans="1:112" ht="131.25" customHeight="1" outlineLevel="1">
      <c r="A9" s="773"/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21"/>
      <c r="AV9" s="21"/>
      <c r="AW9" s="21"/>
      <c r="AX9" s="21"/>
      <c r="AY9" s="21"/>
      <c r="AZ9" s="21"/>
      <c r="BA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2"/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" customHeight="1" outlineLevel="1">
      <c r="A10" s="770" t="s">
        <v>45</v>
      </c>
      <c r="B10" s="770"/>
      <c r="C10" s="770"/>
      <c r="D10" s="770"/>
      <c r="E10" s="770"/>
      <c r="F10" s="770"/>
      <c r="G10" s="770"/>
      <c r="H10" s="770"/>
      <c r="I10" s="770"/>
      <c r="J10" s="770"/>
      <c r="K10" s="770"/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  <c r="AF10" s="770"/>
      <c r="AG10" s="770"/>
      <c r="AH10" s="770"/>
      <c r="AI10" s="770"/>
      <c r="AJ10" s="770"/>
      <c r="AK10" s="770"/>
      <c r="AL10" s="770"/>
      <c r="AM10" s="770"/>
      <c r="AN10" s="770"/>
      <c r="AO10" s="770"/>
      <c r="AP10" s="770"/>
      <c r="AQ10" s="770"/>
      <c r="AR10" s="770"/>
      <c r="AS10" s="770"/>
      <c r="AT10" s="770"/>
      <c r="AU10" s="21"/>
      <c r="AV10" s="21"/>
      <c r="AW10" s="21"/>
      <c r="AX10" s="21"/>
      <c r="AY10" s="21"/>
      <c r="AZ10" s="21"/>
      <c r="BA10" s="770" t="s">
        <v>38</v>
      </c>
      <c r="BB10" s="770"/>
      <c r="BC10" s="770"/>
      <c r="BD10" s="770"/>
      <c r="BE10" s="770"/>
      <c r="BF10" s="770"/>
      <c r="BG10" s="770"/>
      <c r="BH10" s="770"/>
      <c r="BI10" s="770"/>
      <c r="BJ10" s="770"/>
      <c r="BK10" s="770"/>
      <c r="BL10" s="770"/>
      <c r="BM10" s="770"/>
      <c r="BN10" s="770"/>
      <c r="BO10" s="770"/>
      <c r="BP10" s="770"/>
      <c r="BQ10" s="770"/>
      <c r="BR10" s="770"/>
      <c r="BS10" s="770"/>
      <c r="BT10" s="770"/>
      <c r="BU10" s="770"/>
      <c r="BV10" s="770"/>
      <c r="BW10" s="770"/>
      <c r="BX10" s="770"/>
      <c r="BY10" s="770"/>
      <c r="BZ10" s="770"/>
      <c r="CA10" s="770"/>
      <c r="CB10" s="770"/>
      <c r="CC10" s="770"/>
      <c r="CD10" s="770"/>
      <c r="CE10" s="770"/>
      <c r="CF10" s="770"/>
      <c r="CG10" s="770"/>
      <c r="CH10" s="770"/>
      <c r="CI10" s="770"/>
      <c r="CJ10" s="770"/>
      <c r="CK10" s="770"/>
      <c r="CL10" s="770"/>
      <c r="CM10" s="770"/>
      <c r="CN10" s="770"/>
      <c r="CO10" s="770"/>
      <c r="CP10" s="770"/>
      <c r="CQ10" s="770"/>
      <c r="CR10" s="770"/>
      <c r="CS10" s="770"/>
      <c r="CT10" s="770"/>
      <c r="CU10" s="770"/>
      <c r="CV10" s="770"/>
      <c r="CW10" s="770"/>
      <c r="CX10" s="770"/>
      <c r="CY10" s="770"/>
      <c r="CZ10" s="770"/>
      <c r="DA10" s="770"/>
      <c r="DB10" s="770"/>
    </row>
    <row r="11" spans="1:112" ht="14" outlineLevel="1">
      <c r="A11" s="758"/>
      <c r="B11" s="758"/>
      <c r="C11" s="758"/>
      <c r="D11" s="758"/>
      <c r="E11" s="758"/>
      <c r="F11" s="758"/>
      <c r="G11" s="758"/>
      <c r="H11" s="758"/>
      <c r="I11" s="758"/>
      <c r="J11" s="758"/>
      <c r="K11" s="758"/>
      <c r="L11" s="758"/>
      <c r="M11" s="758"/>
      <c r="N11" s="758"/>
      <c r="O11" s="758"/>
      <c r="P11" s="758"/>
      <c r="Q11" s="758"/>
      <c r="R11" s="758"/>
      <c r="S11" s="758"/>
      <c r="T11" s="758"/>
      <c r="U11" s="758"/>
      <c r="V11" s="758"/>
      <c r="W11" s="758"/>
      <c r="X11" s="758"/>
      <c r="Y11" s="758"/>
      <c r="Z11" s="758"/>
      <c r="AA11" s="758"/>
      <c r="AB11" s="758"/>
      <c r="AC11" s="758"/>
      <c r="AD11" s="758"/>
      <c r="AE11" s="758"/>
      <c r="AF11" s="758"/>
      <c r="AG11" s="758"/>
      <c r="AH11" s="758"/>
      <c r="AI11" s="758"/>
      <c r="AJ11" s="758"/>
      <c r="AK11" s="758"/>
      <c r="AL11" s="758"/>
      <c r="AM11" s="758"/>
      <c r="AN11" s="758"/>
      <c r="AO11" s="758"/>
      <c r="AP11" s="758"/>
      <c r="AQ11" s="758"/>
      <c r="AR11" s="758"/>
      <c r="AS11" s="758"/>
      <c r="AT11" s="758"/>
      <c r="BA11" s="735">
        <f>ФОРМА!B13</f>
        <v>45625</v>
      </c>
      <c r="BB11" s="735"/>
      <c r="BC11" s="735"/>
      <c r="BD11" s="735"/>
      <c r="BE11" s="735"/>
      <c r="BF11" s="735"/>
      <c r="BG11" s="735"/>
      <c r="BH11" s="735"/>
      <c r="BI11" s="735"/>
      <c r="BJ11" s="735"/>
      <c r="BK11" s="735"/>
      <c r="BL11" s="735"/>
      <c r="BM11" s="735"/>
      <c r="BN11" s="735"/>
      <c r="BO11" s="735"/>
      <c r="BP11" s="735"/>
      <c r="BQ11" s="735"/>
      <c r="BR11" s="735"/>
      <c r="BS11" s="735"/>
      <c r="BT11" s="735"/>
      <c r="BU11" s="735"/>
      <c r="BV11" s="735"/>
      <c r="BW11" s="735"/>
      <c r="BX11" s="735"/>
      <c r="BY11" s="735"/>
      <c r="BZ11" s="735"/>
      <c r="CA11" s="735"/>
      <c r="CB11" s="735"/>
      <c r="CC11" s="735"/>
      <c r="CD11" s="735"/>
      <c r="CE11" s="735"/>
      <c r="CF11" s="735"/>
      <c r="CG11" s="735"/>
      <c r="CH11" s="735"/>
      <c r="CI11" s="735"/>
      <c r="CJ11" s="735"/>
      <c r="CK11" s="735"/>
      <c r="CL11" s="735"/>
      <c r="CM11" s="735"/>
      <c r="CN11" s="735"/>
      <c r="CO11" s="735"/>
      <c r="CP11" s="735"/>
      <c r="CQ11" s="735"/>
      <c r="CR11" s="735"/>
      <c r="CS11" s="735"/>
      <c r="CT11" s="735"/>
      <c r="CU11" s="735"/>
      <c r="CV11" s="735"/>
      <c r="CW11" s="735"/>
      <c r="CX11" s="735"/>
      <c r="CY11" s="735"/>
      <c r="CZ11" s="735"/>
      <c r="DA11" s="735"/>
      <c r="DB11" s="735"/>
      <c r="DC11" s="51"/>
      <c r="DH11" s="155"/>
    </row>
    <row r="12" spans="1:112" ht="14.5" customHeight="1" outlineLevel="1">
      <c r="A12" s="770" t="s">
        <v>1</v>
      </c>
      <c r="B12" s="770"/>
      <c r="C12" s="770"/>
      <c r="D12" s="770"/>
      <c r="E12" s="770"/>
      <c r="F12" s="770"/>
      <c r="G12" s="770"/>
      <c r="H12" s="770"/>
      <c r="I12" s="770"/>
      <c r="J12" s="770"/>
      <c r="K12" s="770"/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  <c r="AF12" s="770"/>
      <c r="AG12" s="770"/>
      <c r="AH12" s="770"/>
      <c r="AI12" s="770"/>
      <c r="AJ12" s="770"/>
      <c r="AK12" s="770"/>
      <c r="AL12" s="770"/>
      <c r="AM12" s="770"/>
      <c r="AN12" s="770"/>
      <c r="AO12" s="770"/>
      <c r="AP12" s="770"/>
      <c r="AQ12" s="770"/>
      <c r="AR12" s="770"/>
      <c r="AS12" s="770"/>
      <c r="AT12" s="770"/>
      <c r="AU12" s="21"/>
      <c r="AV12" s="21"/>
      <c r="AW12" s="21"/>
      <c r="AX12" s="21"/>
      <c r="AY12" s="21"/>
      <c r="AZ12" s="21"/>
      <c r="BA12" s="770" t="s">
        <v>3</v>
      </c>
      <c r="BB12" s="770"/>
      <c r="BC12" s="770"/>
      <c r="BD12" s="770"/>
      <c r="BE12" s="770"/>
      <c r="BF12" s="770"/>
      <c r="BG12" s="770"/>
      <c r="BH12" s="770"/>
      <c r="BI12" s="770"/>
      <c r="BJ12" s="770"/>
      <c r="BK12" s="770"/>
      <c r="BL12" s="770"/>
      <c r="BM12" s="770"/>
      <c r="BN12" s="770"/>
      <c r="BO12" s="770"/>
      <c r="BP12" s="770"/>
      <c r="BQ12" s="770"/>
      <c r="BR12" s="770"/>
      <c r="BS12" s="770"/>
      <c r="BT12" s="770"/>
      <c r="BU12" s="770"/>
      <c r="BV12" s="770"/>
      <c r="BW12" s="770"/>
      <c r="BX12" s="770"/>
      <c r="BY12" s="770"/>
      <c r="BZ12" s="770"/>
      <c r="CA12" s="770"/>
      <c r="CB12" s="770"/>
      <c r="CC12" s="770"/>
      <c r="CD12" s="770"/>
      <c r="CE12" s="770"/>
      <c r="CF12" s="770"/>
      <c r="CG12" s="770"/>
      <c r="CH12" s="770"/>
      <c r="CI12" s="770"/>
      <c r="CJ12" s="770"/>
      <c r="CK12" s="770"/>
      <c r="CL12" s="770"/>
      <c r="CM12" s="770"/>
      <c r="CN12" s="770"/>
      <c r="CO12" s="770"/>
      <c r="CP12" s="770"/>
      <c r="CQ12" s="770"/>
      <c r="CR12" s="770"/>
      <c r="CS12" s="770"/>
      <c r="CT12" s="770"/>
      <c r="CU12" s="770"/>
      <c r="CV12" s="770"/>
      <c r="CW12" s="770"/>
      <c r="CX12" s="770"/>
      <c r="CY12" s="770"/>
      <c r="CZ12" s="770"/>
      <c r="DA12" s="770"/>
      <c r="DB12" s="770"/>
    </row>
    <row r="13" spans="1:112" ht="49.15" customHeight="1">
      <c r="A13" s="821" t="s">
        <v>497</v>
      </c>
      <c r="B13" s="822"/>
      <c r="C13" s="822"/>
      <c r="D13" s="822"/>
      <c r="E13" s="822"/>
      <c r="F13" s="822"/>
      <c r="G13" s="822"/>
      <c r="H13" s="822"/>
      <c r="I13" s="822"/>
      <c r="J13" s="822"/>
      <c r="K13" s="822"/>
      <c r="L13" s="822"/>
      <c r="M13" s="822"/>
      <c r="N13" s="822"/>
      <c r="O13" s="822"/>
      <c r="P13" s="822"/>
      <c r="Q13" s="822"/>
      <c r="R13" s="822"/>
      <c r="S13" s="822"/>
      <c r="T13" s="822"/>
      <c r="U13" s="822"/>
      <c r="V13" s="822"/>
      <c r="W13" s="822"/>
      <c r="X13" s="822"/>
      <c r="Y13" s="822"/>
      <c r="Z13" s="822"/>
      <c r="AA13" s="822"/>
      <c r="AB13" s="822"/>
      <c r="AC13" s="822"/>
      <c r="AD13" s="822"/>
      <c r="AE13" s="822"/>
      <c r="AF13" s="822"/>
      <c r="AG13" s="822"/>
      <c r="AH13" s="822"/>
      <c r="AI13" s="822"/>
      <c r="AJ13" s="822"/>
      <c r="AK13" s="822"/>
      <c r="AL13" s="822"/>
      <c r="AM13" s="822"/>
      <c r="AN13" s="822"/>
      <c r="AO13" s="822"/>
      <c r="AP13" s="822"/>
      <c r="AQ13" s="822"/>
      <c r="AR13" s="822"/>
      <c r="AS13" s="822"/>
      <c r="AT13" s="822"/>
      <c r="AU13" s="822"/>
      <c r="AV13" s="822"/>
      <c r="AW13" s="822"/>
      <c r="AX13" s="822"/>
      <c r="AY13" s="822"/>
      <c r="AZ13" s="822"/>
      <c r="BA13" s="822"/>
      <c r="BB13" s="822"/>
      <c r="BC13" s="822"/>
      <c r="BD13" s="822"/>
      <c r="BE13" s="822"/>
      <c r="BF13" s="822"/>
      <c r="BG13" s="822"/>
      <c r="BH13" s="822"/>
      <c r="BI13" s="822"/>
      <c r="BJ13" s="822"/>
      <c r="BK13" s="822"/>
      <c r="BL13" s="822"/>
      <c r="BM13" s="822"/>
      <c r="BN13" s="822"/>
      <c r="BO13" s="822"/>
      <c r="BP13" s="822"/>
      <c r="BQ13" s="822"/>
      <c r="BR13" s="822"/>
      <c r="BS13" s="822"/>
      <c r="BT13" s="822"/>
      <c r="BU13" s="822"/>
      <c r="BV13" s="822"/>
      <c r="BW13" s="822"/>
      <c r="BX13" s="822"/>
      <c r="BY13" s="822"/>
      <c r="BZ13" s="822"/>
      <c r="CA13" s="822"/>
      <c r="CB13" s="822"/>
      <c r="CC13" s="822"/>
      <c r="CD13" s="822"/>
      <c r="CE13" s="822"/>
      <c r="CF13" s="822"/>
      <c r="CG13" s="822"/>
      <c r="CH13" s="822"/>
      <c r="CI13" s="822"/>
      <c r="CJ13" s="822"/>
      <c r="CK13" s="822"/>
      <c r="CL13" s="822"/>
      <c r="CM13" s="822"/>
      <c r="CN13" s="822"/>
      <c r="CO13" s="822"/>
      <c r="CP13" s="822"/>
      <c r="CQ13" s="822"/>
      <c r="CR13" s="822"/>
      <c r="CS13" s="822"/>
      <c r="CT13" s="822"/>
      <c r="CU13" s="822"/>
      <c r="CV13" s="822"/>
      <c r="CW13" s="822"/>
      <c r="CX13" s="822"/>
      <c r="CY13" s="822"/>
      <c r="CZ13" s="822"/>
      <c r="DA13" s="822"/>
      <c r="DB13" s="822"/>
    </row>
    <row r="14" spans="1:112" ht="15" customHeight="1">
      <c r="A14" s="855" t="s">
        <v>19</v>
      </c>
      <c r="B14" s="851"/>
      <c r="C14" s="851"/>
      <c r="D14" s="851"/>
      <c r="E14" s="851"/>
      <c r="F14" s="851"/>
      <c r="G14" s="851"/>
      <c r="H14" s="851"/>
      <c r="I14" s="852"/>
      <c r="J14" s="874" t="s">
        <v>32</v>
      </c>
      <c r="K14" s="875"/>
      <c r="L14" s="875"/>
      <c r="M14" s="875"/>
      <c r="N14" s="875"/>
      <c r="O14" s="875"/>
      <c r="P14" s="875"/>
      <c r="Q14" s="875"/>
      <c r="R14" s="875"/>
      <c r="S14" s="875"/>
      <c r="T14" s="875"/>
      <c r="U14" s="875"/>
      <c r="V14" s="875"/>
      <c r="W14" s="875"/>
      <c r="X14" s="875"/>
      <c r="Y14" s="875"/>
      <c r="Z14" s="875"/>
      <c r="AA14" s="875"/>
      <c r="AB14" s="875"/>
      <c r="AC14" s="875"/>
      <c r="AD14" s="875"/>
      <c r="AE14" s="875"/>
      <c r="AF14" s="875"/>
      <c r="AG14" s="875"/>
      <c r="AH14" s="875"/>
      <c r="AI14" s="875"/>
      <c r="AJ14" s="875"/>
      <c r="AK14" s="875"/>
      <c r="AL14" s="875"/>
      <c r="AM14" s="875"/>
      <c r="AN14" s="875"/>
      <c r="AO14" s="876"/>
      <c r="AP14" s="857" t="s">
        <v>33</v>
      </c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R14" s="739"/>
      <c r="BS14" s="739"/>
      <c r="BT14" s="739"/>
      <c r="BU14" s="858"/>
      <c r="BV14" s="868" t="s">
        <v>34</v>
      </c>
      <c r="BW14" s="869"/>
      <c r="BX14" s="869"/>
      <c r="BY14" s="869"/>
      <c r="BZ14" s="869"/>
      <c r="CA14" s="869"/>
      <c r="CB14" s="869"/>
      <c r="CC14" s="869"/>
      <c r="CD14" s="869"/>
      <c r="CE14" s="869"/>
      <c r="CF14" s="869"/>
      <c r="CG14" s="869"/>
      <c r="CH14" s="869"/>
      <c r="CI14" s="869"/>
      <c r="CJ14" s="869"/>
      <c r="CK14" s="869"/>
      <c r="CL14" s="869"/>
      <c r="CM14" s="869"/>
      <c r="CN14" s="869"/>
      <c r="CO14" s="869"/>
      <c r="CP14" s="869"/>
      <c r="CQ14" s="869"/>
      <c r="CR14" s="869"/>
      <c r="CS14" s="869"/>
      <c r="CT14" s="869"/>
      <c r="CU14" s="869"/>
      <c r="CV14" s="869"/>
      <c r="CW14" s="869"/>
      <c r="CX14" s="869"/>
      <c r="CY14" s="869"/>
      <c r="CZ14" s="869"/>
      <c r="DA14" s="869"/>
      <c r="DB14" s="870"/>
    </row>
    <row r="15" spans="1:112" ht="15.75" customHeight="1">
      <c r="A15" s="856" t="s">
        <v>20</v>
      </c>
      <c r="B15" s="853"/>
      <c r="C15" s="853"/>
      <c r="D15" s="853"/>
      <c r="E15" s="853"/>
      <c r="F15" s="853"/>
      <c r="G15" s="853"/>
      <c r="H15" s="853"/>
      <c r="I15" s="854"/>
      <c r="J15" s="877"/>
      <c r="K15" s="878"/>
      <c r="L15" s="878"/>
      <c r="M15" s="878"/>
      <c r="N15" s="878"/>
      <c r="O15" s="878"/>
      <c r="P15" s="878"/>
      <c r="Q15" s="878"/>
      <c r="R15" s="878"/>
      <c r="S15" s="878"/>
      <c r="T15" s="878"/>
      <c r="U15" s="878"/>
      <c r="V15" s="878"/>
      <c r="W15" s="878"/>
      <c r="X15" s="878"/>
      <c r="Y15" s="878"/>
      <c r="Z15" s="878"/>
      <c r="AA15" s="878"/>
      <c r="AB15" s="878"/>
      <c r="AC15" s="878"/>
      <c r="AD15" s="878"/>
      <c r="AE15" s="878"/>
      <c r="AF15" s="878"/>
      <c r="AG15" s="878"/>
      <c r="AH15" s="878"/>
      <c r="AI15" s="878"/>
      <c r="AJ15" s="878"/>
      <c r="AK15" s="878"/>
      <c r="AL15" s="878"/>
      <c r="AM15" s="878"/>
      <c r="AN15" s="878"/>
      <c r="AO15" s="879"/>
      <c r="AP15" s="857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R15" s="739"/>
      <c r="BS15" s="739"/>
      <c r="BT15" s="739"/>
      <c r="BU15" s="858"/>
      <c r="BV15" s="871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872"/>
      <c r="CS15" s="872"/>
      <c r="CT15" s="872"/>
      <c r="CU15" s="872"/>
      <c r="CV15" s="872"/>
      <c r="CW15" s="872"/>
      <c r="CX15" s="872"/>
      <c r="CY15" s="872"/>
      <c r="CZ15" s="872"/>
      <c r="DA15" s="872"/>
      <c r="DB15" s="873"/>
    </row>
    <row r="16" spans="1:112" ht="13.15" customHeight="1">
      <c r="A16" s="834"/>
      <c r="B16" s="834"/>
      <c r="C16" s="834"/>
      <c r="D16" s="834"/>
      <c r="E16" s="834"/>
      <c r="F16" s="834"/>
      <c r="G16" s="834"/>
      <c r="H16" s="834"/>
      <c r="I16" s="834"/>
      <c r="J16" s="859" t="s">
        <v>1040</v>
      </c>
      <c r="K16" s="860"/>
      <c r="L16" s="860"/>
      <c r="M16" s="860"/>
      <c r="N16" s="860"/>
      <c r="O16" s="860"/>
      <c r="P16" s="860"/>
      <c r="Q16" s="860"/>
      <c r="R16" s="860"/>
      <c r="S16" s="860"/>
      <c r="T16" s="860"/>
      <c r="U16" s="860"/>
      <c r="V16" s="860"/>
      <c r="W16" s="860"/>
      <c r="X16" s="860"/>
      <c r="Y16" s="860"/>
      <c r="Z16" s="860"/>
      <c r="AA16" s="860"/>
      <c r="AB16" s="860"/>
      <c r="AC16" s="860"/>
      <c r="AD16" s="860"/>
      <c r="AE16" s="860"/>
      <c r="AF16" s="860"/>
      <c r="AG16" s="860"/>
      <c r="AH16" s="860"/>
      <c r="AI16" s="860"/>
      <c r="AJ16" s="860"/>
      <c r="AK16" s="860"/>
      <c r="AL16" s="860"/>
      <c r="AM16" s="860"/>
      <c r="AN16" s="860"/>
      <c r="AO16" s="861"/>
      <c r="AP16" s="842"/>
      <c r="AQ16" s="842"/>
      <c r="AR16" s="842"/>
      <c r="AS16" s="842"/>
      <c r="AT16" s="842"/>
      <c r="AU16" s="842"/>
      <c r="AV16" s="842"/>
      <c r="AW16" s="842"/>
      <c r="AX16" s="842"/>
      <c r="AY16" s="842"/>
      <c r="AZ16" s="842"/>
      <c r="BA16" s="842"/>
      <c r="BB16" s="842"/>
      <c r="BC16" s="842"/>
      <c r="BD16" s="842"/>
      <c r="BE16" s="842"/>
      <c r="BF16" s="842"/>
      <c r="BG16" s="842"/>
      <c r="BH16" s="842"/>
      <c r="BI16" s="842"/>
      <c r="BJ16" s="842"/>
      <c r="BK16" s="842"/>
      <c r="BL16" s="842"/>
      <c r="BM16" s="842"/>
      <c r="BN16" s="842"/>
      <c r="BO16" s="842"/>
      <c r="BP16" s="842"/>
      <c r="BQ16" s="842"/>
      <c r="BR16" s="842"/>
      <c r="BS16" s="842"/>
      <c r="BT16" s="842"/>
      <c r="BU16" s="842"/>
      <c r="BV16" s="841"/>
      <c r="BW16" s="841"/>
      <c r="BX16" s="841"/>
      <c r="BY16" s="841"/>
      <c r="BZ16" s="841"/>
      <c r="CA16" s="841"/>
      <c r="CB16" s="841"/>
      <c r="CC16" s="841"/>
      <c r="CD16" s="841"/>
      <c r="CE16" s="841"/>
      <c r="CF16" s="841"/>
      <c r="CG16" s="841"/>
      <c r="CH16" s="841"/>
      <c r="CI16" s="841"/>
      <c r="CJ16" s="841"/>
      <c r="CK16" s="841"/>
      <c r="CL16" s="841"/>
      <c r="CM16" s="841"/>
      <c r="CN16" s="841"/>
      <c r="CO16" s="841"/>
      <c r="CP16" s="841"/>
      <c r="CQ16" s="841"/>
      <c r="CR16" s="841"/>
      <c r="CS16" s="841"/>
      <c r="CT16" s="841"/>
      <c r="CU16" s="841"/>
      <c r="CV16" s="841"/>
      <c r="CW16" s="841"/>
      <c r="CX16" s="841"/>
      <c r="CY16" s="841"/>
      <c r="CZ16" s="841"/>
      <c r="DA16" s="841"/>
      <c r="DB16" s="841"/>
    </row>
    <row r="17" spans="1:112" ht="13.15" customHeight="1">
      <c r="A17" s="834"/>
      <c r="B17" s="834"/>
      <c r="C17" s="834"/>
      <c r="D17" s="834"/>
      <c r="E17" s="834"/>
      <c r="F17" s="834"/>
      <c r="G17" s="834"/>
      <c r="H17" s="834"/>
      <c r="I17" s="834"/>
      <c r="J17" s="862"/>
      <c r="K17" s="863"/>
      <c r="L17" s="863"/>
      <c r="M17" s="863"/>
      <c r="N17" s="863"/>
      <c r="O17" s="863"/>
      <c r="P17" s="863"/>
      <c r="Q17" s="863"/>
      <c r="R17" s="863"/>
      <c r="S17" s="863"/>
      <c r="T17" s="863"/>
      <c r="U17" s="863"/>
      <c r="V17" s="863"/>
      <c r="W17" s="863"/>
      <c r="X17" s="863"/>
      <c r="Y17" s="863"/>
      <c r="Z17" s="863"/>
      <c r="AA17" s="863"/>
      <c r="AB17" s="863"/>
      <c r="AC17" s="863"/>
      <c r="AD17" s="863"/>
      <c r="AE17" s="863"/>
      <c r="AF17" s="863"/>
      <c r="AG17" s="863"/>
      <c r="AH17" s="863"/>
      <c r="AI17" s="863"/>
      <c r="AJ17" s="863"/>
      <c r="AK17" s="863"/>
      <c r="AL17" s="863"/>
      <c r="AM17" s="863"/>
      <c r="AN17" s="863"/>
      <c r="AO17" s="864"/>
      <c r="AP17" s="842"/>
      <c r="AQ17" s="842"/>
      <c r="AR17" s="842"/>
      <c r="AS17" s="842"/>
      <c r="AT17" s="842"/>
      <c r="AU17" s="842"/>
      <c r="AV17" s="842"/>
      <c r="AW17" s="842"/>
      <c r="AX17" s="842"/>
      <c r="AY17" s="842"/>
      <c r="AZ17" s="842"/>
      <c r="BA17" s="842"/>
      <c r="BB17" s="842"/>
      <c r="BC17" s="842"/>
      <c r="BD17" s="842"/>
      <c r="BE17" s="842"/>
      <c r="BF17" s="842"/>
      <c r="BG17" s="842"/>
      <c r="BH17" s="842"/>
      <c r="BI17" s="842"/>
      <c r="BJ17" s="842"/>
      <c r="BK17" s="842"/>
      <c r="BL17" s="842"/>
      <c r="BM17" s="842"/>
      <c r="BN17" s="842"/>
      <c r="BO17" s="842"/>
      <c r="BP17" s="842"/>
      <c r="BQ17" s="842"/>
      <c r="BR17" s="842"/>
      <c r="BS17" s="842"/>
      <c r="BT17" s="842"/>
      <c r="BU17" s="842"/>
      <c r="BV17" s="841"/>
      <c r="BW17" s="841"/>
      <c r="BX17" s="841"/>
      <c r="BY17" s="841"/>
      <c r="BZ17" s="841"/>
      <c r="CA17" s="841"/>
      <c r="CB17" s="841"/>
      <c r="CC17" s="841"/>
      <c r="CD17" s="841"/>
      <c r="CE17" s="841"/>
      <c r="CF17" s="841"/>
      <c r="CG17" s="841"/>
      <c r="CH17" s="841"/>
      <c r="CI17" s="841"/>
      <c r="CJ17" s="841"/>
      <c r="CK17" s="841"/>
      <c r="CL17" s="841"/>
      <c r="CM17" s="841"/>
      <c r="CN17" s="841"/>
      <c r="CO17" s="841"/>
      <c r="CP17" s="841"/>
      <c r="CQ17" s="841"/>
      <c r="CR17" s="841"/>
      <c r="CS17" s="841"/>
      <c r="CT17" s="841"/>
      <c r="CU17" s="841"/>
      <c r="CV17" s="841"/>
      <c r="CW17" s="841"/>
      <c r="CX17" s="841"/>
      <c r="CY17" s="841"/>
      <c r="CZ17" s="841"/>
      <c r="DA17" s="841"/>
      <c r="DB17" s="841"/>
    </row>
    <row r="18" spans="1:112" ht="13.15" customHeight="1">
      <c r="A18" s="834"/>
      <c r="B18" s="834"/>
      <c r="C18" s="834"/>
      <c r="D18" s="834"/>
      <c r="E18" s="834"/>
      <c r="F18" s="834"/>
      <c r="G18" s="834"/>
      <c r="H18" s="834"/>
      <c r="I18" s="834"/>
      <c r="J18" s="862"/>
      <c r="K18" s="863"/>
      <c r="L18" s="863"/>
      <c r="M18" s="863"/>
      <c r="N18" s="863"/>
      <c r="O18" s="863"/>
      <c r="P18" s="863"/>
      <c r="Q18" s="863"/>
      <c r="R18" s="863"/>
      <c r="S18" s="863"/>
      <c r="T18" s="863"/>
      <c r="U18" s="863"/>
      <c r="V18" s="863"/>
      <c r="W18" s="863"/>
      <c r="X18" s="863"/>
      <c r="Y18" s="863"/>
      <c r="Z18" s="863"/>
      <c r="AA18" s="863"/>
      <c r="AB18" s="863"/>
      <c r="AC18" s="863"/>
      <c r="AD18" s="863"/>
      <c r="AE18" s="863"/>
      <c r="AF18" s="863"/>
      <c r="AG18" s="863"/>
      <c r="AH18" s="863"/>
      <c r="AI18" s="863"/>
      <c r="AJ18" s="863"/>
      <c r="AK18" s="863"/>
      <c r="AL18" s="863"/>
      <c r="AM18" s="863"/>
      <c r="AN18" s="863"/>
      <c r="AO18" s="864"/>
      <c r="AP18" s="842"/>
      <c r="AQ18" s="842"/>
      <c r="AR18" s="842"/>
      <c r="AS18" s="842"/>
      <c r="AT18" s="842"/>
      <c r="AU18" s="842"/>
      <c r="AV18" s="842"/>
      <c r="AW18" s="842"/>
      <c r="AX18" s="842"/>
      <c r="AY18" s="842"/>
      <c r="AZ18" s="842"/>
      <c r="BA18" s="842"/>
      <c r="BB18" s="842"/>
      <c r="BC18" s="842"/>
      <c r="BD18" s="842"/>
      <c r="BE18" s="842"/>
      <c r="BF18" s="842"/>
      <c r="BG18" s="842"/>
      <c r="BH18" s="842"/>
      <c r="BI18" s="842"/>
      <c r="BJ18" s="842"/>
      <c r="BK18" s="842"/>
      <c r="BL18" s="842"/>
      <c r="BM18" s="842"/>
      <c r="BN18" s="842"/>
      <c r="BO18" s="842"/>
      <c r="BP18" s="842"/>
      <c r="BQ18" s="842"/>
      <c r="BR18" s="842"/>
      <c r="BS18" s="842"/>
      <c r="BT18" s="842"/>
      <c r="BU18" s="842"/>
      <c r="BV18" s="841"/>
      <c r="BW18" s="841"/>
      <c r="BX18" s="841"/>
      <c r="BY18" s="841"/>
      <c r="BZ18" s="841"/>
      <c r="CA18" s="841"/>
      <c r="CB18" s="841"/>
      <c r="CC18" s="841"/>
      <c r="CD18" s="841"/>
      <c r="CE18" s="841"/>
      <c r="CF18" s="841"/>
      <c r="CG18" s="841"/>
      <c r="CH18" s="841"/>
      <c r="CI18" s="841"/>
      <c r="CJ18" s="841"/>
      <c r="CK18" s="841"/>
      <c r="CL18" s="841"/>
      <c r="CM18" s="841"/>
      <c r="CN18" s="841"/>
      <c r="CO18" s="841"/>
      <c r="CP18" s="841"/>
      <c r="CQ18" s="841"/>
      <c r="CR18" s="841"/>
      <c r="CS18" s="841"/>
      <c r="CT18" s="841"/>
      <c r="CU18" s="841"/>
      <c r="CV18" s="841"/>
      <c r="CW18" s="841"/>
      <c r="CX18" s="841"/>
      <c r="CY18" s="841"/>
      <c r="CZ18" s="841"/>
      <c r="DA18" s="841"/>
      <c r="DB18" s="841"/>
    </row>
    <row r="19" spans="1:112" ht="13.15" customHeight="1">
      <c r="A19" s="834"/>
      <c r="B19" s="834"/>
      <c r="C19" s="834"/>
      <c r="D19" s="834"/>
      <c r="E19" s="834"/>
      <c r="F19" s="834"/>
      <c r="G19" s="834"/>
      <c r="H19" s="834"/>
      <c r="I19" s="834"/>
      <c r="J19" s="865"/>
      <c r="K19" s="866"/>
      <c r="L19" s="866"/>
      <c r="M19" s="866"/>
      <c r="N19" s="866"/>
      <c r="O19" s="866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866"/>
      <c r="AA19" s="866"/>
      <c r="AB19" s="866"/>
      <c r="AC19" s="866"/>
      <c r="AD19" s="866"/>
      <c r="AE19" s="866"/>
      <c r="AF19" s="866"/>
      <c r="AG19" s="866"/>
      <c r="AH19" s="866"/>
      <c r="AI19" s="866"/>
      <c r="AJ19" s="866"/>
      <c r="AK19" s="866"/>
      <c r="AL19" s="866"/>
      <c r="AM19" s="866"/>
      <c r="AN19" s="866"/>
      <c r="AO19" s="867"/>
      <c r="AP19" s="842"/>
      <c r="AQ19" s="842"/>
      <c r="AR19" s="842"/>
      <c r="AS19" s="842"/>
      <c r="AT19" s="842"/>
      <c r="AU19" s="842"/>
      <c r="AV19" s="842"/>
      <c r="AW19" s="842"/>
      <c r="AX19" s="842"/>
      <c r="AY19" s="842"/>
      <c r="AZ19" s="842"/>
      <c r="BA19" s="842"/>
      <c r="BB19" s="842"/>
      <c r="BC19" s="842"/>
      <c r="BD19" s="842"/>
      <c r="BE19" s="842"/>
      <c r="BF19" s="842"/>
      <c r="BG19" s="842"/>
      <c r="BH19" s="842"/>
      <c r="BI19" s="842"/>
      <c r="BJ19" s="842"/>
      <c r="BK19" s="842"/>
      <c r="BL19" s="842"/>
      <c r="BM19" s="842"/>
      <c r="BN19" s="842"/>
      <c r="BO19" s="842"/>
      <c r="BP19" s="842"/>
      <c r="BQ19" s="842"/>
      <c r="BR19" s="842"/>
      <c r="BS19" s="842"/>
      <c r="BT19" s="842"/>
      <c r="BU19" s="842"/>
      <c r="BV19" s="841"/>
      <c r="BW19" s="841"/>
      <c r="BX19" s="841"/>
      <c r="BY19" s="841"/>
      <c r="BZ19" s="841"/>
      <c r="CA19" s="841"/>
      <c r="CB19" s="841"/>
      <c r="CC19" s="841"/>
      <c r="CD19" s="841"/>
      <c r="CE19" s="841"/>
      <c r="CF19" s="841"/>
      <c r="CG19" s="841"/>
      <c r="CH19" s="841"/>
      <c r="CI19" s="841"/>
      <c r="CJ19" s="841"/>
      <c r="CK19" s="841"/>
      <c r="CL19" s="841"/>
      <c r="CM19" s="841"/>
      <c r="CN19" s="841"/>
      <c r="CO19" s="841"/>
      <c r="CP19" s="841"/>
      <c r="CQ19" s="841"/>
      <c r="CR19" s="841"/>
      <c r="CS19" s="841"/>
      <c r="CT19" s="841"/>
      <c r="CU19" s="841"/>
      <c r="CV19" s="841"/>
      <c r="CW19" s="841"/>
      <c r="CX19" s="841"/>
      <c r="CY19" s="841"/>
      <c r="CZ19" s="841"/>
      <c r="DA19" s="841"/>
      <c r="DB19" s="841"/>
    </row>
    <row r="20" spans="1:112" ht="13.15" customHeight="1">
      <c r="A20" s="834"/>
      <c r="B20" s="834"/>
      <c r="C20" s="834"/>
      <c r="D20" s="834"/>
      <c r="E20" s="834"/>
      <c r="F20" s="834"/>
      <c r="G20" s="834"/>
      <c r="H20" s="834"/>
      <c r="I20" s="834"/>
      <c r="J20" s="840"/>
      <c r="K20" s="840"/>
      <c r="L20" s="840"/>
      <c r="M20" s="840"/>
      <c r="N20" s="840"/>
      <c r="O20" s="840"/>
      <c r="P20" s="840"/>
      <c r="Q20" s="840"/>
      <c r="R20" s="840"/>
      <c r="S20" s="840"/>
      <c r="T20" s="840"/>
      <c r="U20" s="840"/>
      <c r="V20" s="840"/>
      <c r="W20" s="840"/>
      <c r="X20" s="840"/>
      <c r="Y20" s="840"/>
      <c r="Z20" s="840"/>
      <c r="AA20" s="840"/>
      <c r="AB20" s="840"/>
      <c r="AC20" s="840"/>
      <c r="AD20" s="840"/>
      <c r="AE20" s="840"/>
      <c r="AF20" s="840"/>
      <c r="AG20" s="840"/>
      <c r="AH20" s="840"/>
      <c r="AI20" s="840"/>
      <c r="AJ20" s="840"/>
      <c r="AK20" s="840"/>
      <c r="AL20" s="840"/>
      <c r="AM20" s="840"/>
      <c r="AN20" s="840"/>
      <c r="AO20" s="840"/>
      <c r="AP20" s="842"/>
      <c r="AQ20" s="842"/>
      <c r="AR20" s="842"/>
      <c r="AS20" s="842"/>
      <c r="AT20" s="842"/>
      <c r="AU20" s="842"/>
      <c r="AV20" s="842"/>
      <c r="AW20" s="842"/>
      <c r="AX20" s="842"/>
      <c r="AY20" s="842"/>
      <c r="AZ20" s="842"/>
      <c r="BA20" s="842"/>
      <c r="BB20" s="842"/>
      <c r="BC20" s="842"/>
      <c r="BD20" s="842"/>
      <c r="BE20" s="842"/>
      <c r="BF20" s="842"/>
      <c r="BG20" s="842"/>
      <c r="BH20" s="842"/>
      <c r="BI20" s="842"/>
      <c r="BJ20" s="842"/>
      <c r="BK20" s="842"/>
      <c r="BL20" s="842"/>
      <c r="BM20" s="842"/>
      <c r="BN20" s="842"/>
      <c r="BO20" s="842"/>
      <c r="BP20" s="842"/>
      <c r="BQ20" s="842"/>
      <c r="BR20" s="842"/>
      <c r="BS20" s="842"/>
      <c r="BT20" s="842"/>
      <c r="BU20" s="842"/>
      <c r="BV20" s="841"/>
      <c r="BW20" s="841"/>
      <c r="BX20" s="841"/>
      <c r="BY20" s="841"/>
      <c r="BZ20" s="841"/>
      <c r="CA20" s="841"/>
      <c r="CB20" s="841"/>
      <c r="CC20" s="841"/>
      <c r="CD20" s="841"/>
      <c r="CE20" s="841"/>
      <c r="CF20" s="841"/>
      <c r="CG20" s="841"/>
      <c r="CH20" s="841"/>
      <c r="CI20" s="841"/>
      <c r="CJ20" s="841"/>
      <c r="CK20" s="841"/>
      <c r="CL20" s="841"/>
      <c r="CM20" s="841"/>
      <c r="CN20" s="841"/>
      <c r="CO20" s="841"/>
      <c r="CP20" s="841"/>
      <c r="CQ20" s="841"/>
      <c r="CR20" s="841"/>
      <c r="CS20" s="841"/>
      <c r="CT20" s="841"/>
      <c r="CU20" s="841"/>
      <c r="CV20" s="841"/>
      <c r="CW20" s="841"/>
      <c r="CX20" s="841"/>
      <c r="CY20" s="841"/>
      <c r="CZ20" s="841"/>
      <c r="DA20" s="841"/>
      <c r="DB20" s="841"/>
    </row>
    <row r="21" spans="1:112" ht="13.15" customHeight="1">
      <c r="A21" s="834"/>
      <c r="B21" s="834"/>
      <c r="C21" s="834"/>
      <c r="D21" s="834"/>
      <c r="E21" s="834"/>
      <c r="F21" s="834"/>
      <c r="G21" s="834"/>
      <c r="H21" s="834"/>
      <c r="I21" s="834"/>
      <c r="J21" s="840"/>
      <c r="K21" s="840"/>
      <c r="L21" s="840"/>
      <c r="M21" s="840"/>
      <c r="N21" s="840"/>
      <c r="O21" s="840"/>
      <c r="P21" s="840"/>
      <c r="Q21" s="840"/>
      <c r="R21" s="840"/>
      <c r="S21" s="840"/>
      <c r="T21" s="840"/>
      <c r="U21" s="840"/>
      <c r="V21" s="840"/>
      <c r="W21" s="840"/>
      <c r="X21" s="840"/>
      <c r="Y21" s="840"/>
      <c r="Z21" s="840"/>
      <c r="AA21" s="840"/>
      <c r="AB21" s="840"/>
      <c r="AC21" s="840"/>
      <c r="AD21" s="840"/>
      <c r="AE21" s="840"/>
      <c r="AF21" s="840"/>
      <c r="AG21" s="840"/>
      <c r="AH21" s="840"/>
      <c r="AI21" s="840"/>
      <c r="AJ21" s="840"/>
      <c r="AK21" s="840"/>
      <c r="AL21" s="840"/>
      <c r="AM21" s="840"/>
      <c r="AN21" s="840"/>
      <c r="AO21" s="840"/>
      <c r="AP21" s="842"/>
      <c r="AQ21" s="842"/>
      <c r="AR21" s="842"/>
      <c r="AS21" s="842"/>
      <c r="AT21" s="842"/>
      <c r="AU21" s="842"/>
      <c r="AV21" s="842"/>
      <c r="AW21" s="842"/>
      <c r="AX21" s="842"/>
      <c r="AY21" s="842"/>
      <c r="AZ21" s="842"/>
      <c r="BA21" s="842"/>
      <c r="BB21" s="842"/>
      <c r="BC21" s="842"/>
      <c r="BD21" s="842"/>
      <c r="BE21" s="842"/>
      <c r="BF21" s="842"/>
      <c r="BG21" s="842"/>
      <c r="BH21" s="842"/>
      <c r="BI21" s="842"/>
      <c r="BJ21" s="842"/>
      <c r="BK21" s="842"/>
      <c r="BL21" s="842"/>
      <c r="BM21" s="842"/>
      <c r="BN21" s="842"/>
      <c r="BO21" s="842"/>
      <c r="BP21" s="842"/>
      <c r="BQ21" s="842"/>
      <c r="BR21" s="842"/>
      <c r="BS21" s="842"/>
      <c r="BT21" s="842"/>
      <c r="BU21" s="842"/>
      <c r="BV21" s="841"/>
      <c r="BW21" s="841"/>
      <c r="BX21" s="841"/>
      <c r="BY21" s="841"/>
      <c r="BZ21" s="841"/>
      <c r="CA21" s="841"/>
      <c r="CB21" s="841"/>
      <c r="CC21" s="841"/>
      <c r="CD21" s="841"/>
      <c r="CE21" s="841"/>
      <c r="CF21" s="841"/>
      <c r="CG21" s="841"/>
      <c r="CH21" s="841"/>
      <c r="CI21" s="841"/>
      <c r="CJ21" s="841"/>
      <c r="CK21" s="841"/>
      <c r="CL21" s="841"/>
      <c r="CM21" s="841"/>
      <c r="CN21" s="841"/>
      <c r="CO21" s="841"/>
      <c r="CP21" s="841"/>
      <c r="CQ21" s="841"/>
      <c r="CR21" s="841"/>
      <c r="CS21" s="841"/>
      <c r="CT21" s="841"/>
      <c r="CU21" s="841"/>
      <c r="CV21" s="841"/>
      <c r="CW21" s="841"/>
      <c r="CX21" s="841"/>
      <c r="CY21" s="841"/>
      <c r="CZ21" s="841"/>
      <c r="DA21" s="841"/>
      <c r="DB21" s="841"/>
    </row>
    <row r="22" spans="1:112" ht="13.15" customHeight="1">
      <c r="A22" s="834"/>
      <c r="B22" s="834"/>
      <c r="C22" s="834"/>
      <c r="D22" s="834"/>
      <c r="E22" s="834"/>
      <c r="F22" s="834"/>
      <c r="G22" s="834"/>
      <c r="H22" s="834"/>
      <c r="I22" s="834"/>
      <c r="J22" s="840"/>
      <c r="K22" s="840"/>
      <c r="L22" s="840"/>
      <c r="M22" s="840"/>
      <c r="N22" s="840"/>
      <c r="O22" s="840"/>
      <c r="P22" s="840"/>
      <c r="Q22" s="840"/>
      <c r="R22" s="840"/>
      <c r="S22" s="840"/>
      <c r="T22" s="840"/>
      <c r="U22" s="840"/>
      <c r="V22" s="840"/>
      <c r="W22" s="840"/>
      <c r="X22" s="840"/>
      <c r="Y22" s="840"/>
      <c r="Z22" s="840"/>
      <c r="AA22" s="840"/>
      <c r="AB22" s="840"/>
      <c r="AC22" s="840"/>
      <c r="AD22" s="840"/>
      <c r="AE22" s="840"/>
      <c r="AF22" s="840"/>
      <c r="AG22" s="840"/>
      <c r="AH22" s="840"/>
      <c r="AI22" s="840"/>
      <c r="AJ22" s="840"/>
      <c r="AK22" s="840"/>
      <c r="AL22" s="840"/>
      <c r="AM22" s="840"/>
      <c r="AN22" s="840"/>
      <c r="AO22" s="840"/>
      <c r="AP22" s="842"/>
      <c r="AQ22" s="842"/>
      <c r="AR22" s="842"/>
      <c r="AS22" s="842"/>
      <c r="AT22" s="842"/>
      <c r="AU22" s="842"/>
      <c r="AV22" s="842"/>
      <c r="AW22" s="842"/>
      <c r="AX22" s="842"/>
      <c r="AY22" s="842"/>
      <c r="AZ22" s="842"/>
      <c r="BA22" s="842"/>
      <c r="BB22" s="842"/>
      <c r="BC22" s="842"/>
      <c r="BD22" s="842"/>
      <c r="BE22" s="842"/>
      <c r="BF22" s="842"/>
      <c r="BG22" s="842"/>
      <c r="BH22" s="842"/>
      <c r="BI22" s="842"/>
      <c r="BJ22" s="842"/>
      <c r="BK22" s="842"/>
      <c r="BL22" s="842"/>
      <c r="BM22" s="842"/>
      <c r="BN22" s="842"/>
      <c r="BO22" s="842"/>
      <c r="BP22" s="842"/>
      <c r="BQ22" s="842"/>
      <c r="BR22" s="842"/>
      <c r="BS22" s="842"/>
      <c r="BT22" s="842"/>
      <c r="BU22" s="842"/>
      <c r="BV22" s="841"/>
      <c r="BW22" s="841"/>
      <c r="BX22" s="841"/>
      <c r="BY22" s="841"/>
      <c r="BZ22" s="841"/>
      <c r="CA22" s="841"/>
      <c r="CB22" s="841"/>
      <c r="CC22" s="841"/>
      <c r="CD22" s="841"/>
      <c r="CE22" s="841"/>
      <c r="CF22" s="841"/>
      <c r="CG22" s="841"/>
      <c r="CH22" s="841"/>
      <c r="CI22" s="841"/>
      <c r="CJ22" s="841"/>
      <c r="CK22" s="841"/>
      <c r="CL22" s="841"/>
      <c r="CM22" s="841"/>
      <c r="CN22" s="841"/>
      <c r="CO22" s="841"/>
      <c r="CP22" s="841"/>
      <c r="CQ22" s="841"/>
      <c r="CR22" s="841"/>
      <c r="CS22" s="841"/>
      <c r="CT22" s="841"/>
      <c r="CU22" s="841"/>
      <c r="CV22" s="841"/>
      <c r="CW22" s="841"/>
      <c r="CX22" s="841"/>
      <c r="CY22" s="841"/>
      <c r="CZ22" s="841"/>
      <c r="DA22" s="841"/>
      <c r="DB22" s="841"/>
      <c r="DH22" s="155"/>
    </row>
    <row r="23" spans="1:112" ht="13.15" customHeight="1">
      <c r="A23" s="834"/>
      <c r="B23" s="834"/>
      <c r="C23" s="834"/>
      <c r="D23" s="834"/>
      <c r="E23" s="834"/>
      <c r="F23" s="834"/>
      <c r="G23" s="834"/>
      <c r="H23" s="834"/>
      <c r="I23" s="834"/>
      <c r="J23" s="840"/>
      <c r="K23" s="840"/>
      <c r="L23" s="840"/>
      <c r="M23" s="840"/>
      <c r="N23" s="840"/>
      <c r="O23" s="840"/>
      <c r="P23" s="840"/>
      <c r="Q23" s="840"/>
      <c r="R23" s="840"/>
      <c r="S23" s="840"/>
      <c r="T23" s="840"/>
      <c r="U23" s="840"/>
      <c r="V23" s="840"/>
      <c r="W23" s="840"/>
      <c r="X23" s="840"/>
      <c r="Y23" s="840"/>
      <c r="Z23" s="840"/>
      <c r="AA23" s="840"/>
      <c r="AB23" s="840"/>
      <c r="AC23" s="840"/>
      <c r="AD23" s="840"/>
      <c r="AE23" s="840"/>
      <c r="AF23" s="840"/>
      <c r="AG23" s="840"/>
      <c r="AH23" s="840"/>
      <c r="AI23" s="840"/>
      <c r="AJ23" s="840"/>
      <c r="AK23" s="840"/>
      <c r="AL23" s="840"/>
      <c r="AM23" s="840"/>
      <c r="AN23" s="840"/>
      <c r="AO23" s="840"/>
      <c r="AP23" s="842"/>
      <c r="AQ23" s="842"/>
      <c r="AR23" s="842"/>
      <c r="AS23" s="842"/>
      <c r="AT23" s="842"/>
      <c r="AU23" s="842"/>
      <c r="AV23" s="842"/>
      <c r="AW23" s="842"/>
      <c r="AX23" s="842"/>
      <c r="AY23" s="842"/>
      <c r="AZ23" s="842"/>
      <c r="BA23" s="842"/>
      <c r="BB23" s="842"/>
      <c r="BC23" s="842"/>
      <c r="BD23" s="842"/>
      <c r="BE23" s="842"/>
      <c r="BF23" s="842"/>
      <c r="BG23" s="842"/>
      <c r="BH23" s="842"/>
      <c r="BI23" s="842"/>
      <c r="BJ23" s="842"/>
      <c r="BK23" s="842"/>
      <c r="BL23" s="842"/>
      <c r="BM23" s="842"/>
      <c r="BN23" s="842"/>
      <c r="BO23" s="842"/>
      <c r="BP23" s="842"/>
      <c r="BQ23" s="842"/>
      <c r="BR23" s="842"/>
      <c r="BS23" s="842"/>
      <c r="BT23" s="842"/>
      <c r="BU23" s="842"/>
      <c r="BV23" s="841"/>
      <c r="BW23" s="841"/>
      <c r="BX23" s="841"/>
      <c r="BY23" s="841"/>
      <c r="BZ23" s="841"/>
      <c r="CA23" s="841"/>
      <c r="CB23" s="841"/>
      <c r="CC23" s="841"/>
      <c r="CD23" s="841"/>
      <c r="CE23" s="841"/>
      <c r="CF23" s="841"/>
      <c r="CG23" s="841"/>
      <c r="CH23" s="841"/>
      <c r="CI23" s="841"/>
      <c r="CJ23" s="841"/>
      <c r="CK23" s="841"/>
      <c r="CL23" s="841"/>
      <c r="CM23" s="841"/>
      <c r="CN23" s="841"/>
      <c r="CO23" s="841"/>
      <c r="CP23" s="841"/>
      <c r="CQ23" s="841"/>
      <c r="CR23" s="841"/>
      <c r="CS23" s="841"/>
      <c r="CT23" s="841"/>
      <c r="CU23" s="841"/>
      <c r="CV23" s="841"/>
      <c r="CW23" s="841"/>
      <c r="CX23" s="841"/>
      <c r="CY23" s="841"/>
      <c r="CZ23" s="841"/>
      <c r="DA23" s="841"/>
      <c r="DB23" s="841"/>
      <c r="DH23" s="155"/>
    </row>
    <row r="24" spans="1:112" ht="13.15" customHeight="1">
      <c r="A24" s="834"/>
      <c r="B24" s="834"/>
      <c r="C24" s="834"/>
      <c r="D24" s="834"/>
      <c r="E24" s="834"/>
      <c r="F24" s="834"/>
      <c r="G24" s="834"/>
      <c r="H24" s="834"/>
      <c r="I24" s="834"/>
      <c r="J24" s="840"/>
      <c r="K24" s="840"/>
      <c r="L24" s="840"/>
      <c r="M24" s="840"/>
      <c r="N24" s="840"/>
      <c r="O24" s="840"/>
      <c r="P24" s="840"/>
      <c r="Q24" s="840"/>
      <c r="R24" s="840"/>
      <c r="S24" s="840"/>
      <c r="T24" s="840"/>
      <c r="U24" s="840"/>
      <c r="V24" s="840"/>
      <c r="W24" s="840"/>
      <c r="X24" s="840"/>
      <c r="Y24" s="840"/>
      <c r="Z24" s="840"/>
      <c r="AA24" s="840"/>
      <c r="AB24" s="840"/>
      <c r="AC24" s="840"/>
      <c r="AD24" s="840"/>
      <c r="AE24" s="840"/>
      <c r="AF24" s="840"/>
      <c r="AG24" s="840"/>
      <c r="AH24" s="840"/>
      <c r="AI24" s="840"/>
      <c r="AJ24" s="840"/>
      <c r="AK24" s="840"/>
      <c r="AL24" s="840"/>
      <c r="AM24" s="840"/>
      <c r="AN24" s="840"/>
      <c r="AO24" s="840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42"/>
      <c r="BI24" s="842"/>
      <c r="BJ24" s="842"/>
      <c r="BK24" s="842"/>
      <c r="BL24" s="842"/>
      <c r="BM24" s="842"/>
      <c r="BN24" s="842"/>
      <c r="BO24" s="842"/>
      <c r="BP24" s="842"/>
      <c r="BQ24" s="842"/>
      <c r="BR24" s="842"/>
      <c r="BS24" s="842"/>
      <c r="BT24" s="842"/>
      <c r="BU24" s="842"/>
      <c r="BV24" s="841"/>
      <c r="BW24" s="841"/>
      <c r="BX24" s="841"/>
      <c r="BY24" s="841"/>
      <c r="BZ24" s="841"/>
      <c r="CA24" s="841"/>
      <c r="CB24" s="841"/>
      <c r="CC24" s="841"/>
      <c r="CD24" s="841"/>
      <c r="CE24" s="841"/>
      <c r="CF24" s="841"/>
      <c r="CG24" s="841"/>
      <c r="CH24" s="841"/>
      <c r="CI24" s="841"/>
      <c r="CJ24" s="841"/>
      <c r="CK24" s="841"/>
      <c r="CL24" s="841"/>
      <c r="CM24" s="841"/>
      <c r="CN24" s="841"/>
      <c r="CO24" s="841"/>
      <c r="CP24" s="841"/>
      <c r="CQ24" s="841"/>
      <c r="CR24" s="841"/>
      <c r="CS24" s="841"/>
      <c r="CT24" s="841"/>
      <c r="CU24" s="841"/>
      <c r="CV24" s="841"/>
      <c r="CW24" s="841"/>
      <c r="CX24" s="841"/>
      <c r="CY24" s="841"/>
      <c r="CZ24" s="841"/>
      <c r="DA24" s="841"/>
      <c r="DB24" s="841"/>
    </row>
    <row r="25" spans="1:112" ht="13.15" customHeight="1">
      <c r="A25" s="834"/>
      <c r="B25" s="834"/>
      <c r="C25" s="834"/>
      <c r="D25" s="834"/>
      <c r="E25" s="834"/>
      <c r="F25" s="834"/>
      <c r="G25" s="834"/>
      <c r="H25" s="834"/>
      <c r="I25" s="834"/>
      <c r="J25" s="840"/>
      <c r="K25" s="840"/>
      <c r="L25" s="840"/>
      <c r="M25" s="840"/>
      <c r="N25" s="840"/>
      <c r="O25" s="840"/>
      <c r="P25" s="840"/>
      <c r="Q25" s="840"/>
      <c r="R25" s="840"/>
      <c r="S25" s="840"/>
      <c r="T25" s="840"/>
      <c r="U25" s="840"/>
      <c r="V25" s="840"/>
      <c r="W25" s="840"/>
      <c r="X25" s="840"/>
      <c r="Y25" s="840"/>
      <c r="Z25" s="840"/>
      <c r="AA25" s="840"/>
      <c r="AB25" s="840"/>
      <c r="AC25" s="840"/>
      <c r="AD25" s="840"/>
      <c r="AE25" s="840"/>
      <c r="AF25" s="840"/>
      <c r="AG25" s="840"/>
      <c r="AH25" s="840"/>
      <c r="AI25" s="840"/>
      <c r="AJ25" s="840"/>
      <c r="AK25" s="840"/>
      <c r="AL25" s="840"/>
      <c r="AM25" s="840"/>
      <c r="AN25" s="840"/>
      <c r="AO25" s="840"/>
      <c r="AP25" s="842"/>
      <c r="AQ25" s="842"/>
      <c r="AR25" s="842"/>
      <c r="AS25" s="842"/>
      <c r="AT25" s="842"/>
      <c r="AU25" s="842"/>
      <c r="AV25" s="842"/>
      <c r="AW25" s="842"/>
      <c r="AX25" s="842"/>
      <c r="AY25" s="842"/>
      <c r="AZ25" s="842"/>
      <c r="BA25" s="842"/>
      <c r="BB25" s="842"/>
      <c r="BC25" s="842"/>
      <c r="BD25" s="842"/>
      <c r="BE25" s="842"/>
      <c r="BF25" s="842"/>
      <c r="BG25" s="842"/>
      <c r="BH25" s="842"/>
      <c r="BI25" s="842"/>
      <c r="BJ25" s="842"/>
      <c r="BK25" s="842"/>
      <c r="BL25" s="842"/>
      <c r="BM25" s="842"/>
      <c r="BN25" s="842"/>
      <c r="BO25" s="842"/>
      <c r="BP25" s="842"/>
      <c r="BQ25" s="842"/>
      <c r="BR25" s="842"/>
      <c r="BS25" s="842"/>
      <c r="BT25" s="842"/>
      <c r="BU25" s="842"/>
      <c r="BV25" s="841"/>
      <c r="BW25" s="841"/>
      <c r="BX25" s="841"/>
      <c r="BY25" s="841"/>
      <c r="BZ25" s="841"/>
      <c r="CA25" s="841"/>
      <c r="CB25" s="841"/>
      <c r="CC25" s="841"/>
      <c r="CD25" s="841"/>
      <c r="CE25" s="841"/>
      <c r="CF25" s="841"/>
      <c r="CG25" s="841"/>
      <c r="CH25" s="841"/>
      <c r="CI25" s="841"/>
      <c r="CJ25" s="841"/>
      <c r="CK25" s="841"/>
      <c r="CL25" s="841"/>
      <c r="CM25" s="841"/>
      <c r="CN25" s="841"/>
      <c r="CO25" s="841"/>
      <c r="CP25" s="841"/>
      <c r="CQ25" s="841"/>
      <c r="CR25" s="841"/>
      <c r="CS25" s="841"/>
      <c r="CT25" s="841"/>
      <c r="CU25" s="841"/>
      <c r="CV25" s="841"/>
      <c r="CW25" s="841"/>
      <c r="CX25" s="841"/>
      <c r="CY25" s="841"/>
      <c r="CZ25" s="841"/>
      <c r="DA25" s="841"/>
      <c r="DB25" s="841"/>
      <c r="DH25" s="155"/>
    </row>
    <row r="26" spans="1:112" ht="13.15" customHeight="1">
      <c r="A26" s="834"/>
      <c r="B26" s="834"/>
      <c r="C26" s="834"/>
      <c r="D26" s="834"/>
      <c r="E26" s="834"/>
      <c r="F26" s="834"/>
      <c r="G26" s="834"/>
      <c r="H26" s="834"/>
      <c r="I26" s="834"/>
      <c r="J26" s="840"/>
      <c r="K26" s="840"/>
      <c r="L26" s="840"/>
      <c r="M26" s="840"/>
      <c r="N26" s="840"/>
      <c r="O26" s="840"/>
      <c r="P26" s="840"/>
      <c r="Q26" s="840"/>
      <c r="R26" s="840"/>
      <c r="S26" s="840"/>
      <c r="T26" s="840"/>
      <c r="U26" s="840"/>
      <c r="V26" s="840"/>
      <c r="W26" s="840"/>
      <c r="X26" s="840"/>
      <c r="Y26" s="840"/>
      <c r="Z26" s="840"/>
      <c r="AA26" s="840"/>
      <c r="AB26" s="840"/>
      <c r="AC26" s="840"/>
      <c r="AD26" s="840"/>
      <c r="AE26" s="840"/>
      <c r="AF26" s="840"/>
      <c r="AG26" s="840"/>
      <c r="AH26" s="840"/>
      <c r="AI26" s="840"/>
      <c r="AJ26" s="840"/>
      <c r="AK26" s="840"/>
      <c r="AL26" s="840"/>
      <c r="AM26" s="840"/>
      <c r="AN26" s="840"/>
      <c r="AO26" s="840"/>
      <c r="AP26" s="842"/>
      <c r="AQ26" s="842"/>
      <c r="AR26" s="842"/>
      <c r="AS26" s="842"/>
      <c r="AT26" s="842"/>
      <c r="AU26" s="842"/>
      <c r="AV26" s="842"/>
      <c r="AW26" s="842"/>
      <c r="AX26" s="842"/>
      <c r="AY26" s="842"/>
      <c r="AZ26" s="842"/>
      <c r="BA26" s="842"/>
      <c r="BB26" s="842"/>
      <c r="BC26" s="842"/>
      <c r="BD26" s="842"/>
      <c r="BE26" s="842"/>
      <c r="BF26" s="842"/>
      <c r="BG26" s="842"/>
      <c r="BH26" s="842"/>
      <c r="BI26" s="842"/>
      <c r="BJ26" s="842"/>
      <c r="BK26" s="842"/>
      <c r="BL26" s="842"/>
      <c r="BM26" s="842"/>
      <c r="BN26" s="842"/>
      <c r="BO26" s="842"/>
      <c r="BP26" s="842"/>
      <c r="BQ26" s="842"/>
      <c r="BR26" s="842"/>
      <c r="BS26" s="842"/>
      <c r="BT26" s="842"/>
      <c r="BU26" s="842"/>
      <c r="BV26" s="841"/>
      <c r="BW26" s="841"/>
      <c r="BX26" s="841"/>
      <c r="BY26" s="841"/>
      <c r="BZ26" s="841"/>
      <c r="CA26" s="841"/>
      <c r="CB26" s="841"/>
      <c r="CC26" s="841"/>
      <c r="CD26" s="841"/>
      <c r="CE26" s="841"/>
      <c r="CF26" s="841"/>
      <c r="CG26" s="841"/>
      <c r="CH26" s="841"/>
      <c r="CI26" s="841"/>
      <c r="CJ26" s="841"/>
      <c r="CK26" s="841"/>
      <c r="CL26" s="841"/>
      <c r="CM26" s="841"/>
      <c r="CN26" s="841"/>
      <c r="CO26" s="841"/>
      <c r="CP26" s="841"/>
      <c r="CQ26" s="841"/>
      <c r="CR26" s="841"/>
      <c r="CS26" s="841"/>
      <c r="CT26" s="841"/>
      <c r="CU26" s="841"/>
      <c r="CV26" s="841"/>
      <c r="CW26" s="841"/>
      <c r="CX26" s="841"/>
      <c r="CY26" s="841"/>
      <c r="CZ26" s="841"/>
      <c r="DA26" s="841"/>
      <c r="DB26" s="841"/>
      <c r="DC26" s="576"/>
    </row>
    <row r="27" spans="1:112" ht="13.15" customHeight="1">
      <c r="A27" s="834"/>
      <c r="B27" s="834"/>
      <c r="C27" s="834"/>
      <c r="D27" s="834"/>
      <c r="E27" s="834"/>
      <c r="F27" s="834"/>
      <c r="G27" s="834"/>
      <c r="H27" s="834"/>
      <c r="I27" s="834"/>
      <c r="J27" s="840"/>
      <c r="K27" s="840"/>
      <c r="L27" s="840"/>
      <c r="M27" s="840"/>
      <c r="N27" s="840"/>
      <c r="O27" s="840"/>
      <c r="P27" s="840"/>
      <c r="Q27" s="840"/>
      <c r="R27" s="840"/>
      <c r="S27" s="840"/>
      <c r="T27" s="840"/>
      <c r="U27" s="840"/>
      <c r="V27" s="840"/>
      <c r="W27" s="840"/>
      <c r="X27" s="840"/>
      <c r="Y27" s="840"/>
      <c r="Z27" s="840"/>
      <c r="AA27" s="840"/>
      <c r="AB27" s="840"/>
      <c r="AC27" s="840"/>
      <c r="AD27" s="840"/>
      <c r="AE27" s="840"/>
      <c r="AF27" s="840"/>
      <c r="AG27" s="840"/>
      <c r="AH27" s="840"/>
      <c r="AI27" s="840"/>
      <c r="AJ27" s="840"/>
      <c r="AK27" s="840"/>
      <c r="AL27" s="840"/>
      <c r="AM27" s="840"/>
      <c r="AN27" s="840"/>
      <c r="AO27" s="840"/>
      <c r="AP27" s="842"/>
      <c r="AQ27" s="842"/>
      <c r="AR27" s="842"/>
      <c r="AS27" s="842"/>
      <c r="AT27" s="842"/>
      <c r="AU27" s="842"/>
      <c r="AV27" s="842"/>
      <c r="AW27" s="842"/>
      <c r="AX27" s="842"/>
      <c r="AY27" s="842"/>
      <c r="AZ27" s="842"/>
      <c r="BA27" s="842"/>
      <c r="BB27" s="842"/>
      <c r="BC27" s="842"/>
      <c r="BD27" s="842"/>
      <c r="BE27" s="842"/>
      <c r="BF27" s="842"/>
      <c r="BG27" s="842"/>
      <c r="BH27" s="842"/>
      <c r="BI27" s="842"/>
      <c r="BJ27" s="842"/>
      <c r="BK27" s="842"/>
      <c r="BL27" s="842"/>
      <c r="BM27" s="842"/>
      <c r="BN27" s="842"/>
      <c r="BO27" s="842"/>
      <c r="BP27" s="842"/>
      <c r="BQ27" s="842"/>
      <c r="BR27" s="842"/>
      <c r="BS27" s="842"/>
      <c r="BT27" s="842"/>
      <c r="BU27" s="842"/>
      <c r="BV27" s="841"/>
      <c r="BW27" s="841"/>
      <c r="BX27" s="841"/>
      <c r="BY27" s="841"/>
      <c r="BZ27" s="841"/>
      <c r="CA27" s="841"/>
      <c r="CB27" s="841"/>
      <c r="CC27" s="841"/>
      <c r="CD27" s="841"/>
      <c r="CE27" s="841"/>
      <c r="CF27" s="841"/>
      <c r="CG27" s="841"/>
      <c r="CH27" s="841"/>
      <c r="CI27" s="841"/>
      <c r="CJ27" s="841"/>
      <c r="CK27" s="841"/>
      <c r="CL27" s="841"/>
      <c r="CM27" s="841"/>
      <c r="CN27" s="841"/>
      <c r="CO27" s="841"/>
      <c r="CP27" s="841"/>
      <c r="CQ27" s="841"/>
      <c r="CR27" s="841"/>
      <c r="CS27" s="841"/>
      <c r="CT27" s="841"/>
      <c r="CU27" s="841"/>
      <c r="CV27" s="841"/>
      <c r="CW27" s="841"/>
      <c r="CX27" s="841"/>
      <c r="CY27" s="841"/>
      <c r="CZ27" s="841"/>
      <c r="DA27" s="841"/>
      <c r="DB27" s="841"/>
      <c r="DC27" s="576"/>
    </row>
    <row r="28" spans="1:112" ht="15" customHeight="1">
      <c r="A28" s="577">
        <v>1</v>
      </c>
      <c r="DC28" s="548" t="s">
        <v>1179</v>
      </c>
      <c r="DH28" s="159"/>
    </row>
    <row r="29" spans="1:112" ht="58.9" hidden="1" customHeight="1" outlineLevel="1">
      <c r="A29" s="843" t="s">
        <v>740</v>
      </c>
      <c r="B29" s="843"/>
      <c r="C29" s="843"/>
      <c r="D29" s="843"/>
      <c r="E29" s="843"/>
      <c r="F29" s="843"/>
      <c r="G29" s="843"/>
      <c r="H29" s="843"/>
      <c r="I29" s="843"/>
      <c r="J29" s="843"/>
      <c r="K29" s="843"/>
      <c r="L29" s="843"/>
      <c r="M29" s="843"/>
      <c r="N29" s="843"/>
      <c r="O29" s="843"/>
      <c r="P29" s="843"/>
      <c r="Q29" s="843"/>
      <c r="R29" s="843"/>
      <c r="S29" s="843"/>
      <c r="T29" s="843"/>
      <c r="U29" s="843"/>
      <c r="V29" s="843"/>
      <c r="W29" s="843"/>
      <c r="X29" s="843"/>
      <c r="Y29" s="843"/>
      <c r="Z29" s="843"/>
      <c r="AA29" s="843"/>
      <c r="AF29" s="772" t="str">
        <f>ПОДПИСИ!B5</f>
        <v>Начальник мастерского участка №1 Курортного РЭС ПАО «Россети Ленэнерго» «СЭС»</v>
      </c>
      <c r="AG29" s="772"/>
      <c r="AH29" s="772"/>
      <c r="AI29" s="772"/>
      <c r="AJ29" s="772"/>
      <c r="AK29" s="772"/>
      <c r="AL29" s="772"/>
      <c r="AM29" s="772"/>
      <c r="AN29" s="772"/>
      <c r="AO29" s="772"/>
      <c r="AP29" s="772"/>
      <c r="AQ29" s="772"/>
      <c r="AR29" s="772"/>
      <c r="AS29" s="772"/>
      <c r="AT29" s="772"/>
      <c r="AU29" s="772"/>
      <c r="AV29" s="772"/>
      <c r="AW29" s="772"/>
      <c r="AX29" s="772"/>
      <c r="AY29" s="772"/>
      <c r="AZ29" s="772"/>
      <c r="BA29" s="772"/>
      <c r="BB29" s="772"/>
      <c r="BC29" s="772"/>
      <c r="BD29" s="772"/>
      <c r="BE29" s="772"/>
      <c r="BF29" s="772"/>
      <c r="BG29" s="772"/>
      <c r="BH29" s="772"/>
      <c r="BI29" s="772"/>
      <c r="BJ29" s="772"/>
      <c r="BK29" s="23"/>
      <c r="BL29" s="23"/>
      <c r="BM29" s="23"/>
      <c r="BN29" s="23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23"/>
      <c r="CF29" s="23"/>
      <c r="CG29" s="23"/>
      <c r="CH29" s="23"/>
      <c r="CI29" s="758" t="str">
        <f>ПОДПИСИ!E5</f>
        <v>Д.М. Чечин</v>
      </c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4" hidden="1" outlineLevel="1">
      <c r="AF30" s="736" t="s">
        <v>48</v>
      </c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O30" s="736" t="s">
        <v>49</v>
      </c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I30" s="770" t="s">
        <v>50</v>
      </c>
      <c r="CJ30" s="770"/>
      <c r="CK30" s="770"/>
      <c r="CL30" s="770"/>
      <c r="CM30" s="770"/>
      <c r="CN30" s="770"/>
      <c r="CO30" s="770"/>
      <c r="CP30" s="770"/>
      <c r="CQ30" s="770"/>
      <c r="CR30" s="770"/>
      <c r="CS30" s="770"/>
      <c r="CT30" s="770"/>
      <c r="CU30" s="770"/>
      <c r="CV30" s="770"/>
      <c r="CW30" s="770"/>
      <c r="CX30" s="770"/>
      <c r="CY30" s="770"/>
      <c r="CZ30" s="770"/>
      <c r="DA30" s="770"/>
      <c r="DB30" s="770"/>
      <c r="DC30" s="548">
        <f>IF(DC29=1,1,0)</f>
        <v>0</v>
      </c>
      <c r="DH30" s="242"/>
    </row>
    <row r="31" spans="1:112" ht="58.9" hidden="1" customHeight="1" outlineLevel="1">
      <c r="A31" s="843" t="s">
        <v>740</v>
      </c>
      <c r="B31" s="843"/>
      <c r="C31" s="843"/>
      <c r="D31" s="843"/>
      <c r="E31" s="843"/>
      <c r="F31" s="843"/>
      <c r="G31" s="843"/>
      <c r="H31" s="843"/>
      <c r="I31" s="843"/>
      <c r="J31" s="843"/>
      <c r="K31" s="843"/>
      <c r="L31" s="843"/>
      <c r="M31" s="843"/>
      <c r="N31" s="843"/>
      <c r="O31" s="843"/>
      <c r="P31" s="843"/>
      <c r="Q31" s="843"/>
      <c r="R31" s="843"/>
      <c r="S31" s="843"/>
      <c r="T31" s="843"/>
      <c r="U31" s="843"/>
      <c r="V31" s="843"/>
      <c r="W31" s="843"/>
      <c r="X31" s="843"/>
      <c r="Y31" s="843"/>
      <c r="Z31" s="843"/>
      <c r="AA31" s="843"/>
      <c r="AF31" s="772" t="str">
        <f>ПОДПИСИ!B6</f>
        <v>Начальник мастерского участка №1 Курортного РЭС ПАО «Россети Ленэнерго» «СЭС»</v>
      </c>
      <c r="AG31" s="772"/>
      <c r="AH31" s="772"/>
      <c r="AI31" s="772"/>
      <c r="AJ31" s="772"/>
      <c r="AK31" s="772"/>
      <c r="AL31" s="772"/>
      <c r="AM31" s="772"/>
      <c r="AN31" s="772"/>
      <c r="AO31" s="772"/>
      <c r="AP31" s="772"/>
      <c r="AQ31" s="772"/>
      <c r="AR31" s="772"/>
      <c r="AS31" s="772"/>
      <c r="AT31" s="772"/>
      <c r="AU31" s="772"/>
      <c r="AV31" s="772"/>
      <c r="AW31" s="772"/>
      <c r="AX31" s="772"/>
      <c r="AY31" s="772"/>
      <c r="AZ31" s="772"/>
      <c r="BA31" s="772"/>
      <c r="BB31" s="772"/>
      <c r="BC31" s="772"/>
      <c r="BD31" s="772"/>
      <c r="BE31" s="772"/>
      <c r="BF31" s="772"/>
      <c r="BG31" s="772"/>
      <c r="BH31" s="772"/>
      <c r="BI31" s="772"/>
      <c r="BJ31" s="772"/>
      <c r="BK31" s="23"/>
      <c r="BL31" s="23"/>
      <c r="BM31" s="23"/>
      <c r="BN31" s="23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23"/>
      <c r="CF31" s="23"/>
      <c r="CG31" s="23"/>
      <c r="CH31" s="23"/>
      <c r="CI31" s="758" t="str">
        <f>ПОДПИСИ!E6</f>
        <v>Д.М. Чечин</v>
      </c>
      <c r="CJ31" s="758"/>
      <c r="CK31" s="758"/>
      <c r="CL31" s="758"/>
      <c r="CM31" s="758"/>
      <c r="CN31" s="758"/>
      <c r="CO31" s="758"/>
      <c r="CP31" s="758"/>
      <c r="CQ31" s="758"/>
      <c r="CR31" s="758"/>
      <c r="CS31" s="758"/>
      <c r="CT31" s="758"/>
      <c r="CU31" s="758"/>
      <c r="CV31" s="758"/>
      <c r="CW31" s="758"/>
      <c r="CX31" s="758"/>
      <c r="CY31" s="758"/>
      <c r="CZ31" s="758"/>
      <c r="DA31" s="758"/>
      <c r="DB31" s="758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4" hidden="1" outlineLevel="1">
      <c r="AF32" s="736" t="s">
        <v>48</v>
      </c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6"/>
      <c r="AR32" s="736"/>
      <c r="AS32" s="736"/>
      <c r="AT32" s="736"/>
      <c r="AU32" s="736"/>
      <c r="AV32" s="736"/>
      <c r="AW32" s="736"/>
      <c r="AX32" s="736"/>
      <c r="AY32" s="736"/>
      <c r="AZ32" s="736"/>
      <c r="BA32" s="736"/>
      <c r="BB32" s="736"/>
      <c r="BC32" s="736"/>
      <c r="BD32" s="736"/>
      <c r="BE32" s="736"/>
      <c r="BF32" s="736"/>
      <c r="BG32" s="736"/>
      <c r="BH32" s="736"/>
      <c r="BI32" s="736"/>
      <c r="BJ32" s="736"/>
      <c r="BO32" s="736" t="s">
        <v>49</v>
      </c>
      <c r="BP32" s="736"/>
      <c r="BQ32" s="736"/>
      <c r="BR32" s="736"/>
      <c r="BS32" s="736"/>
      <c r="BT32" s="736"/>
      <c r="BU32" s="736"/>
      <c r="BV32" s="736"/>
      <c r="BW32" s="736"/>
      <c r="BX32" s="736"/>
      <c r="BY32" s="736"/>
      <c r="BZ32" s="736"/>
      <c r="CA32" s="736"/>
      <c r="CB32" s="736"/>
      <c r="CC32" s="736"/>
      <c r="CD32" s="736"/>
      <c r="CI32" s="770" t="s">
        <v>50</v>
      </c>
      <c r="CJ32" s="770"/>
      <c r="CK32" s="770"/>
      <c r="CL32" s="770"/>
      <c r="CM32" s="770"/>
      <c r="CN32" s="770"/>
      <c r="CO32" s="770"/>
      <c r="CP32" s="770"/>
      <c r="CQ32" s="770"/>
      <c r="CR32" s="770"/>
      <c r="CS32" s="770"/>
      <c r="CT32" s="770"/>
      <c r="CU32" s="770"/>
      <c r="CV32" s="770"/>
      <c r="CW32" s="770"/>
      <c r="CX32" s="770"/>
      <c r="CY32" s="770"/>
      <c r="CZ32" s="770"/>
      <c r="DA32" s="770"/>
      <c r="DB32" s="770"/>
      <c r="DC32" s="548">
        <f>IF(DC31=1,1,0)</f>
        <v>0</v>
      </c>
      <c r="DH32" s="242"/>
    </row>
    <row r="33" spans="1:112" ht="58.9" customHeight="1" collapsed="1">
      <c r="A33" s="843" t="s">
        <v>740</v>
      </c>
      <c r="B33" s="843"/>
      <c r="C33" s="843"/>
      <c r="D33" s="843"/>
      <c r="E33" s="843"/>
      <c r="F33" s="843"/>
      <c r="G33" s="843"/>
      <c r="H33" s="843"/>
      <c r="I33" s="843"/>
      <c r="J33" s="843"/>
      <c r="K33" s="843"/>
      <c r="L33" s="843"/>
      <c r="M33" s="843"/>
      <c r="N33" s="843"/>
      <c r="O33" s="843"/>
      <c r="P33" s="843"/>
      <c r="Q33" s="843"/>
      <c r="R33" s="843"/>
      <c r="S33" s="843"/>
      <c r="T33" s="843"/>
      <c r="U33" s="843"/>
      <c r="V33" s="843"/>
      <c r="W33" s="843"/>
      <c r="X33" s="843"/>
      <c r="Y33" s="843"/>
      <c r="Z33" s="843"/>
      <c r="AA33" s="843"/>
      <c r="AF33" s="772" t="str">
        <f>ПОДПИСИ!B7</f>
        <v>Начальник мастерского участка №1 Курортного РЭС ПАО «Россети Ленэнерго» «СЭС»</v>
      </c>
      <c r="AG33" s="772"/>
      <c r="AH33" s="772"/>
      <c r="AI33" s="772"/>
      <c r="AJ33" s="772"/>
      <c r="AK33" s="772"/>
      <c r="AL33" s="772"/>
      <c r="AM33" s="772"/>
      <c r="AN33" s="772"/>
      <c r="AO33" s="772"/>
      <c r="AP33" s="772"/>
      <c r="AQ33" s="772"/>
      <c r="AR33" s="772"/>
      <c r="AS33" s="772"/>
      <c r="AT33" s="772"/>
      <c r="AU33" s="772"/>
      <c r="AV33" s="772"/>
      <c r="AW33" s="772"/>
      <c r="AX33" s="772"/>
      <c r="AY33" s="772"/>
      <c r="AZ33" s="772"/>
      <c r="BA33" s="772"/>
      <c r="BB33" s="772"/>
      <c r="BC33" s="772"/>
      <c r="BD33" s="772"/>
      <c r="BE33" s="772"/>
      <c r="BF33" s="772"/>
      <c r="BG33" s="772"/>
      <c r="BH33" s="772"/>
      <c r="BI33" s="772"/>
      <c r="BJ33" s="772"/>
      <c r="BK33" s="23"/>
      <c r="BL33" s="23"/>
      <c r="BM33" s="23"/>
      <c r="BN33" s="23"/>
      <c r="BO33" s="758"/>
      <c r="BP33" s="758"/>
      <c r="BQ33" s="758"/>
      <c r="BR33" s="758"/>
      <c r="BS33" s="758"/>
      <c r="BT33" s="758"/>
      <c r="BU33" s="758"/>
      <c r="BV33" s="758"/>
      <c r="BW33" s="758"/>
      <c r="BX33" s="758"/>
      <c r="BY33" s="758"/>
      <c r="BZ33" s="758"/>
      <c r="CA33" s="758"/>
      <c r="CB33" s="758"/>
      <c r="CC33" s="758"/>
      <c r="CD33" s="758"/>
      <c r="CE33" s="23"/>
      <c r="CF33" s="23"/>
      <c r="CG33" s="23"/>
      <c r="CH33" s="23"/>
      <c r="CI33" s="758" t="str">
        <f>ПОДПИСИ!E7</f>
        <v>Д.М. Чечин</v>
      </c>
      <c r="CJ33" s="758"/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t="14">
      <c r="AF34" s="736" t="s">
        <v>48</v>
      </c>
      <c r="AG34" s="736"/>
      <c r="AH34" s="736"/>
      <c r="AI34" s="736"/>
      <c r="AJ34" s="736"/>
      <c r="AK34" s="736"/>
      <c r="AL34" s="736"/>
      <c r="AM34" s="736"/>
      <c r="AN34" s="736"/>
      <c r="AO34" s="736"/>
      <c r="AP34" s="736"/>
      <c r="AQ34" s="736"/>
      <c r="AR34" s="736"/>
      <c r="AS34" s="736"/>
      <c r="AT34" s="736"/>
      <c r="AU34" s="736"/>
      <c r="AV34" s="736"/>
      <c r="AW34" s="736"/>
      <c r="AX34" s="736"/>
      <c r="AY34" s="736"/>
      <c r="AZ34" s="736"/>
      <c r="BA34" s="736"/>
      <c r="BB34" s="736"/>
      <c r="BC34" s="736"/>
      <c r="BD34" s="736"/>
      <c r="BE34" s="736"/>
      <c r="BF34" s="736"/>
      <c r="BG34" s="736"/>
      <c r="BH34" s="736"/>
      <c r="BI34" s="736"/>
      <c r="BJ34" s="736"/>
      <c r="BO34" s="736" t="s">
        <v>49</v>
      </c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I34" s="770" t="s">
        <v>50</v>
      </c>
      <c r="CJ34" s="770"/>
      <c r="CK34" s="770"/>
      <c r="CL34" s="770"/>
      <c r="CM34" s="770"/>
      <c r="CN34" s="770"/>
      <c r="CO34" s="770"/>
      <c r="CP34" s="770"/>
      <c r="CQ34" s="770"/>
      <c r="CR34" s="770"/>
      <c r="CS34" s="770"/>
      <c r="CT34" s="770"/>
      <c r="CU34" s="770"/>
      <c r="CV34" s="770"/>
      <c r="CW34" s="770"/>
      <c r="CX34" s="770"/>
      <c r="CY34" s="770"/>
      <c r="CZ34" s="770"/>
      <c r="DA34" s="770"/>
      <c r="DB34" s="770"/>
      <c r="DC34" s="548">
        <f>IF(DC33=1,1,0)</f>
        <v>1</v>
      </c>
      <c r="DH34" s="242"/>
    </row>
    <row r="35" spans="1:112" ht="40.15" customHeight="1">
      <c r="A35" s="843" t="s">
        <v>251</v>
      </c>
      <c r="B35" s="843"/>
      <c r="C35" s="843"/>
      <c r="D35" s="843"/>
      <c r="E35" s="843"/>
      <c r="F35" s="843"/>
      <c r="G35" s="843"/>
      <c r="H35" s="843"/>
      <c r="I35" s="843"/>
      <c r="J35" s="843"/>
      <c r="K35" s="843"/>
      <c r="L35" s="843"/>
      <c r="M35" s="843"/>
      <c r="N35" s="843"/>
      <c r="O35" s="843"/>
      <c r="P35" s="843"/>
      <c r="Q35" s="843"/>
      <c r="R35" s="843"/>
      <c r="S35" s="843"/>
      <c r="T35" s="843"/>
      <c r="U35" s="843"/>
      <c r="V35" s="843"/>
      <c r="W35" s="843"/>
      <c r="X35" s="843"/>
      <c r="Y35" s="843"/>
      <c r="Z35" s="843"/>
      <c r="AA35" s="843"/>
      <c r="AF35" s="772" t="str">
        <f>ПОДПИСИ!B15</f>
        <v xml:space="preserve">Заместитель генерального директора ООО «БЭСК» </v>
      </c>
      <c r="AG35" s="772"/>
      <c r="AH35" s="772"/>
      <c r="AI35" s="772"/>
      <c r="AJ35" s="772"/>
      <c r="AK35" s="772"/>
      <c r="AL35" s="772"/>
      <c r="AM35" s="772"/>
      <c r="AN35" s="772"/>
      <c r="AO35" s="772"/>
      <c r="AP35" s="772"/>
      <c r="AQ35" s="772"/>
      <c r="AR35" s="772"/>
      <c r="AS35" s="772"/>
      <c r="AT35" s="772"/>
      <c r="AU35" s="772"/>
      <c r="AV35" s="772"/>
      <c r="AW35" s="772"/>
      <c r="AX35" s="772"/>
      <c r="AY35" s="772"/>
      <c r="AZ35" s="772"/>
      <c r="BA35" s="772"/>
      <c r="BB35" s="772"/>
      <c r="BC35" s="772"/>
      <c r="BD35" s="772"/>
      <c r="BE35" s="772"/>
      <c r="BF35" s="772"/>
      <c r="BG35" s="772"/>
      <c r="BH35" s="772"/>
      <c r="BI35" s="772"/>
      <c r="BJ35" s="772"/>
      <c r="BK35" s="23"/>
      <c r="BL35" s="23"/>
      <c r="BM35" s="23"/>
      <c r="BN35" s="23"/>
      <c r="BO35" s="758"/>
      <c r="BP35" s="758"/>
      <c r="BQ35" s="758"/>
      <c r="BR35" s="758"/>
      <c r="BS35" s="758"/>
      <c r="BT35" s="758"/>
      <c r="BU35" s="758"/>
      <c r="BV35" s="758"/>
      <c r="BW35" s="758"/>
      <c r="BX35" s="758"/>
      <c r="BY35" s="758"/>
      <c r="BZ35" s="758"/>
      <c r="CA35" s="758"/>
      <c r="CB35" s="758"/>
      <c r="CC35" s="758"/>
      <c r="CD35" s="758"/>
      <c r="CE35" s="23"/>
      <c r="CF35" s="23"/>
      <c r="CG35" s="23"/>
      <c r="CH35" s="23"/>
      <c r="CI35" s="758" t="str">
        <f>ПОДПИСИ!E15</f>
        <v>А.С. Матвеев</v>
      </c>
      <c r="CJ35" s="758"/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36" t="s">
        <v>48</v>
      </c>
      <c r="AG36" s="736"/>
      <c r="AH36" s="736"/>
      <c r="AI36" s="736"/>
      <c r="AJ36" s="736"/>
      <c r="AK36" s="736"/>
      <c r="AL36" s="736"/>
      <c r="AM36" s="736"/>
      <c r="AN36" s="736"/>
      <c r="AO36" s="736"/>
      <c r="AP36" s="736"/>
      <c r="AQ36" s="736"/>
      <c r="AR36" s="736"/>
      <c r="AS36" s="736"/>
      <c r="AT36" s="736"/>
      <c r="AU36" s="736"/>
      <c r="AV36" s="736"/>
      <c r="AW36" s="736"/>
      <c r="AX36" s="736"/>
      <c r="AY36" s="736"/>
      <c r="AZ36" s="736"/>
      <c r="BA36" s="736"/>
      <c r="BB36" s="736"/>
      <c r="BC36" s="736"/>
      <c r="BD36" s="736"/>
      <c r="BE36" s="736"/>
      <c r="BF36" s="736"/>
      <c r="BG36" s="736"/>
      <c r="BH36" s="736"/>
      <c r="BI36" s="736"/>
      <c r="BJ36" s="736"/>
      <c r="BK36" s="21"/>
      <c r="BL36" s="21"/>
      <c r="BM36" s="21"/>
      <c r="BN36" s="21"/>
      <c r="BO36" s="736" t="s">
        <v>49</v>
      </c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1"/>
      <c r="CF36" s="21"/>
      <c r="CG36" s="21"/>
      <c r="CH36" s="21"/>
      <c r="CI36" s="770" t="s">
        <v>50</v>
      </c>
      <c r="CJ36" s="770"/>
      <c r="CK36" s="770"/>
      <c r="CL36" s="770"/>
      <c r="CM36" s="770"/>
      <c r="CN36" s="770"/>
      <c r="CO36" s="770"/>
      <c r="CP36" s="770"/>
      <c r="CQ36" s="770"/>
      <c r="CR36" s="770"/>
      <c r="CS36" s="770"/>
      <c r="CT36" s="770"/>
      <c r="CU36" s="770"/>
      <c r="CV36" s="770"/>
      <c r="CW36" s="770"/>
      <c r="CX36" s="770"/>
      <c r="CY36" s="770"/>
      <c r="CZ36" s="770"/>
      <c r="DA36" s="770"/>
      <c r="DB36" s="770"/>
    </row>
    <row r="37" spans="1:112" ht="13.9" customHeight="1">
      <c r="DH37" s="155"/>
    </row>
    <row r="38" spans="1:112" ht="42.65" customHeight="1">
      <c r="A38" s="843" t="s">
        <v>709</v>
      </c>
      <c r="B38" s="843"/>
      <c r="C38" s="843"/>
      <c r="D38" s="843"/>
      <c r="E38" s="843"/>
      <c r="F38" s="843"/>
      <c r="G38" s="843"/>
      <c r="H38" s="843"/>
      <c r="I38" s="843"/>
      <c r="J38" s="843"/>
      <c r="K38" s="843"/>
      <c r="L38" s="843"/>
      <c r="M38" s="843"/>
      <c r="N38" s="843"/>
      <c r="O38" s="843"/>
      <c r="P38" s="843"/>
      <c r="Q38" s="843"/>
      <c r="R38" s="843"/>
      <c r="S38" s="843"/>
      <c r="T38" s="843"/>
      <c r="U38" s="843"/>
      <c r="V38" s="843"/>
      <c r="W38" s="843"/>
      <c r="X38" s="843"/>
      <c r="Y38" s="843"/>
      <c r="Z38" s="843"/>
      <c r="AA38" s="843"/>
      <c r="AF38" s="772" t="str">
        <f>IF(ПОДПИСИ!B12=0," ",ПОДПИСИ!B12)</f>
        <v xml:space="preserve">Производитель работ ООО«БЭСК» </v>
      </c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23"/>
      <c r="BL38" s="23"/>
      <c r="BM38" s="23"/>
      <c r="BN38" s="23"/>
      <c r="BO38" s="758"/>
      <c r="BP38" s="758"/>
      <c r="BQ38" s="758"/>
      <c r="BR38" s="758"/>
      <c r="BS38" s="758"/>
      <c r="BT38" s="758"/>
      <c r="BU38" s="758"/>
      <c r="BV38" s="758"/>
      <c r="BW38" s="758"/>
      <c r="BX38" s="758"/>
      <c r="BY38" s="758"/>
      <c r="BZ38" s="758"/>
      <c r="CA38" s="758"/>
      <c r="CB38" s="758"/>
      <c r="CC38" s="758"/>
      <c r="CD38" s="758"/>
      <c r="CE38" s="23"/>
      <c r="CF38" s="23"/>
      <c r="CG38" s="23"/>
      <c r="CH38" s="23"/>
      <c r="CI38" s="758" t="str">
        <f>IF(ПОДПИСИ!E12=0," ",ПОДПИСИ!E12)</f>
        <v>А.Р. Махмадов</v>
      </c>
      <c r="CJ38" s="758"/>
      <c r="CK38" s="758"/>
      <c r="CL38" s="758"/>
      <c r="CM38" s="758"/>
      <c r="CN38" s="758"/>
      <c r="CO38" s="758"/>
      <c r="CP38" s="758"/>
      <c r="CQ38" s="758"/>
      <c r="CR38" s="758"/>
      <c r="CS38" s="758"/>
      <c r="CT38" s="758"/>
      <c r="CU38" s="758"/>
      <c r="CV38" s="758"/>
      <c r="CW38" s="758"/>
      <c r="CX38" s="758"/>
      <c r="CY38" s="758"/>
      <c r="CZ38" s="758"/>
      <c r="DA38" s="758"/>
      <c r="DB38" s="758"/>
      <c r="DH38" s="155"/>
    </row>
    <row r="39" spans="1:112" ht="14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36" t="s">
        <v>48</v>
      </c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21"/>
      <c r="BL39" s="21"/>
      <c r="BM39" s="21"/>
      <c r="BN39" s="21"/>
      <c r="BO39" s="736" t="s">
        <v>49</v>
      </c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21"/>
      <c r="CF39" s="21"/>
      <c r="CG39" s="21"/>
      <c r="CH39" s="21"/>
      <c r="CI39" s="770" t="s">
        <v>50</v>
      </c>
      <c r="CJ39" s="770"/>
      <c r="CK39" s="770"/>
      <c r="CL39" s="770"/>
      <c r="CM39" s="770"/>
      <c r="CN39" s="770"/>
      <c r="CO39" s="770"/>
      <c r="CP39" s="770"/>
      <c r="CQ39" s="770"/>
      <c r="CR39" s="770"/>
      <c r="CS39" s="770"/>
      <c r="CT39" s="770"/>
      <c r="CU39" s="770"/>
      <c r="CV39" s="770"/>
      <c r="CW39" s="770"/>
      <c r="CX39" s="770"/>
      <c r="CY39" s="770"/>
      <c r="CZ39" s="770"/>
      <c r="DA39" s="770"/>
      <c r="DB39" s="770"/>
      <c r="DH39" s="155"/>
    </row>
    <row r="40" spans="1:112" ht="13.9" customHeight="1">
      <c r="DH40" s="155"/>
    </row>
    <row r="41" spans="1:112" ht="14">
      <c r="DH41" s="155"/>
    </row>
    <row r="43" spans="1:112" ht="13.9" customHeight="1">
      <c r="DH43" s="155"/>
    </row>
    <row r="44" spans="1:112" ht="14">
      <c r="DH44" s="160"/>
    </row>
    <row r="45" spans="1:112" ht="14">
      <c r="DH45" s="155"/>
    </row>
    <row r="46" spans="1:112" ht="14">
      <c r="DH46" s="161"/>
    </row>
    <row r="47" spans="1:112" ht="14">
      <c r="DH47" s="155"/>
    </row>
    <row r="48" spans="1:112" ht="14">
      <c r="DH48" s="162"/>
    </row>
    <row r="49" spans="112:112" ht="14">
      <c r="DH49" s="155"/>
    </row>
    <row r="50" spans="112:112" ht="14">
      <c r="DH50" s="161"/>
    </row>
    <row r="51" spans="112:112" ht="14">
      <c r="DH51" s="155"/>
    </row>
    <row r="52" spans="112:112" ht="14">
      <c r="DH52" s="160"/>
    </row>
    <row r="53" spans="112:112" ht="14">
      <c r="DH53" s="155"/>
    </row>
    <row r="54" spans="112:112" ht="14">
      <c r="DH54" s="160"/>
    </row>
    <row r="55" spans="112:112" ht="14">
      <c r="DH55" s="155"/>
    </row>
    <row r="57" spans="112:112" ht="14">
      <c r="DH57" s="155"/>
    </row>
    <row r="59" spans="112:112" ht="14">
      <c r="DH59" s="155"/>
    </row>
    <row r="60" spans="112:112" ht="14">
      <c r="DH60" s="155"/>
    </row>
    <row r="62" spans="112:112" ht="14">
      <c r="DH62" s="155"/>
    </row>
    <row r="63" spans="112:112" ht="14">
      <c r="DH63" s="155"/>
    </row>
    <row r="64" spans="112:112" ht="14">
      <c r="DH64" s="155"/>
    </row>
    <row r="65" spans="112:112" ht="14">
      <c r="DH65" s="155"/>
    </row>
    <row r="66" spans="112:112" ht="14">
      <c r="DH66" s="155"/>
    </row>
    <row r="67" spans="112:112" ht="14">
      <c r="DH67" s="155"/>
    </row>
    <row r="68" spans="112:112" ht="14">
      <c r="DH68" s="155"/>
    </row>
    <row r="69" spans="112:112" ht="14">
      <c r="DH69" s="155"/>
    </row>
    <row r="70" spans="112:112" ht="14">
      <c r="DH70" s="155"/>
    </row>
    <row r="71" spans="112:112" ht="14">
      <c r="DH71" s="155"/>
    </row>
    <row r="72" spans="112:112" ht="14">
      <c r="DH72" s="155"/>
    </row>
    <row r="73" spans="112:112" ht="14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53" priority="8" operator="equal">
      <formula>0</formula>
    </cfRule>
  </conditionalFormatting>
  <conditionalFormatting sqref="AU5:BA12">
    <cfRule type="cellIs" dxfId="152" priority="7" operator="equal">
      <formula>0</formula>
    </cfRule>
  </conditionalFormatting>
  <conditionalFormatting sqref="CI29:DB29">
    <cfRule type="cellIs" dxfId="151" priority="9" operator="equal">
      <formula>0</formula>
    </cfRule>
  </conditionalFormatting>
  <conditionalFormatting sqref="CI31:DB31">
    <cfRule type="cellIs" dxfId="150" priority="2" operator="equal">
      <formula>0</formula>
    </cfRule>
  </conditionalFormatting>
  <conditionalFormatting sqref="CI33:DB33">
    <cfRule type="cellIs" dxfId="149" priority="1" operator="equal">
      <formula>0</formula>
    </cfRule>
  </conditionalFormatting>
  <conditionalFormatting sqref="CI35:DB35">
    <cfRule type="cellIs" dxfId="148" priority="4" operator="equal">
      <formula>0</formula>
    </cfRule>
  </conditionalFormatting>
  <conditionalFormatting sqref="CI38:DB38">
    <cfRule type="cellIs" dxfId="147" priority="3" operator="equal">
      <formula>0</formula>
    </cfRule>
  </conditionalFormatting>
  <conditionalFormatting sqref="DH2:DH7">
    <cfRule type="cellIs" dxfId="146" priority="6" operator="equal">
      <formula>0</formula>
    </cfRule>
  </conditionalFormatting>
  <conditionalFormatting sqref="DH9">
    <cfRule type="cellIs" dxfId="14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92D050"/>
  </sheetPr>
  <dimension ref="A1:BI147"/>
  <sheetViews>
    <sheetView view="pageBreakPreview" topLeftCell="A59" zoomScale="60" zoomScaleNormal="100" workbookViewId="0">
      <selection activeCell="H65" sqref="H65:I65"/>
    </sheetView>
  </sheetViews>
  <sheetFormatPr defaultColWidth="9.1796875" defaultRowHeight="14.5" outlineLevelRow="1"/>
  <cols>
    <col min="1" max="1" width="6.26953125" style="19" customWidth="1"/>
    <col min="2" max="2" width="34.54296875" style="19" customWidth="1"/>
    <col min="3" max="3" width="1" style="19" customWidth="1"/>
    <col min="4" max="4" width="11.453125" style="19" customWidth="1"/>
    <col min="5" max="5" width="7.1796875" style="19" customWidth="1"/>
    <col min="6" max="6" width="6.7265625" style="19" customWidth="1"/>
    <col min="7" max="7" width="9.26953125" style="19" customWidth="1"/>
    <col min="8" max="9" width="6.26953125" style="19" customWidth="1"/>
    <col min="10" max="10" width="16.81640625" style="19" customWidth="1"/>
    <col min="11" max="11" width="9.1796875" style="19"/>
    <col min="12" max="12" width="2.26953125" style="19" customWidth="1"/>
    <col min="13" max="13" width="5.453125" style="19" customWidth="1"/>
    <col min="14" max="15" width="15.7265625" style="19" customWidth="1"/>
    <col min="16" max="16" width="9.1796875" style="19"/>
    <col min="17" max="17" width="53.7265625" style="158" customWidth="1"/>
    <col min="18" max="16384" width="9.1796875" style="19"/>
  </cols>
  <sheetData>
    <row r="1" spans="1:61" outlineLevel="1">
      <c r="A1" s="771"/>
      <c r="B1" s="771"/>
      <c r="C1" s="771"/>
      <c r="J1" s="20" t="s">
        <v>58</v>
      </c>
      <c r="K1" s="885">
        <v>0</v>
      </c>
      <c r="L1" s="885"/>
      <c r="M1"/>
      <c r="N1"/>
      <c r="O1"/>
      <c r="Q1" s="155"/>
    </row>
    <row r="2" spans="1:61" outlineLevel="1">
      <c r="A2" s="771"/>
      <c r="B2" s="771"/>
      <c r="C2" s="771"/>
      <c r="J2" s="58" t="s">
        <v>35</v>
      </c>
      <c r="K2" s="815">
        <v>0</v>
      </c>
      <c r="L2" s="815"/>
      <c r="M2" s="880"/>
      <c r="N2" s="880"/>
      <c r="O2"/>
      <c r="Q2" s="144"/>
    </row>
    <row r="3" spans="1:61" ht="14" outlineLevel="1">
      <c r="A3" s="771"/>
      <c r="B3" s="771"/>
      <c r="C3" s="771"/>
      <c r="J3" s="58" t="s">
        <v>56</v>
      </c>
      <c r="Q3" s="156"/>
    </row>
    <row r="4" spans="1:61" ht="14" outlineLevel="1">
      <c r="A4" s="771"/>
      <c r="B4" s="771"/>
      <c r="C4" s="771"/>
      <c r="I4" s="844">
        <f>ФОРМА!B13</f>
        <v>45625</v>
      </c>
      <c r="J4" s="884"/>
      <c r="Q4" s="144"/>
    </row>
    <row r="5" spans="1:61" ht="15.75" customHeight="1" outlineLevel="1">
      <c r="A5" s="771"/>
      <c r="B5" s="771"/>
      <c r="C5" s="771"/>
      <c r="D5" s="23"/>
      <c r="E5" s="758" t="s">
        <v>71</v>
      </c>
      <c r="F5" s="758"/>
      <c r="G5" s="758"/>
      <c r="H5" s="758"/>
      <c r="I5" s="758"/>
      <c r="J5" s="758"/>
      <c r="Q5" s="156"/>
    </row>
    <row r="6" spans="1:61" s="50" customFormat="1" ht="15" customHeight="1" outlineLevel="1">
      <c r="A6" s="770"/>
      <c r="B6" s="770"/>
      <c r="C6" s="770"/>
      <c r="D6" s="21"/>
      <c r="E6" s="736" t="s">
        <v>0</v>
      </c>
      <c r="F6" s="736"/>
      <c r="G6" s="736"/>
      <c r="H6" s="736"/>
      <c r="I6" s="736"/>
      <c r="J6" s="736"/>
      <c r="Q6" s="144"/>
    </row>
    <row r="7" spans="1:61" ht="14" outlineLevel="1">
      <c r="A7" s="758" t="str">
        <f>ФОРМА!B4</f>
        <v>ООО «БЭСК»</v>
      </c>
      <c r="B7" s="758"/>
      <c r="C7" s="758"/>
      <c r="D7" s="23"/>
      <c r="E7" s="772" t="str">
        <f>ФОРМА!B2</f>
        <v>ПАО "Россети Ленэнерго"</v>
      </c>
      <c r="F7" s="772"/>
      <c r="G7" s="772"/>
      <c r="H7" s="772"/>
      <c r="I7" s="772"/>
      <c r="J7" s="772"/>
      <c r="Q7" s="156" t="str">
        <f>E7</f>
        <v>ПАО "Россети Ленэнерго"</v>
      </c>
    </row>
    <row r="8" spans="1:61" ht="15" customHeight="1" outlineLevel="1">
      <c r="A8" s="736" t="s">
        <v>44</v>
      </c>
      <c r="B8" s="736"/>
      <c r="C8" s="736"/>
      <c r="D8" s="21"/>
      <c r="E8" s="736" t="s">
        <v>2</v>
      </c>
      <c r="F8" s="736"/>
      <c r="G8" s="736"/>
      <c r="H8" s="736"/>
      <c r="I8" s="736"/>
      <c r="J8" s="736"/>
      <c r="Q8" s="154"/>
    </row>
    <row r="9" spans="1:61" ht="113.5" customHeight="1" outlineLevel="1">
      <c r="A9" s="758"/>
      <c r="B9" s="758"/>
      <c r="C9" s="758"/>
      <c r="D9" s="23"/>
      <c r="E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2"/>
      <c r="G9" s="772"/>
      <c r="H9" s="772"/>
      <c r="I9" s="772"/>
      <c r="J9" s="77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36" t="s">
        <v>45</v>
      </c>
      <c r="B10" s="736"/>
      <c r="C10" s="736"/>
      <c r="D10" s="21"/>
      <c r="E10" s="770" t="s">
        <v>38</v>
      </c>
      <c r="F10" s="770"/>
      <c r="G10" s="770"/>
      <c r="H10" s="770"/>
      <c r="I10" s="770"/>
      <c r="J10" s="770"/>
    </row>
    <row r="11" spans="1:61" ht="14" outlineLevel="1">
      <c r="A11" s="758"/>
      <c r="B11" s="758"/>
      <c r="C11" s="758"/>
      <c r="D11" s="23"/>
      <c r="E11" s="735">
        <f>ФОРМА!B13</f>
        <v>45625</v>
      </c>
      <c r="F11" s="758"/>
      <c r="G11" s="758"/>
      <c r="H11" s="758"/>
      <c r="I11" s="758"/>
      <c r="J11" s="758"/>
      <c r="Q11" s="155"/>
    </row>
    <row r="12" spans="1:61" ht="14.5" customHeight="1" outlineLevel="1">
      <c r="A12" s="736" t="s">
        <v>1</v>
      </c>
      <c r="B12" s="736"/>
      <c r="C12" s="736"/>
      <c r="D12" s="21"/>
      <c r="E12" s="736" t="s">
        <v>3</v>
      </c>
      <c r="F12" s="736"/>
      <c r="G12" s="736"/>
      <c r="H12" s="736"/>
      <c r="I12" s="736"/>
      <c r="J12" s="736"/>
    </row>
    <row r="13" spans="1:61" ht="31.15" customHeight="1">
      <c r="A13" s="821" t="s">
        <v>498</v>
      </c>
      <c r="B13" s="822"/>
      <c r="C13" s="822"/>
      <c r="D13" s="822"/>
      <c r="E13" s="822"/>
      <c r="F13" s="822"/>
      <c r="G13" s="822"/>
      <c r="H13" s="822"/>
      <c r="I13" s="822"/>
      <c r="J13" s="822"/>
    </row>
    <row r="14" spans="1:61" ht="45" customHeight="1">
      <c r="A14" s="59" t="s">
        <v>19</v>
      </c>
      <c r="B14" s="261" t="s">
        <v>88</v>
      </c>
      <c r="C14" s="834" t="s">
        <v>36</v>
      </c>
      <c r="D14" s="834"/>
      <c r="E14" s="834"/>
      <c r="F14" s="887" t="s">
        <v>93</v>
      </c>
      <c r="G14" s="833"/>
      <c r="H14" s="834" t="s">
        <v>59</v>
      </c>
      <c r="I14" s="834"/>
      <c r="J14" s="274" t="s">
        <v>27</v>
      </c>
      <c r="M14" s="158"/>
      <c r="N14" s="158"/>
      <c r="O14" s="158"/>
    </row>
    <row r="15" spans="1:61" ht="15.5">
      <c r="A15" s="881" t="s">
        <v>1473</v>
      </c>
      <c r="B15" s="882"/>
      <c r="C15" s="882"/>
      <c r="D15" s="882"/>
      <c r="E15" s="882"/>
      <c r="F15" s="882"/>
      <c r="G15" s="882"/>
      <c r="H15" s="882"/>
      <c r="I15" s="882"/>
      <c r="J15" s="883"/>
      <c r="M15" s="158"/>
      <c r="N15" s="158"/>
      <c r="O15" s="158"/>
    </row>
    <row r="16" spans="1:61">
      <c r="A16" s="601" t="s">
        <v>1180</v>
      </c>
      <c r="B16" s="888" t="s">
        <v>1474</v>
      </c>
      <c r="C16" s="889"/>
      <c r="D16" s="889"/>
      <c r="E16" s="889"/>
      <c r="F16" s="889"/>
      <c r="G16" s="889"/>
      <c r="H16" s="889"/>
      <c r="I16" s="889"/>
      <c r="J16" s="890"/>
      <c r="M16" s="158"/>
      <c r="N16" s="158"/>
      <c r="O16" s="158"/>
    </row>
    <row r="17" spans="1:15">
      <c r="A17" s="655" t="str">
        <f>CONCATENATE(K17,".",L17)</f>
        <v>1.1</v>
      </c>
      <c r="B17" s="656" t="s">
        <v>1475</v>
      </c>
      <c r="C17" s="886"/>
      <c r="D17" s="886"/>
      <c r="E17" s="886"/>
      <c r="F17" s="886"/>
      <c r="G17" s="886"/>
      <c r="H17" s="886" t="s">
        <v>473</v>
      </c>
      <c r="I17" s="886"/>
      <c r="J17" s="110"/>
      <c r="K17" s="19">
        <v>1</v>
      </c>
      <c r="L17" s="19">
        <v>1</v>
      </c>
      <c r="M17" s="657"/>
      <c r="N17" s="158"/>
      <c r="O17" s="158"/>
    </row>
    <row r="18" spans="1:15">
      <c r="A18" s="658" t="str">
        <f t="shared" ref="A18:A56" si="0">CONCATENATE(K18,".",L18)</f>
        <v>1.2</v>
      </c>
      <c r="B18" s="276" t="s">
        <v>1476</v>
      </c>
      <c r="C18" s="886" t="s">
        <v>1477</v>
      </c>
      <c r="D18" s="886" t="s">
        <v>863</v>
      </c>
      <c r="E18" s="886" t="s">
        <v>863</v>
      </c>
      <c r="F18" s="886"/>
      <c r="G18" s="886"/>
      <c r="H18" s="886" t="s">
        <v>1478</v>
      </c>
      <c r="I18" s="886">
        <f>1</f>
        <v>1</v>
      </c>
      <c r="J18" s="110"/>
      <c r="K18" s="19">
        <f>K17</f>
        <v>1</v>
      </c>
      <c r="L18" s="19">
        <f>L17+1</f>
        <v>2</v>
      </c>
      <c r="M18" s="657"/>
      <c r="N18" s="158"/>
      <c r="O18" s="158"/>
    </row>
    <row r="19" spans="1:15" ht="28">
      <c r="A19" s="658" t="str">
        <f t="shared" si="0"/>
        <v>1.3</v>
      </c>
      <c r="B19" s="276" t="s">
        <v>1479</v>
      </c>
      <c r="C19" s="886" t="s">
        <v>1480</v>
      </c>
      <c r="D19" s="886" t="s">
        <v>863</v>
      </c>
      <c r="E19" s="886" t="s">
        <v>863</v>
      </c>
      <c r="F19" s="886"/>
      <c r="G19" s="886"/>
      <c r="H19" s="886" t="s">
        <v>1481</v>
      </c>
      <c r="I19" s="886">
        <f>1</f>
        <v>1</v>
      </c>
      <c r="J19" s="110"/>
      <c r="K19" s="19">
        <f t="shared" ref="K19:K46" si="1">K18</f>
        <v>1</v>
      </c>
      <c r="L19" s="19">
        <f t="shared" ref="L19:L46" si="2">L18+1</f>
        <v>3</v>
      </c>
      <c r="M19" s="158"/>
      <c r="N19" s="158"/>
      <c r="O19" s="158"/>
    </row>
    <row r="20" spans="1:15">
      <c r="A20" s="658" t="str">
        <f t="shared" si="0"/>
        <v>1.4</v>
      </c>
      <c r="B20" s="276" t="s">
        <v>1482</v>
      </c>
      <c r="C20" s="886" t="s">
        <v>1483</v>
      </c>
      <c r="D20" s="886" t="s">
        <v>863</v>
      </c>
      <c r="E20" s="886" t="s">
        <v>863</v>
      </c>
      <c r="F20" s="886"/>
      <c r="G20" s="886"/>
      <c r="H20" s="886" t="s">
        <v>1484</v>
      </c>
      <c r="I20" s="886">
        <f>1</f>
        <v>1</v>
      </c>
      <c r="J20" s="110"/>
      <c r="K20" s="19">
        <f t="shared" si="1"/>
        <v>1</v>
      </c>
      <c r="L20" s="19">
        <f t="shared" si="2"/>
        <v>4</v>
      </c>
      <c r="M20" s="158"/>
      <c r="N20" s="158"/>
      <c r="O20" s="158"/>
    </row>
    <row r="21" spans="1:15">
      <c r="A21" s="658" t="str">
        <f t="shared" si="0"/>
        <v>1.5</v>
      </c>
      <c r="B21" s="276" t="s">
        <v>1485</v>
      </c>
      <c r="C21" s="886" t="s">
        <v>1486</v>
      </c>
      <c r="D21" s="886" t="s">
        <v>863</v>
      </c>
      <c r="E21" s="886" t="s">
        <v>863</v>
      </c>
      <c r="F21" s="886"/>
      <c r="G21" s="886"/>
      <c r="H21" s="886" t="s">
        <v>1478</v>
      </c>
      <c r="I21" s="886">
        <f>1</f>
        <v>1</v>
      </c>
      <c r="J21" s="110"/>
      <c r="K21" s="19">
        <f t="shared" si="1"/>
        <v>1</v>
      </c>
      <c r="L21" s="19">
        <f t="shared" si="2"/>
        <v>5</v>
      </c>
      <c r="M21" s="158"/>
      <c r="N21" s="158"/>
      <c r="O21" s="158"/>
    </row>
    <row r="22" spans="1:15">
      <c r="A22" s="655" t="str">
        <f t="shared" si="0"/>
        <v>2.</v>
      </c>
      <c r="B22" s="656" t="s">
        <v>1487</v>
      </c>
      <c r="C22" s="886"/>
      <c r="D22" s="886"/>
      <c r="E22" s="886"/>
      <c r="F22" s="886"/>
      <c r="G22" s="886"/>
      <c r="H22" s="886" t="s">
        <v>473</v>
      </c>
      <c r="I22" s="886"/>
      <c r="J22" s="110"/>
      <c r="K22" s="19">
        <v>2</v>
      </c>
      <c r="M22" s="158"/>
      <c r="N22" s="158"/>
      <c r="O22" s="158"/>
    </row>
    <row r="23" spans="1:15">
      <c r="A23" s="658" t="str">
        <f t="shared" si="0"/>
        <v>2.1</v>
      </c>
      <c r="B23" s="276" t="s">
        <v>1476</v>
      </c>
      <c r="C23" s="886" t="s">
        <v>1477</v>
      </c>
      <c r="D23" s="886" t="s">
        <v>863</v>
      </c>
      <c r="E23" s="886" t="s">
        <v>863</v>
      </c>
      <c r="F23" s="886"/>
      <c r="G23" s="886"/>
      <c r="H23" s="886" t="s">
        <v>1478</v>
      </c>
      <c r="I23" s="886">
        <f>1</f>
        <v>1</v>
      </c>
      <c r="J23" s="110"/>
      <c r="K23" s="19">
        <f t="shared" si="1"/>
        <v>2</v>
      </c>
      <c r="L23" s="19">
        <f t="shared" si="2"/>
        <v>1</v>
      </c>
      <c r="M23" s="158"/>
      <c r="N23" s="158"/>
      <c r="O23" s="158"/>
    </row>
    <row r="24" spans="1:15" ht="28">
      <c r="A24" s="658" t="str">
        <f t="shared" si="0"/>
        <v>2.2</v>
      </c>
      <c r="B24" s="276" t="s">
        <v>1479</v>
      </c>
      <c r="C24" s="886" t="s">
        <v>1480</v>
      </c>
      <c r="D24" s="886" t="s">
        <v>863</v>
      </c>
      <c r="E24" s="886" t="s">
        <v>863</v>
      </c>
      <c r="F24" s="886"/>
      <c r="G24" s="886"/>
      <c r="H24" s="886" t="s">
        <v>1481</v>
      </c>
      <c r="I24" s="886">
        <f>1</f>
        <v>1</v>
      </c>
      <c r="J24" s="110"/>
      <c r="K24" s="19">
        <f t="shared" si="1"/>
        <v>2</v>
      </c>
      <c r="L24" s="19">
        <f t="shared" si="2"/>
        <v>2</v>
      </c>
      <c r="M24" s="158"/>
      <c r="N24" s="158"/>
      <c r="O24" s="158"/>
    </row>
    <row r="25" spans="1:15">
      <c r="A25" s="658" t="str">
        <f t="shared" si="0"/>
        <v>2.3</v>
      </c>
      <c r="B25" s="276" t="s">
        <v>1482</v>
      </c>
      <c r="C25" s="886" t="s">
        <v>1483</v>
      </c>
      <c r="D25" s="886" t="s">
        <v>863</v>
      </c>
      <c r="E25" s="886" t="s">
        <v>863</v>
      </c>
      <c r="F25" s="886"/>
      <c r="G25" s="886"/>
      <c r="H25" s="886" t="s">
        <v>1484</v>
      </c>
      <c r="I25" s="886">
        <f>1</f>
        <v>1</v>
      </c>
      <c r="J25" s="110"/>
      <c r="K25" s="19">
        <f t="shared" si="1"/>
        <v>2</v>
      </c>
      <c r="L25" s="19">
        <f t="shared" si="2"/>
        <v>3</v>
      </c>
      <c r="M25" s="158"/>
      <c r="N25" s="158"/>
      <c r="O25" s="158"/>
    </row>
    <row r="26" spans="1:15">
      <c r="A26" s="658" t="str">
        <f t="shared" si="0"/>
        <v>2.4</v>
      </c>
      <c r="B26" s="276" t="s">
        <v>1485</v>
      </c>
      <c r="C26" s="886" t="s">
        <v>1486</v>
      </c>
      <c r="D26" s="886" t="s">
        <v>863</v>
      </c>
      <c r="E26" s="886" t="s">
        <v>863</v>
      </c>
      <c r="F26" s="886"/>
      <c r="G26" s="886"/>
      <c r="H26" s="886" t="s">
        <v>1478</v>
      </c>
      <c r="I26" s="886">
        <f>1</f>
        <v>1</v>
      </c>
      <c r="J26" s="110"/>
      <c r="K26" s="19">
        <f t="shared" si="1"/>
        <v>2</v>
      </c>
      <c r="L26" s="19">
        <f t="shared" si="2"/>
        <v>4</v>
      </c>
      <c r="M26" s="158"/>
      <c r="N26" s="158"/>
      <c r="O26" s="158"/>
    </row>
    <row r="27" spans="1:15">
      <c r="A27" s="655" t="str">
        <f t="shared" si="0"/>
        <v>3.</v>
      </c>
      <c r="B27" s="656" t="s">
        <v>1488</v>
      </c>
      <c r="C27" s="886"/>
      <c r="D27" s="886"/>
      <c r="E27" s="886"/>
      <c r="F27" s="886"/>
      <c r="G27" s="886"/>
      <c r="H27" s="886" t="s">
        <v>473</v>
      </c>
      <c r="I27" s="886"/>
      <c r="J27" s="110"/>
      <c r="K27" s="19">
        <v>3</v>
      </c>
      <c r="M27" s="158"/>
      <c r="N27" s="158"/>
      <c r="O27" s="158"/>
    </row>
    <row r="28" spans="1:15">
      <c r="A28" s="658" t="str">
        <f t="shared" si="0"/>
        <v>3.1</v>
      </c>
      <c r="B28" s="276" t="s">
        <v>1476</v>
      </c>
      <c r="C28" s="886" t="s">
        <v>1477</v>
      </c>
      <c r="D28" s="886" t="s">
        <v>863</v>
      </c>
      <c r="E28" s="886" t="s">
        <v>863</v>
      </c>
      <c r="F28" s="886"/>
      <c r="G28" s="886"/>
      <c r="H28" s="886" t="s">
        <v>1478</v>
      </c>
      <c r="I28" s="886">
        <f>1</f>
        <v>1</v>
      </c>
      <c r="J28" s="110"/>
      <c r="K28" s="19">
        <f t="shared" si="1"/>
        <v>3</v>
      </c>
      <c r="L28" s="19">
        <f t="shared" si="2"/>
        <v>1</v>
      </c>
      <c r="M28" s="158"/>
      <c r="N28" s="158"/>
      <c r="O28" s="158"/>
    </row>
    <row r="29" spans="1:15" ht="28">
      <c r="A29" s="658" t="str">
        <f t="shared" si="0"/>
        <v>3.2</v>
      </c>
      <c r="B29" s="276" t="s">
        <v>1479</v>
      </c>
      <c r="C29" s="886" t="s">
        <v>1480</v>
      </c>
      <c r="D29" s="886" t="s">
        <v>863</v>
      </c>
      <c r="E29" s="886" t="s">
        <v>863</v>
      </c>
      <c r="F29" s="886"/>
      <c r="G29" s="886"/>
      <c r="H29" s="886" t="s">
        <v>1481</v>
      </c>
      <c r="I29" s="886">
        <f>1</f>
        <v>1</v>
      </c>
      <c r="J29" s="110"/>
      <c r="K29" s="19">
        <f t="shared" si="1"/>
        <v>3</v>
      </c>
      <c r="L29" s="19">
        <f t="shared" si="2"/>
        <v>2</v>
      </c>
      <c r="M29" s="158"/>
      <c r="N29" s="158"/>
      <c r="O29" s="158"/>
    </row>
    <row r="30" spans="1:15">
      <c r="A30" s="658" t="str">
        <f t="shared" si="0"/>
        <v>3.3</v>
      </c>
      <c r="B30" s="276" t="s">
        <v>1482</v>
      </c>
      <c r="C30" s="886" t="s">
        <v>1483</v>
      </c>
      <c r="D30" s="886" t="s">
        <v>863</v>
      </c>
      <c r="E30" s="886" t="s">
        <v>863</v>
      </c>
      <c r="F30" s="886"/>
      <c r="G30" s="886"/>
      <c r="H30" s="886" t="s">
        <v>1484</v>
      </c>
      <c r="I30" s="886">
        <f>1</f>
        <v>1</v>
      </c>
      <c r="J30" s="110"/>
      <c r="K30" s="19">
        <f t="shared" si="1"/>
        <v>3</v>
      </c>
      <c r="L30" s="19">
        <f t="shared" si="2"/>
        <v>3</v>
      </c>
      <c r="M30" s="158"/>
      <c r="N30" s="158"/>
      <c r="O30" s="158"/>
    </row>
    <row r="31" spans="1:15">
      <c r="A31" s="658" t="str">
        <f t="shared" si="0"/>
        <v>3.4</v>
      </c>
      <c r="B31" s="276" t="s">
        <v>1485</v>
      </c>
      <c r="C31" s="886" t="s">
        <v>1486</v>
      </c>
      <c r="D31" s="886" t="s">
        <v>863</v>
      </c>
      <c r="E31" s="886" t="s">
        <v>863</v>
      </c>
      <c r="F31" s="886"/>
      <c r="G31" s="886"/>
      <c r="H31" s="886" t="s">
        <v>1478</v>
      </c>
      <c r="I31" s="886">
        <f>1</f>
        <v>1</v>
      </c>
      <c r="J31" s="110"/>
      <c r="K31" s="19">
        <f t="shared" si="1"/>
        <v>3</v>
      </c>
      <c r="L31" s="19">
        <f t="shared" si="2"/>
        <v>4</v>
      </c>
      <c r="M31" s="158"/>
      <c r="N31" s="158"/>
      <c r="O31" s="158"/>
    </row>
    <row r="32" spans="1:15">
      <c r="A32" s="655" t="str">
        <f t="shared" si="0"/>
        <v>4.</v>
      </c>
      <c r="B32" s="656" t="s">
        <v>1489</v>
      </c>
      <c r="C32" s="886"/>
      <c r="D32" s="886"/>
      <c r="E32" s="886"/>
      <c r="F32" s="886"/>
      <c r="G32" s="886"/>
      <c r="H32" s="886" t="s">
        <v>473</v>
      </c>
      <c r="I32" s="886"/>
      <c r="J32" s="110"/>
      <c r="K32" s="19">
        <v>4</v>
      </c>
      <c r="M32" s="158"/>
      <c r="N32" s="158"/>
      <c r="O32" s="158"/>
    </row>
    <row r="33" spans="1:15">
      <c r="A33" s="658" t="str">
        <f t="shared" si="0"/>
        <v>4.1</v>
      </c>
      <c r="B33" s="276" t="s">
        <v>1476</v>
      </c>
      <c r="C33" s="886" t="s">
        <v>1477</v>
      </c>
      <c r="D33" s="886" t="s">
        <v>863</v>
      </c>
      <c r="E33" s="886" t="s">
        <v>863</v>
      </c>
      <c r="F33" s="886"/>
      <c r="G33" s="886"/>
      <c r="H33" s="886" t="s">
        <v>1478</v>
      </c>
      <c r="I33" s="886">
        <f>1</f>
        <v>1</v>
      </c>
      <c r="J33" s="110"/>
      <c r="K33" s="19">
        <f t="shared" si="1"/>
        <v>4</v>
      </c>
      <c r="L33" s="19">
        <f t="shared" si="2"/>
        <v>1</v>
      </c>
      <c r="M33" s="158"/>
      <c r="N33" s="158"/>
      <c r="O33" s="158"/>
    </row>
    <row r="34" spans="1:15" ht="28">
      <c r="A34" s="658" t="str">
        <f t="shared" si="0"/>
        <v>4.2</v>
      </c>
      <c r="B34" s="276" t="s">
        <v>1479</v>
      </c>
      <c r="C34" s="886" t="s">
        <v>1480</v>
      </c>
      <c r="D34" s="886" t="s">
        <v>863</v>
      </c>
      <c r="E34" s="886" t="s">
        <v>863</v>
      </c>
      <c r="F34" s="886"/>
      <c r="G34" s="886"/>
      <c r="H34" s="886" t="s">
        <v>1481</v>
      </c>
      <c r="I34" s="886">
        <f>1</f>
        <v>1</v>
      </c>
      <c r="J34" s="110"/>
      <c r="K34" s="19">
        <f t="shared" si="1"/>
        <v>4</v>
      </c>
      <c r="L34" s="19">
        <f t="shared" si="2"/>
        <v>2</v>
      </c>
      <c r="M34" s="158"/>
      <c r="N34" s="158"/>
      <c r="O34" s="158"/>
    </row>
    <row r="35" spans="1:15">
      <c r="A35" s="658" t="str">
        <f t="shared" si="0"/>
        <v>4.3</v>
      </c>
      <c r="B35" s="276" t="s">
        <v>1482</v>
      </c>
      <c r="C35" s="886" t="s">
        <v>1483</v>
      </c>
      <c r="D35" s="886" t="s">
        <v>863</v>
      </c>
      <c r="E35" s="886" t="s">
        <v>863</v>
      </c>
      <c r="F35" s="886"/>
      <c r="G35" s="886"/>
      <c r="H35" s="886" t="s">
        <v>1484</v>
      </c>
      <c r="I35" s="886">
        <f>1</f>
        <v>1</v>
      </c>
      <c r="J35" s="110"/>
      <c r="K35" s="19">
        <f t="shared" si="1"/>
        <v>4</v>
      </c>
      <c r="L35" s="19">
        <f t="shared" si="2"/>
        <v>3</v>
      </c>
      <c r="M35" s="158"/>
      <c r="N35" s="158"/>
      <c r="O35" s="158"/>
    </row>
    <row r="36" spans="1:15">
      <c r="A36" s="658" t="str">
        <f t="shared" si="0"/>
        <v>4.4</v>
      </c>
      <c r="B36" s="276" t="s">
        <v>1485</v>
      </c>
      <c r="C36" s="886" t="s">
        <v>1486</v>
      </c>
      <c r="D36" s="886" t="s">
        <v>863</v>
      </c>
      <c r="E36" s="886" t="s">
        <v>863</v>
      </c>
      <c r="F36" s="886"/>
      <c r="G36" s="886"/>
      <c r="H36" s="886" t="s">
        <v>1478</v>
      </c>
      <c r="I36" s="886">
        <f>1</f>
        <v>1</v>
      </c>
      <c r="J36" s="110"/>
      <c r="K36" s="19">
        <f t="shared" si="1"/>
        <v>4</v>
      </c>
      <c r="L36" s="19">
        <f t="shared" si="2"/>
        <v>4</v>
      </c>
      <c r="M36" s="158"/>
      <c r="N36" s="158"/>
      <c r="O36" s="158"/>
    </row>
    <row r="37" spans="1:15">
      <c r="A37" s="655" t="str">
        <f t="shared" si="0"/>
        <v>5.</v>
      </c>
      <c r="B37" s="656" t="s">
        <v>1490</v>
      </c>
      <c r="C37" s="886"/>
      <c r="D37" s="886"/>
      <c r="E37" s="886"/>
      <c r="F37" s="886"/>
      <c r="G37" s="886"/>
      <c r="H37" s="886" t="s">
        <v>473</v>
      </c>
      <c r="I37" s="886"/>
      <c r="J37" s="110"/>
      <c r="K37" s="19">
        <v>5</v>
      </c>
      <c r="M37" s="158"/>
      <c r="N37" s="158"/>
      <c r="O37" s="158"/>
    </row>
    <row r="38" spans="1:15">
      <c r="A38" s="658" t="str">
        <f t="shared" si="0"/>
        <v>5.1</v>
      </c>
      <c r="B38" s="276" t="s">
        <v>1476</v>
      </c>
      <c r="C38" s="886" t="s">
        <v>1477</v>
      </c>
      <c r="D38" s="886" t="s">
        <v>863</v>
      </c>
      <c r="E38" s="886" t="s">
        <v>863</v>
      </c>
      <c r="F38" s="886"/>
      <c r="G38" s="886"/>
      <c r="H38" s="886" t="s">
        <v>1478</v>
      </c>
      <c r="I38" s="886">
        <f>1</f>
        <v>1</v>
      </c>
      <c r="J38" s="110"/>
      <c r="K38" s="19">
        <f t="shared" si="1"/>
        <v>5</v>
      </c>
      <c r="L38" s="19">
        <f t="shared" si="2"/>
        <v>1</v>
      </c>
      <c r="M38" s="158"/>
      <c r="N38" s="158"/>
      <c r="O38" s="158"/>
    </row>
    <row r="39" spans="1:15" ht="28">
      <c r="A39" s="658" t="str">
        <f t="shared" si="0"/>
        <v>5.2</v>
      </c>
      <c r="B39" s="276" t="s">
        <v>1479</v>
      </c>
      <c r="C39" s="886" t="s">
        <v>1480</v>
      </c>
      <c r="D39" s="886" t="s">
        <v>863</v>
      </c>
      <c r="E39" s="886" t="s">
        <v>863</v>
      </c>
      <c r="F39" s="886"/>
      <c r="G39" s="886"/>
      <c r="H39" s="886" t="s">
        <v>1481</v>
      </c>
      <c r="I39" s="886">
        <f>1</f>
        <v>1</v>
      </c>
      <c r="J39" s="110"/>
      <c r="K39" s="19">
        <f t="shared" si="1"/>
        <v>5</v>
      </c>
      <c r="L39" s="19">
        <f t="shared" si="2"/>
        <v>2</v>
      </c>
      <c r="M39" s="158"/>
      <c r="N39" s="158"/>
      <c r="O39" s="158"/>
    </row>
    <row r="40" spans="1:15">
      <c r="A40" s="658" t="str">
        <f t="shared" si="0"/>
        <v>5.3</v>
      </c>
      <c r="B40" s="276" t="s">
        <v>1482</v>
      </c>
      <c r="C40" s="886" t="s">
        <v>1483</v>
      </c>
      <c r="D40" s="886" t="s">
        <v>863</v>
      </c>
      <c r="E40" s="886" t="s">
        <v>863</v>
      </c>
      <c r="F40" s="886"/>
      <c r="G40" s="886"/>
      <c r="H40" s="886" t="s">
        <v>1484</v>
      </c>
      <c r="I40" s="886">
        <f>1</f>
        <v>1</v>
      </c>
      <c r="J40" s="110"/>
      <c r="K40" s="19">
        <f t="shared" si="1"/>
        <v>5</v>
      </c>
      <c r="L40" s="19">
        <f t="shared" si="2"/>
        <v>3</v>
      </c>
      <c r="M40" s="158"/>
      <c r="N40" s="158"/>
      <c r="O40" s="158"/>
    </row>
    <row r="41" spans="1:15">
      <c r="A41" s="658" t="str">
        <f t="shared" si="0"/>
        <v>5.4</v>
      </c>
      <c r="B41" s="276" t="s">
        <v>1485</v>
      </c>
      <c r="C41" s="886" t="s">
        <v>1486</v>
      </c>
      <c r="D41" s="886" t="s">
        <v>863</v>
      </c>
      <c r="E41" s="886" t="s">
        <v>863</v>
      </c>
      <c r="F41" s="886"/>
      <c r="G41" s="886"/>
      <c r="H41" s="886" t="s">
        <v>1478</v>
      </c>
      <c r="I41" s="886">
        <f>1</f>
        <v>1</v>
      </c>
      <c r="J41" s="110"/>
      <c r="K41" s="19">
        <f t="shared" si="1"/>
        <v>5</v>
      </c>
      <c r="L41" s="19">
        <f t="shared" si="2"/>
        <v>4</v>
      </c>
      <c r="M41" s="158"/>
      <c r="N41" s="158"/>
      <c r="O41" s="158"/>
    </row>
    <row r="42" spans="1:15">
      <c r="A42" s="655" t="str">
        <f t="shared" si="0"/>
        <v>6.</v>
      </c>
      <c r="B42" s="656" t="s">
        <v>1491</v>
      </c>
      <c r="C42" s="886"/>
      <c r="D42" s="886"/>
      <c r="E42" s="886"/>
      <c r="F42" s="886"/>
      <c r="G42" s="886"/>
      <c r="H42" s="886" t="s">
        <v>473</v>
      </c>
      <c r="I42" s="886"/>
      <c r="J42" s="110"/>
      <c r="K42" s="19">
        <v>6</v>
      </c>
      <c r="M42" s="158"/>
      <c r="N42" s="158"/>
      <c r="O42" s="158"/>
    </row>
    <row r="43" spans="1:15">
      <c r="A43" s="658" t="str">
        <f t="shared" si="0"/>
        <v>6.1</v>
      </c>
      <c r="B43" s="276" t="s">
        <v>1476</v>
      </c>
      <c r="C43" s="886" t="s">
        <v>1477</v>
      </c>
      <c r="D43" s="886" t="s">
        <v>863</v>
      </c>
      <c r="E43" s="886" t="s">
        <v>863</v>
      </c>
      <c r="F43" s="886"/>
      <c r="G43" s="886"/>
      <c r="H43" s="886" t="s">
        <v>1478</v>
      </c>
      <c r="I43" s="886">
        <f>1</f>
        <v>1</v>
      </c>
      <c r="J43" s="110"/>
      <c r="K43" s="19">
        <f t="shared" si="1"/>
        <v>6</v>
      </c>
      <c r="L43" s="19">
        <f t="shared" si="2"/>
        <v>1</v>
      </c>
      <c r="M43" s="158"/>
      <c r="N43" s="158"/>
      <c r="O43" s="158"/>
    </row>
    <row r="44" spans="1:15" ht="28">
      <c r="A44" s="658" t="str">
        <f t="shared" si="0"/>
        <v>6.2</v>
      </c>
      <c r="B44" s="276" t="s">
        <v>1479</v>
      </c>
      <c r="C44" s="886" t="s">
        <v>1480</v>
      </c>
      <c r="D44" s="886" t="s">
        <v>863</v>
      </c>
      <c r="E44" s="886" t="s">
        <v>863</v>
      </c>
      <c r="F44" s="886"/>
      <c r="G44" s="886"/>
      <c r="H44" s="886" t="s">
        <v>1481</v>
      </c>
      <c r="I44" s="886">
        <f>1</f>
        <v>1</v>
      </c>
      <c r="J44" s="110"/>
      <c r="K44" s="19">
        <f t="shared" si="1"/>
        <v>6</v>
      </c>
      <c r="L44" s="19">
        <f t="shared" si="2"/>
        <v>2</v>
      </c>
      <c r="M44" s="158"/>
      <c r="N44" s="158"/>
      <c r="O44" s="158"/>
    </row>
    <row r="45" spans="1:15">
      <c r="A45" s="658" t="str">
        <f t="shared" si="0"/>
        <v>6.3</v>
      </c>
      <c r="B45" s="276" t="s">
        <v>1482</v>
      </c>
      <c r="C45" s="886" t="s">
        <v>1483</v>
      </c>
      <c r="D45" s="886" t="s">
        <v>863</v>
      </c>
      <c r="E45" s="886" t="s">
        <v>863</v>
      </c>
      <c r="F45" s="886"/>
      <c r="G45" s="886"/>
      <c r="H45" s="886" t="s">
        <v>1484</v>
      </c>
      <c r="I45" s="886">
        <f>1</f>
        <v>1</v>
      </c>
      <c r="J45" s="110"/>
      <c r="K45" s="19">
        <f t="shared" si="1"/>
        <v>6</v>
      </c>
      <c r="L45" s="19">
        <f t="shared" si="2"/>
        <v>3</v>
      </c>
      <c r="M45" s="158"/>
      <c r="N45" s="158"/>
      <c r="O45" s="158"/>
    </row>
    <row r="46" spans="1:15">
      <c r="A46" s="658" t="str">
        <f t="shared" si="0"/>
        <v>6.4</v>
      </c>
      <c r="B46" s="276" t="s">
        <v>1485</v>
      </c>
      <c r="C46" s="886" t="s">
        <v>1486</v>
      </c>
      <c r="D46" s="886" t="s">
        <v>863</v>
      </c>
      <c r="E46" s="886" t="s">
        <v>863</v>
      </c>
      <c r="F46" s="886"/>
      <c r="G46" s="886"/>
      <c r="H46" s="886" t="s">
        <v>1478</v>
      </c>
      <c r="I46" s="886">
        <f>1</f>
        <v>1</v>
      </c>
      <c r="J46" s="110"/>
      <c r="K46" s="19">
        <f t="shared" si="1"/>
        <v>6</v>
      </c>
      <c r="L46" s="19">
        <f t="shared" si="2"/>
        <v>4</v>
      </c>
      <c r="M46" s="158"/>
      <c r="N46" s="158"/>
      <c r="O46" s="158"/>
    </row>
    <row r="47" spans="1:15">
      <c r="A47" s="655" t="str">
        <f t="shared" si="0"/>
        <v>7.</v>
      </c>
      <c r="B47" s="656" t="s">
        <v>1492</v>
      </c>
      <c r="C47" s="886"/>
      <c r="D47" s="886"/>
      <c r="E47" s="886"/>
      <c r="F47" s="886"/>
      <c r="G47" s="886"/>
      <c r="H47" s="886" t="s">
        <v>473</v>
      </c>
      <c r="I47" s="886"/>
      <c r="J47" s="110"/>
      <c r="K47" s="19">
        <v>7</v>
      </c>
      <c r="M47" s="158"/>
      <c r="N47" s="158"/>
      <c r="O47" s="158"/>
    </row>
    <row r="48" spans="1:15">
      <c r="A48" s="658" t="str">
        <f t="shared" si="0"/>
        <v>7.1</v>
      </c>
      <c r="B48" s="276" t="s">
        <v>1476</v>
      </c>
      <c r="C48" s="886" t="s">
        <v>1477</v>
      </c>
      <c r="D48" s="886" t="s">
        <v>863</v>
      </c>
      <c r="E48" s="886" t="s">
        <v>863</v>
      </c>
      <c r="F48" s="886"/>
      <c r="G48" s="886"/>
      <c r="H48" s="886" t="s">
        <v>1478</v>
      </c>
      <c r="I48" s="886">
        <f>1</f>
        <v>1</v>
      </c>
      <c r="J48" s="110"/>
      <c r="K48" s="19">
        <f t="shared" ref="K48:K56" si="3">K47</f>
        <v>7</v>
      </c>
      <c r="L48" s="19">
        <f t="shared" ref="L48:L56" si="4">L47+1</f>
        <v>1</v>
      </c>
      <c r="M48" s="158"/>
      <c r="N48" s="158"/>
      <c r="O48" s="158"/>
    </row>
    <row r="49" spans="1:15" ht="28">
      <c r="A49" s="658" t="str">
        <f t="shared" si="0"/>
        <v>7.2</v>
      </c>
      <c r="B49" s="276" t="s">
        <v>1479</v>
      </c>
      <c r="C49" s="886" t="s">
        <v>1480</v>
      </c>
      <c r="D49" s="886" t="s">
        <v>863</v>
      </c>
      <c r="E49" s="886" t="s">
        <v>863</v>
      </c>
      <c r="F49" s="886"/>
      <c r="G49" s="886"/>
      <c r="H49" s="886" t="s">
        <v>1481</v>
      </c>
      <c r="I49" s="886">
        <f>1</f>
        <v>1</v>
      </c>
      <c r="J49" s="110"/>
      <c r="K49" s="19">
        <f t="shared" si="3"/>
        <v>7</v>
      </c>
      <c r="L49" s="19">
        <f t="shared" si="4"/>
        <v>2</v>
      </c>
      <c r="M49" s="158"/>
      <c r="N49" s="158"/>
      <c r="O49" s="158"/>
    </row>
    <row r="50" spans="1:15">
      <c r="A50" s="658" t="str">
        <f t="shared" si="0"/>
        <v>7.3</v>
      </c>
      <c r="B50" s="276" t="s">
        <v>1482</v>
      </c>
      <c r="C50" s="886" t="s">
        <v>1483</v>
      </c>
      <c r="D50" s="886" t="s">
        <v>863</v>
      </c>
      <c r="E50" s="886" t="s">
        <v>863</v>
      </c>
      <c r="F50" s="886"/>
      <c r="G50" s="886"/>
      <c r="H50" s="886" t="s">
        <v>1484</v>
      </c>
      <c r="I50" s="886">
        <f>1</f>
        <v>1</v>
      </c>
      <c r="J50" s="110"/>
      <c r="K50" s="19">
        <f t="shared" si="3"/>
        <v>7</v>
      </c>
      <c r="L50" s="19">
        <f t="shared" si="4"/>
        <v>3</v>
      </c>
      <c r="M50" s="158"/>
      <c r="N50" s="158"/>
      <c r="O50" s="158"/>
    </row>
    <row r="51" spans="1:15">
      <c r="A51" s="658" t="str">
        <f t="shared" si="0"/>
        <v>7.4</v>
      </c>
      <c r="B51" s="276" t="s">
        <v>1485</v>
      </c>
      <c r="C51" s="886" t="s">
        <v>1486</v>
      </c>
      <c r="D51" s="886" t="s">
        <v>863</v>
      </c>
      <c r="E51" s="886" t="s">
        <v>863</v>
      </c>
      <c r="F51" s="886"/>
      <c r="G51" s="886"/>
      <c r="H51" s="886" t="s">
        <v>1478</v>
      </c>
      <c r="I51" s="886">
        <f>1</f>
        <v>1</v>
      </c>
      <c r="J51" s="110"/>
      <c r="K51" s="19">
        <f t="shared" si="3"/>
        <v>7</v>
      </c>
      <c r="L51" s="19">
        <f t="shared" si="4"/>
        <v>4</v>
      </c>
      <c r="M51" s="158"/>
      <c r="N51" s="158"/>
      <c r="O51" s="158"/>
    </row>
    <row r="52" spans="1:15">
      <c r="A52" s="655" t="str">
        <f t="shared" si="0"/>
        <v>8.</v>
      </c>
      <c r="B52" s="656" t="s">
        <v>1493</v>
      </c>
      <c r="C52" s="886"/>
      <c r="D52" s="886"/>
      <c r="E52" s="886"/>
      <c r="F52" s="886"/>
      <c r="G52" s="886"/>
      <c r="H52" s="886" t="s">
        <v>473</v>
      </c>
      <c r="I52" s="886"/>
      <c r="J52" s="110"/>
      <c r="K52" s="19">
        <v>8</v>
      </c>
      <c r="M52" s="158"/>
      <c r="N52" s="158"/>
      <c r="O52" s="158"/>
    </row>
    <row r="53" spans="1:15">
      <c r="A53" s="658" t="str">
        <f t="shared" si="0"/>
        <v>8.1</v>
      </c>
      <c r="B53" s="276" t="s">
        <v>1476</v>
      </c>
      <c r="C53" s="886" t="s">
        <v>1477</v>
      </c>
      <c r="D53" s="886" t="s">
        <v>863</v>
      </c>
      <c r="E53" s="886" t="s">
        <v>863</v>
      </c>
      <c r="F53" s="886"/>
      <c r="G53" s="886"/>
      <c r="H53" s="886" t="s">
        <v>1478</v>
      </c>
      <c r="I53" s="886">
        <f>1</f>
        <v>1</v>
      </c>
      <c r="J53" s="110"/>
      <c r="K53" s="19">
        <f t="shared" si="3"/>
        <v>8</v>
      </c>
      <c r="L53" s="19">
        <f t="shared" si="4"/>
        <v>1</v>
      </c>
      <c r="M53" s="158"/>
      <c r="N53" s="158"/>
      <c r="O53" s="158"/>
    </row>
    <row r="54" spans="1:15" ht="28">
      <c r="A54" s="658" t="str">
        <f t="shared" si="0"/>
        <v>8.2</v>
      </c>
      <c r="B54" s="276" t="s">
        <v>1479</v>
      </c>
      <c r="C54" s="886" t="s">
        <v>1480</v>
      </c>
      <c r="D54" s="886" t="s">
        <v>863</v>
      </c>
      <c r="E54" s="886" t="s">
        <v>863</v>
      </c>
      <c r="F54" s="886"/>
      <c r="G54" s="886"/>
      <c r="H54" s="886" t="s">
        <v>1481</v>
      </c>
      <c r="I54" s="886">
        <f>1</f>
        <v>1</v>
      </c>
      <c r="J54" s="110"/>
      <c r="K54" s="19">
        <f t="shared" si="3"/>
        <v>8</v>
      </c>
      <c r="L54" s="19">
        <f t="shared" si="4"/>
        <v>2</v>
      </c>
      <c r="M54" s="158"/>
      <c r="N54" s="158"/>
      <c r="O54" s="158"/>
    </row>
    <row r="55" spans="1:15">
      <c r="A55" s="658" t="str">
        <f t="shared" si="0"/>
        <v>8.3</v>
      </c>
      <c r="B55" s="276" t="s">
        <v>1482</v>
      </c>
      <c r="C55" s="886" t="s">
        <v>1483</v>
      </c>
      <c r="D55" s="886" t="s">
        <v>863</v>
      </c>
      <c r="E55" s="886" t="s">
        <v>863</v>
      </c>
      <c r="F55" s="886"/>
      <c r="G55" s="886"/>
      <c r="H55" s="886" t="s">
        <v>1484</v>
      </c>
      <c r="I55" s="886">
        <f>1</f>
        <v>1</v>
      </c>
      <c r="J55" s="110"/>
      <c r="K55" s="19">
        <f t="shared" si="3"/>
        <v>8</v>
      </c>
      <c r="L55" s="19">
        <f t="shared" si="4"/>
        <v>3</v>
      </c>
      <c r="M55" s="158"/>
      <c r="N55" s="158"/>
      <c r="O55" s="158"/>
    </row>
    <row r="56" spans="1:15">
      <c r="A56" s="658" t="str">
        <f t="shared" si="0"/>
        <v>8.4</v>
      </c>
      <c r="B56" s="276" t="s">
        <v>1485</v>
      </c>
      <c r="C56" s="886" t="s">
        <v>1486</v>
      </c>
      <c r="D56" s="886" t="s">
        <v>863</v>
      </c>
      <c r="E56" s="886" t="s">
        <v>863</v>
      </c>
      <c r="F56" s="886"/>
      <c r="G56" s="886"/>
      <c r="H56" s="886" t="s">
        <v>1478</v>
      </c>
      <c r="I56" s="886">
        <f>1</f>
        <v>1</v>
      </c>
      <c r="J56" s="110"/>
      <c r="K56" s="19">
        <f t="shared" si="3"/>
        <v>8</v>
      </c>
      <c r="L56" s="19">
        <f t="shared" si="4"/>
        <v>4</v>
      </c>
      <c r="M56" s="158"/>
      <c r="N56" s="158"/>
      <c r="O56" s="158"/>
    </row>
    <row r="57" spans="1:15" ht="15" customHeight="1">
      <c r="A57" s="881" t="s">
        <v>1494</v>
      </c>
      <c r="B57" s="882"/>
      <c r="C57" s="882"/>
      <c r="D57" s="882"/>
      <c r="E57" s="882"/>
      <c r="F57" s="882"/>
      <c r="G57" s="882"/>
      <c r="H57" s="882"/>
      <c r="I57" s="882"/>
      <c r="J57" s="883"/>
      <c r="M57" s="158"/>
      <c r="N57" s="158"/>
      <c r="O57" s="158"/>
    </row>
    <row r="58" spans="1:15" ht="87" customHeight="1">
      <c r="A58" s="658" t="str">
        <f>CONCATENATE(K58,".",L58)</f>
        <v>2.1</v>
      </c>
      <c r="B58" s="276" t="s">
        <v>1495</v>
      </c>
      <c r="C58" s="886" t="s">
        <v>1496</v>
      </c>
      <c r="D58" s="886"/>
      <c r="E58" s="886"/>
      <c r="F58" s="886"/>
      <c r="G58" s="886"/>
      <c r="H58" s="886" t="s">
        <v>1548</v>
      </c>
      <c r="I58" s="886"/>
      <c r="J58" s="110"/>
      <c r="K58" s="19">
        <v>2</v>
      </c>
      <c r="L58" s="158">
        <v>1</v>
      </c>
      <c r="N58" s="158"/>
      <c r="O58" s="158"/>
    </row>
    <row r="59" spans="1:15" ht="56">
      <c r="A59" s="658" t="str">
        <f t="shared" ref="A59:A84" si="5">CONCATENATE(K59,".",L59)</f>
        <v>2.2</v>
      </c>
      <c r="B59" s="276" t="s">
        <v>1497</v>
      </c>
      <c r="C59" s="886" t="s">
        <v>1498</v>
      </c>
      <c r="D59" s="886"/>
      <c r="E59" s="886"/>
      <c r="F59" s="886"/>
      <c r="G59" s="886"/>
      <c r="H59" s="886" t="s">
        <v>1499</v>
      </c>
      <c r="I59" s="886"/>
      <c r="J59" s="110"/>
      <c r="K59" s="19">
        <f t="shared" ref="K59:K84" si="6">K58</f>
        <v>2</v>
      </c>
      <c r="L59" s="19">
        <v>2</v>
      </c>
      <c r="M59" s="158"/>
      <c r="N59" s="158"/>
      <c r="O59" s="158"/>
    </row>
    <row r="60" spans="1:15" ht="15" customHeight="1">
      <c r="A60" s="881" t="s">
        <v>1500</v>
      </c>
      <c r="B60" s="882" t="s">
        <v>1501</v>
      </c>
      <c r="C60" s="882"/>
      <c r="D60" s="882"/>
      <c r="E60" s="882"/>
      <c r="F60" s="882"/>
      <c r="G60" s="882"/>
      <c r="H60" s="882"/>
      <c r="I60" s="882"/>
      <c r="J60" s="883"/>
      <c r="K60" s="19">
        <f t="shared" si="6"/>
        <v>2</v>
      </c>
      <c r="L60" s="19">
        <f t="shared" ref="L60:L84" si="7">L59+1</f>
        <v>3</v>
      </c>
      <c r="M60" s="158"/>
      <c r="N60" s="158"/>
      <c r="O60" s="158"/>
    </row>
    <row r="61" spans="1:15" ht="79.5" customHeight="1">
      <c r="A61" s="658" t="str">
        <f t="shared" si="5"/>
        <v>3.1</v>
      </c>
      <c r="B61" s="276" t="s">
        <v>1495</v>
      </c>
      <c r="C61" s="886" t="s">
        <v>1496</v>
      </c>
      <c r="D61" s="886"/>
      <c r="E61" s="886"/>
      <c r="F61" s="886"/>
      <c r="G61" s="886"/>
      <c r="H61" s="886" t="s">
        <v>1553</v>
      </c>
      <c r="I61" s="886"/>
      <c r="J61" s="110"/>
      <c r="K61" s="19">
        <v>3</v>
      </c>
      <c r="L61" s="19">
        <v>1</v>
      </c>
      <c r="M61" s="158"/>
      <c r="N61" s="158"/>
      <c r="O61" s="158"/>
    </row>
    <row r="62" spans="1:15" ht="56">
      <c r="A62" s="658" t="str">
        <f t="shared" si="5"/>
        <v>3.2</v>
      </c>
      <c r="B62" s="276" t="s">
        <v>1497</v>
      </c>
      <c r="C62" s="886" t="s">
        <v>1498</v>
      </c>
      <c r="D62" s="886"/>
      <c r="E62" s="886"/>
      <c r="F62" s="886"/>
      <c r="G62" s="886"/>
      <c r="H62" s="886" t="s">
        <v>1499</v>
      </c>
      <c r="I62" s="886"/>
      <c r="J62" s="110"/>
      <c r="K62" s="19">
        <f t="shared" si="6"/>
        <v>3</v>
      </c>
      <c r="L62" s="19">
        <f t="shared" si="7"/>
        <v>2</v>
      </c>
      <c r="M62" s="158"/>
      <c r="N62" s="158"/>
      <c r="O62" s="158"/>
    </row>
    <row r="63" spans="1:15" ht="15" customHeight="1">
      <c r="A63" s="881" t="s">
        <v>1502</v>
      </c>
      <c r="B63" s="882"/>
      <c r="C63" s="882"/>
      <c r="D63" s="882"/>
      <c r="E63" s="882"/>
      <c r="F63" s="882"/>
      <c r="G63" s="882"/>
      <c r="H63" s="882"/>
      <c r="I63" s="882"/>
      <c r="J63" s="883"/>
      <c r="K63" s="19">
        <f t="shared" si="6"/>
        <v>3</v>
      </c>
      <c r="L63" s="19">
        <f t="shared" si="7"/>
        <v>3</v>
      </c>
      <c r="M63" s="158"/>
      <c r="N63" s="158"/>
      <c r="O63" s="158"/>
    </row>
    <row r="64" spans="1:15" ht="70">
      <c r="A64" s="658" t="str">
        <f t="shared" si="5"/>
        <v>4.1</v>
      </c>
      <c r="B64" s="276" t="s">
        <v>1495</v>
      </c>
      <c r="C64" s="886" t="s">
        <v>1496</v>
      </c>
      <c r="D64" s="886"/>
      <c r="E64" s="886"/>
      <c r="F64" s="886"/>
      <c r="G64" s="886"/>
      <c r="H64" s="886" t="s">
        <v>1555</v>
      </c>
      <c r="I64" s="886"/>
      <c r="J64" s="110"/>
      <c r="K64" s="19">
        <v>4</v>
      </c>
      <c r="L64" s="19">
        <v>1</v>
      </c>
      <c r="M64" s="158"/>
      <c r="N64" s="158"/>
      <c r="O64" s="158"/>
    </row>
    <row r="65" spans="1:15">
      <c r="A65" s="658" t="str">
        <f t="shared" si="5"/>
        <v>4.2</v>
      </c>
      <c r="B65" s="276" t="s">
        <v>1503</v>
      </c>
      <c r="C65" s="886" t="s">
        <v>733</v>
      </c>
      <c r="D65" s="886"/>
      <c r="E65" s="886"/>
      <c r="F65" s="886"/>
      <c r="G65" s="886"/>
      <c r="H65" s="886" t="s">
        <v>1554</v>
      </c>
      <c r="I65" s="886"/>
      <c r="J65" s="110"/>
      <c r="K65" s="19">
        <f t="shared" si="6"/>
        <v>4</v>
      </c>
      <c r="L65" s="19">
        <f t="shared" si="7"/>
        <v>2</v>
      </c>
      <c r="M65" s="158"/>
      <c r="N65" s="158"/>
      <c r="O65" s="158"/>
    </row>
    <row r="66" spans="1:15" ht="56">
      <c r="A66" s="658" t="str">
        <f t="shared" si="5"/>
        <v>4.3</v>
      </c>
      <c r="B66" s="276" t="s">
        <v>1497</v>
      </c>
      <c r="C66" s="886" t="s">
        <v>1498</v>
      </c>
      <c r="D66" s="886"/>
      <c r="E66" s="886"/>
      <c r="F66" s="886"/>
      <c r="G66" s="886"/>
      <c r="H66" s="886" t="s">
        <v>1499</v>
      </c>
      <c r="I66" s="886"/>
      <c r="J66" s="110"/>
      <c r="K66" s="19">
        <f t="shared" si="6"/>
        <v>4</v>
      </c>
      <c r="L66" s="19">
        <f t="shared" si="7"/>
        <v>3</v>
      </c>
      <c r="M66" s="158"/>
      <c r="N66" s="158"/>
      <c r="O66" s="158"/>
    </row>
    <row r="67" spans="1:15" ht="56">
      <c r="A67" s="658" t="str">
        <f t="shared" si="5"/>
        <v>4.4</v>
      </c>
      <c r="B67" s="276" t="s">
        <v>1556</v>
      </c>
      <c r="C67" s="886" t="s">
        <v>1557</v>
      </c>
      <c r="D67" s="886"/>
      <c r="E67" s="886"/>
      <c r="F67" s="886"/>
      <c r="G67" s="886"/>
      <c r="H67" s="886" t="s">
        <v>1499</v>
      </c>
      <c r="I67" s="886"/>
      <c r="J67" s="110"/>
      <c r="K67" s="19">
        <f t="shared" si="6"/>
        <v>4</v>
      </c>
      <c r="L67" s="19">
        <f t="shared" si="7"/>
        <v>4</v>
      </c>
      <c r="M67" s="158"/>
      <c r="N67" s="158"/>
      <c r="O67" s="158"/>
    </row>
    <row r="68" spans="1:15" ht="15" customHeight="1">
      <c r="A68" s="881" t="s">
        <v>1591</v>
      </c>
      <c r="B68" s="882"/>
      <c r="C68" s="882"/>
      <c r="D68" s="882"/>
      <c r="E68" s="882"/>
      <c r="F68" s="882"/>
      <c r="G68" s="882"/>
      <c r="H68" s="882"/>
      <c r="I68" s="882"/>
      <c r="J68" s="883"/>
      <c r="M68" s="158"/>
      <c r="N68" s="158"/>
      <c r="O68" s="158"/>
    </row>
    <row r="69" spans="1:15" ht="70">
      <c r="A69" s="658" t="str">
        <f t="shared" si="5"/>
        <v>5.1</v>
      </c>
      <c r="B69" s="276" t="s">
        <v>1495</v>
      </c>
      <c r="C69" s="886" t="s">
        <v>1496</v>
      </c>
      <c r="D69" s="886"/>
      <c r="E69" s="886"/>
      <c r="F69" s="886"/>
      <c r="G69" s="886"/>
      <c r="H69" s="886" t="s">
        <v>1555</v>
      </c>
      <c r="I69" s="886"/>
      <c r="J69" s="110"/>
      <c r="K69" s="19">
        <v>5</v>
      </c>
      <c r="L69" s="19">
        <f t="shared" si="7"/>
        <v>1</v>
      </c>
      <c r="M69" s="158"/>
      <c r="N69" s="158"/>
      <c r="O69" s="158"/>
    </row>
    <row r="70" spans="1:15">
      <c r="A70" s="658" t="str">
        <f t="shared" si="5"/>
        <v>5.2</v>
      </c>
      <c r="B70" s="276" t="s">
        <v>1503</v>
      </c>
      <c r="C70" s="886" t="s">
        <v>733</v>
      </c>
      <c r="D70" s="886"/>
      <c r="E70" s="886"/>
      <c r="F70" s="886"/>
      <c r="G70" s="886"/>
      <c r="H70" s="886" t="s">
        <v>1554</v>
      </c>
      <c r="I70" s="886"/>
      <c r="J70" s="110"/>
      <c r="K70" s="19">
        <f t="shared" si="6"/>
        <v>5</v>
      </c>
      <c r="L70" s="19">
        <f t="shared" si="7"/>
        <v>2</v>
      </c>
      <c r="M70" s="158"/>
      <c r="N70" s="158"/>
      <c r="O70" s="158"/>
    </row>
    <row r="71" spans="1:15" ht="56">
      <c r="A71" s="658" t="str">
        <f t="shared" si="5"/>
        <v>5.3</v>
      </c>
      <c r="B71" s="276" t="s">
        <v>1497</v>
      </c>
      <c r="C71" s="886" t="s">
        <v>1498</v>
      </c>
      <c r="D71" s="886"/>
      <c r="E71" s="886"/>
      <c r="F71" s="886"/>
      <c r="G71" s="886"/>
      <c r="H71" s="886" t="s">
        <v>1499</v>
      </c>
      <c r="I71" s="886"/>
      <c r="J71" s="110"/>
      <c r="K71" s="19">
        <f t="shared" si="6"/>
        <v>5</v>
      </c>
      <c r="L71" s="19">
        <f t="shared" si="7"/>
        <v>3</v>
      </c>
      <c r="M71" s="158"/>
      <c r="N71" s="158"/>
      <c r="O71" s="158"/>
    </row>
    <row r="72" spans="1:15" ht="56">
      <c r="A72" s="658" t="str">
        <f t="shared" si="5"/>
        <v>5.4</v>
      </c>
      <c r="B72" s="276" t="s">
        <v>1556</v>
      </c>
      <c r="C72" s="886" t="s">
        <v>1557</v>
      </c>
      <c r="D72" s="886"/>
      <c r="E72" s="886"/>
      <c r="F72" s="886"/>
      <c r="G72" s="886"/>
      <c r="H72" s="886" t="s">
        <v>1499</v>
      </c>
      <c r="I72" s="886"/>
      <c r="J72" s="110"/>
      <c r="K72" s="19">
        <f t="shared" si="6"/>
        <v>5</v>
      </c>
      <c r="L72" s="19">
        <f t="shared" si="7"/>
        <v>4</v>
      </c>
      <c r="M72" s="158"/>
      <c r="N72" s="158"/>
      <c r="O72" s="158"/>
    </row>
    <row r="73" spans="1:15" ht="15.5">
      <c r="A73" s="881" t="s">
        <v>1592</v>
      </c>
      <c r="B73" s="882"/>
      <c r="C73" s="882"/>
      <c r="D73" s="882"/>
      <c r="E73" s="882"/>
      <c r="F73" s="882"/>
      <c r="G73" s="882"/>
      <c r="H73" s="882"/>
      <c r="I73" s="882"/>
      <c r="J73" s="883"/>
      <c r="K73" s="19">
        <v>6</v>
      </c>
      <c r="L73" s="19">
        <v>0</v>
      </c>
      <c r="M73" s="158"/>
      <c r="N73" s="158"/>
      <c r="O73" s="158"/>
    </row>
    <row r="74" spans="1:15" ht="70">
      <c r="A74" s="658" t="str">
        <f t="shared" si="5"/>
        <v>6.1</v>
      </c>
      <c r="B74" s="276" t="s">
        <v>1495</v>
      </c>
      <c r="C74" s="886" t="s">
        <v>1496</v>
      </c>
      <c r="D74" s="886"/>
      <c r="E74" s="886"/>
      <c r="F74" s="886"/>
      <c r="G74" s="886"/>
      <c r="H74" s="886" t="s">
        <v>1593</v>
      </c>
      <c r="I74" s="886"/>
      <c r="J74" s="110"/>
      <c r="K74" s="19">
        <f t="shared" si="6"/>
        <v>6</v>
      </c>
      <c r="L74" s="19">
        <f t="shared" si="7"/>
        <v>1</v>
      </c>
      <c r="M74" s="158"/>
      <c r="N74" s="158"/>
      <c r="O74" s="158"/>
    </row>
    <row r="75" spans="1:15" ht="56">
      <c r="A75" s="658" t="str">
        <f t="shared" si="5"/>
        <v>6.2</v>
      </c>
      <c r="B75" s="276" t="s">
        <v>1497</v>
      </c>
      <c r="C75" s="886" t="s">
        <v>1498</v>
      </c>
      <c r="D75" s="886"/>
      <c r="E75" s="886"/>
      <c r="F75" s="886"/>
      <c r="G75" s="886"/>
      <c r="H75" s="886" t="s">
        <v>1499</v>
      </c>
      <c r="I75" s="886"/>
      <c r="J75" s="110"/>
      <c r="K75" s="19">
        <f t="shared" si="6"/>
        <v>6</v>
      </c>
      <c r="L75" s="19">
        <f t="shared" si="7"/>
        <v>2</v>
      </c>
      <c r="M75" s="158"/>
      <c r="N75" s="158"/>
      <c r="O75" s="158"/>
    </row>
    <row r="76" spans="1:15" ht="15.5">
      <c r="A76" s="881" t="s">
        <v>1594</v>
      </c>
      <c r="B76" s="882"/>
      <c r="C76" s="882"/>
      <c r="D76" s="882"/>
      <c r="E76" s="882"/>
      <c r="F76" s="882"/>
      <c r="G76" s="882"/>
      <c r="H76" s="882"/>
      <c r="I76" s="882"/>
      <c r="J76" s="883"/>
      <c r="K76" s="19">
        <f t="shared" si="6"/>
        <v>6</v>
      </c>
      <c r="L76" s="19">
        <f t="shared" si="7"/>
        <v>3</v>
      </c>
      <c r="M76" s="158"/>
      <c r="N76" s="158"/>
      <c r="O76" s="158"/>
    </row>
    <row r="77" spans="1:15" ht="70">
      <c r="A77" s="658" t="str">
        <f t="shared" si="5"/>
        <v>7.1</v>
      </c>
      <c r="B77" s="276" t="s">
        <v>1495</v>
      </c>
      <c r="C77" s="886" t="s">
        <v>1496</v>
      </c>
      <c r="D77" s="886"/>
      <c r="E77" s="886"/>
      <c r="F77" s="886"/>
      <c r="G77" s="886"/>
      <c r="H77" s="886" t="s">
        <v>1593</v>
      </c>
      <c r="I77" s="886"/>
      <c r="J77" s="110"/>
      <c r="K77" s="19">
        <v>7</v>
      </c>
      <c r="L77" s="19">
        <v>1</v>
      </c>
      <c r="M77" s="158"/>
      <c r="N77" s="158"/>
      <c r="O77" s="158"/>
    </row>
    <row r="78" spans="1:15" ht="56">
      <c r="A78" s="658" t="str">
        <f t="shared" si="5"/>
        <v>7.2</v>
      </c>
      <c r="B78" s="276" t="s">
        <v>1497</v>
      </c>
      <c r="C78" s="886" t="s">
        <v>1498</v>
      </c>
      <c r="D78" s="886"/>
      <c r="E78" s="886"/>
      <c r="F78" s="886"/>
      <c r="G78" s="886"/>
      <c r="H78" s="886" t="s">
        <v>1499</v>
      </c>
      <c r="I78" s="886"/>
      <c r="J78" s="110"/>
      <c r="K78" s="19">
        <f t="shared" si="6"/>
        <v>7</v>
      </c>
      <c r="L78" s="19">
        <f t="shared" si="7"/>
        <v>2</v>
      </c>
      <c r="M78" s="158"/>
      <c r="N78" s="158"/>
      <c r="O78" s="158"/>
    </row>
    <row r="79" spans="1:15" ht="15" customHeight="1">
      <c r="A79" s="881" t="s">
        <v>1597</v>
      </c>
      <c r="B79" s="882"/>
      <c r="C79" s="882"/>
      <c r="D79" s="882"/>
      <c r="E79" s="882"/>
      <c r="F79" s="882"/>
      <c r="G79" s="882"/>
      <c r="H79" s="882"/>
      <c r="I79" s="882"/>
      <c r="J79" s="883"/>
      <c r="K79" s="19">
        <f t="shared" si="6"/>
        <v>7</v>
      </c>
      <c r="L79" s="19">
        <f t="shared" si="7"/>
        <v>3</v>
      </c>
      <c r="M79" s="158"/>
      <c r="N79" s="158"/>
      <c r="O79" s="158"/>
    </row>
    <row r="80" spans="1:15" ht="70">
      <c r="A80" s="658" t="str">
        <f t="shared" si="5"/>
        <v>8.1</v>
      </c>
      <c r="B80" s="276" t="s">
        <v>1495</v>
      </c>
      <c r="C80" s="886" t="s">
        <v>1496</v>
      </c>
      <c r="D80" s="886"/>
      <c r="E80" s="886"/>
      <c r="F80" s="886"/>
      <c r="G80" s="886"/>
      <c r="H80" s="886" t="s">
        <v>1599</v>
      </c>
      <c r="I80" s="886"/>
      <c r="J80" s="110"/>
      <c r="K80" s="19">
        <v>8</v>
      </c>
      <c r="L80" s="19">
        <v>1</v>
      </c>
      <c r="M80" s="158"/>
      <c r="N80" s="158"/>
      <c r="O80" s="158"/>
    </row>
    <row r="81" spans="1:20" ht="56">
      <c r="A81" s="658" t="str">
        <f t="shared" si="5"/>
        <v>8.2</v>
      </c>
      <c r="B81" s="276" t="s">
        <v>1497</v>
      </c>
      <c r="C81" s="886" t="s">
        <v>1498</v>
      </c>
      <c r="D81" s="886"/>
      <c r="E81" s="886"/>
      <c r="F81" s="886"/>
      <c r="G81" s="886"/>
      <c r="H81" s="886" t="s">
        <v>1499</v>
      </c>
      <c r="I81" s="886"/>
      <c r="J81" s="110"/>
      <c r="K81" s="19">
        <f t="shared" si="6"/>
        <v>8</v>
      </c>
      <c r="L81" s="19">
        <f t="shared" si="7"/>
        <v>2</v>
      </c>
      <c r="M81" s="158"/>
      <c r="N81" s="158"/>
      <c r="O81" s="158"/>
    </row>
    <row r="82" spans="1:20" ht="15" customHeight="1">
      <c r="A82" s="881" t="s">
        <v>1598</v>
      </c>
      <c r="B82" s="882"/>
      <c r="C82" s="882"/>
      <c r="D82" s="882"/>
      <c r="E82" s="882"/>
      <c r="F82" s="882"/>
      <c r="G82" s="882"/>
      <c r="H82" s="882"/>
      <c r="I82" s="882"/>
      <c r="J82" s="883"/>
      <c r="K82" s="19">
        <f t="shared" si="6"/>
        <v>8</v>
      </c>
      <c r="L82" s="19">
        <f t="shared" si="7"/>
        <v>3</v>
      </c>
      <c r="M82" s="158"/>
      <c r="N82" s="158"/>
      <c r="O82" s="158"/>
    </row>
    <row r="83" spans="1:20" ht="70">
      <c r="A83" s="658" t="str">
        <f t="shared" si="5"/>
        <v>9.1</v>
      </c>
      <c r="B83" s="276" t="s">
        <v>1495</v>
      </c>
      <c r="C83" s="886" t="s">
        <v>1496</v>
      </c>
      <c r="D83" s="886"/>
      <c r="E83" s="886"/>
      <c r="F83" s="886"/>
      <c r="G83" s="886"/>
      <c r="H83" s="886" t="s">
        <v>1613</v>
      </c>
      <c r="I83" s="886"/>
      <c r="J83" s="110"/>
      <c r="K83" s="19">
        <v>9</v>
      </c>
      <c r="L83" s="19">
        <v>1</v>
      </c>
      <c r="M83" s="158"/>
      <c r="N83" s="158"/>
      <c r="O83" s="158"/>
    </row>
    <row r="84" spans="1:20" ht="56">
      <c r="A84" s="658" t="str">
        <f t="shared" si="5"/>
        <v>9.2</v>
      </c>
      <c r="B84" s="276" t="s">
        <v>1497</v>
      </c>
      <c r="C84" s="886" t="s">
        <v>1498</v>
      </c>
      <c r="D84" s="886"/>
      <c r="E84" s="886"/>
      <c r="F84" s="886"/>
      <c r="G84" s="886"/>
      <c r="H84" s="886" t="s">
        <v>1499</v>
      </c>
      <c r="I84" s="886"/>
      <c r="J84" s="110"/>
      <c r="K84" s="19">
        <f t="shared" si="6"/>
        <v>9</v>
      </c>
      <c r="L84" s="19">
        <f t="shared" si="7"/>
        <v>2</v>
      </c>
      <c r="M84" s="158"/>
      <c r="N84" s="158"/>
      <c r="O84" s="158"/>
    </row>
    <row r="85" spans="1:20" ht="23">
      <c r="A85" s="581" t="s">
        <v>1180</v>
      </c>
      <c r="B85" s="578"/>
      <c r="C85" s="579"/>
      <c r="D85" s="579"/>
      <c r="E85" s="579"/>
      <c r="F85" s="579"/>
      <c r="G85" s="579"/>
      <c r="H85" s="579"/>
      <c r="I85" s="579"/>
      <c r="J85" s="580"/>
      <c r="K85" s="19" t="s">
        <v>1179</v>
      </c>
      <c r="M85" s="158"/>
      <c r="N85" s="158"/>
      <c r="O85" s="158"/>
    </row>
    <row r="86" spans="1:20" s="245" customFormat="1" ht="70" customHeight="1" outlineLevel="1">
      <c r="A86" s="766" t="s">
        <v>741</v>
      </c>
      <c r="B86" s="766"/>
      <c r="C86" s="225"/>
      <c r="D86" s="772" t="str">
        <f>ПОДПИСИ!B5</f>
        <v>Начальник мастерского участка №1 Курортного РЭС ПАО «Россети Ленэнерго» «СЭС»</v>
      </c>
      <c r="E86" s="772"/>
      <c r="F86" s="772"/>
      <c r="G86" s="19"/>
      <c r="H86" s="54"/>
      <c r="I86" s="23"/>
      <c r="J86" s="48" t="str">
        <f>ПОДПИСИ!E5</f>
        <v>Д.М. Чечин</v>
      </c>
      <c r="K86" s="245">
        <f>IF(OR(ФОРМА!I16=1,ФОРМА!I16="+"),1,0)</f>
        <v>0</v>
      </c>
      <c r="Q86" s="246"/>
    </row>
    <row r="87" spans="1:20" s="245" customFormat="1" ht="9" customHeight="1" outlineLevel="1">
      <c r="A87" s="225"/>
      <c r="B87" s="225"/>
      <c r="C87" s="225"/>
      <c r="D87" s="750" t="s">
        <v>48</v>
      </c>
      <c r="E87" s="750"/>
      <c r="F87" s="750"/>
      <c r="G87" s="225"/>
      <c r="H87" s="243" t="s">
        <v>49</v>
      </c>
      <c r="I87" s="227"/>
      <c r="J87" s="243" t="s">
        <v>50</v>
      </c>
      <c r="K87" s="548">
        <f>IF(K86=1,1,0)</f>
        <v>0</v>
      </c>
      <c r="Q87" s="246"/>
    </row>
    <row r="88" spans="1:20" s="245" customFormat="1" ht="60" hidden="1" customHeight="1" outlineLevel="1">
      <c r="A88" s="766" t="s">
        <v>741</v>
      </c>
      <c r="B88" s="766"/>
      <c r="C88" s="225"/>
      <c r="D88" s="772" t="str">
        <f>[1]ПОДПИСИ!B6</f>
        <v>Начальник мастерского участка №1 Курортного РЭС ПАО «Россети Ленэнерго» «СЭС»</v>
      </c>
      <c r="E88" s="772"/>
      <c r="F88" s="772"/>
      <c r="G88" s="19"/>
      <c r="H88" s="54"/>
      <c r="I88" s="23"/>
      <c r="J88" s="48" t="str">
        <f>[1]ПОДПИСИ!E6</f>
        <v>Д.М. Чечин</v>
      </c>
      <c r="K88" s="245">
        <f>IF(OR([1]ФОРМА!G16=1,[1]ФОРМА!G16="+"),1,0)</f>
        <v>0</v>
      </c>
      <c r="Q88" s="246"/>
    </row>
    <row r="89" spans="1:20" s="245" customFormat="1" ht="15" hidden="1" customHeight="1" outlineLevel="1">
      <c r="A89" s="225"/>
      <c r="B89" s="225"/>
      <c r="C89" s="225"/>
      <c r="D89" s="750" t="s">
        <v>48</v>
      </c>
      <c r="E89" s="750"/>
      <c r="F89" s="750"/>
      <c r="G89" s="225"/>
      <c r="H89" s="243" t="s">
        <v>49</v>
      </c>
      <c r="I89" s="227"/>
      <c r="J89" s="243" t="s">
        <v>50</v>
      </c>
      <c r="K89" s="548">
        <f>IF(K88=1,1,0)</f>
        <v>0</v>
      </c>
      <c r="Q89" s="246"/>
    </row>
    <row r="90" spans="1:20" s="245" customFormat="1" ht="55.9" hidden="1" customHeight="1">
      <c r="A90" s="766" t="s">
        <v>741</v>
      </c>
      <c r="B90" s="766"/>
      <c r="C90" s="225"/>
      <c r="D90" s="772" t="str">
        <f>[1]ПОДПИСИ!B7</f>
        <v>Начальник мастерского участка №1 Курортного РЭС ПАО «Россети Ленэнерго» «СЭС»</v>
      </c>
      <c r="E90" s="772"/>
      <c r="F90" s="772"/>
      <c r="G90" s="19"/>
      <c r="H90" s="54"/>
      <c r="I90" s="23"/>
      <c r="J90" s="48" t="str">
        <f>[1]ПОДПИСИ!E7</f>
        <v>Д.М. Чечин</v>
      </c>
      <c r="K90" s="245">
        <f>IF(OR([1]ФОРМА!H16=1,[1]ФОРМА!H16="+"),1,0)</f>
        <v>0</v>
      </c>
      <c r="Q90" s="246"/>
    </row>
    <row r="91" spans="1:20" s="245" customFormat="1" ht="15" hidden="1" customHeight="1">
      <c r="A91" s="225"/>
      <c r="B91" s="225"/>
      <c r="C91" s="225"/>
      <c r="D91" s="750" t="s">
        <v>48</v>
      </c>
      <c r="E91" s="750"/>
      <c r="F91" s="750"/>
      <c r="G91" s="225"/>
      <c r="H91" s="243" t="s">
        <v>49</v>
      </c>
      <c r="I91" s="227"/>
      <c r="J91" s="243" t="s">
        <v>50</v>
      </c>
      <c r="K91" s="548">
        <f>IF(K90=1,1,0)</f>
        <v>0</v>
      </c>
      <c r="Q91" s="246"/>
    </row>
    <row r="92" spans="1:20" s="245" customFormat="1" ht="49.5" customHeight="1">
      <c r="A92" s="766" t="s">
        <v>720</v>
      </c>
      <c r="B92" s="766"/>
      <c r="C92" s="19"/>
      <c r="D92" s="772" t="str">
        <f>ПОДПИСИ!B15</f>
        <v xml:space="preserve">Заместитель генерального директора ООО «БЭСК» </v>
      </c>
      <c r="E92" s="772"/>
      <c r="F92" s="772"/>
      <c r="G92" s="19"/>
      <c r="H92" s="54"/>
      <c r="I92" s="23"/>
      <c r="J92" s="48" t="str">
        <f>ПОДПИСИ!E15</f>
        <v>А.С. Матвеев</v>
      </c>
      <c r="Q92" s="246"/>
    </row>
    <row r="93" spans="1:20" ht="15" customHeight="1">
      <c r="D93" s="736" t="s">
        <v>48</v>
      </c>
      <c r="E93" s="736"/>
      <c r="F93" s="736"/>
      <c r="H93" s="46" t="s">
        <v>49</v>
      </c>
      <c r="I93" s="21"/>
      <c r="J93" s="46" t="s">
        <v>50</v>
      </c>
      <c r="O93" s="21"/>
      <c r="R93" s="21"/>
      <c r="S93" s="21"/>
      <c r="T93" s="21"/>
    </row>
    <row r="94" spans="1:20" ht="38.5" customHeight="1">
      <c r="A94" s="766" t="s">
        <v>718</v>
      </c>
      <c r="B94" s="767"/>
      <c r="D94" s="772" t="str">
        <f>ПОДПИСИ!B12</f>
        <v xml:space="preserve">Производитель работ ООО«БЭСК» </v>
      </c>
      <c r="E94" s="772"/>
      <c r="F94" s="772"/>
      <c r="H94" s="54"/>
      <c r="I94" s="23"/>
      <c r="J94" s="48" t="str">
        <f>ПОДПИСИ!E12</f>
        <v>А.Р. Махмадов</v>
      </c>
    </row>
    <row r="95" spans="1:20" ht="15" customHeight="1">
      <c r="A95" s="225"/>
      <c r="B95" s="225"/>
      <c r="C95" s="225"/>
      <c r="D95" s="750" t="s">
        <v>48</v>
      </c>
      <c r="E95" s="750"/>
      <c r="F95" s="750"/>
      <c r="G95" s="225"/>
      <c r="H95" s="243" t="s">
        <v>49</v>
      </c>
      <c r="I95" s="227"/>
      <c r="J95" s="243" t="s">
        <v>50</v>
      </c>
      <c r="O95" s="21"/>
      <c r="R95" s="21"/>
      <c r="S95" s="21"/>
      <c r="T95" s="21"/>
    </row>
    <row r="96" spans="1:20" s="225" customFormat="1" ht="9.5">
      <c r="D96" s="232"/>
      <c r="E96" s="232"/>
      <c r="F96" s="232"/>
      <c r="H96" s="232"/>
      <c r="I96" s="227"/>
      <c r="J96" s="232"/>
      <c r="O96" s="227"/>
      <c r="Q96" s="244"/>
      <c r="R96" s="227"/>
      <c r="S96" s="227"/>
      <c r="T96" s="227"/>
    </row>
    <row r="97" spans="1:20" s="225" customFormat="1" ht="14">
      <c r="A97" s="766" t="s">
        <v>530</v>
      </c>
      <c r="B97" s="766"/>
      <c r="C97" s="19"/>
      <c r="D97" s="772" t="e">
        <f>IF(ПОДПИСИ!#REF!=0," ",ПОДПИСИ!#REF!)</f>
        <v>#REF!</v>
      </c>
      <c r="E97" s="772"/>
      <c r="F97" s="772"/>
      <c r="G97" s="19"/>
      <c r="H97" s="54"/>
      <c r="I97" s="23"/>
      <c r="J97" s="48" t="e">
        <f>IF(ПОДПИСИ!#REF!=0," ",ПОДПИСИ!#REF!)</f>
        <v>#REF!</v>
      </c>
      <c r="O97" s="227"/>
      <c r="Q97" s="244"/>
      <c r="R97" s="227"/>
      <c r="S97" s="227"/>
      <c r="T97" s="227"/>
    </row>
    <row r="98" spans="1:20" ht="15" customHeight="1">
      <c r="A98" s="225"/>
      <c r="B98" s="225"/>
      <c r="C98" s="225"/>
      <c r="D98" s="750" t="s">
        <v>48</v>
      </c>
      <c r="E98" s="750"/>
      <c r="F98" s="750"/>
      <c r="G98" s="225"/>
      <c r="H98" s="243" t="s">
        <v>49</v>
      </c>
      <c r="I98" s="227"/>
      <c r="J98" s="243" t="s">
        <v>50</v>
      </c>
      <c r="Q98" s="155"/>
    </row>
    <row r="99" spans="1:20" s="225" customFormat="1" ht="14">
      <c r="A99" s="818"/>
      <c r="B99" s="818"/>
      <c r="C99" s="19"/>
      <c r="D99" s="772" t="e">
        <f>IF(ПОДПИСИ!#REF!=0," ",ПОДПИСИ!#REF!)</f>
        <v>#REF!</v>
      </c>
      <c r="E99" s="772"/>
      <c r="F99" s="772"/>
      <c r="G99" s="19"/>
      <c r="H99" s="54"/>
      <c r="I99" s="23"/>
      <c r="J99" s="48" t="e">
        <f>IF(ПОДПИСИ!#REF!=0," ",ПОДПИСИ!#REF!)</f>
        <v>#REF!</v>
      </c>
      <c r="Q99" s="244"/>
    </row>
    <row r="100" spans="1:20" ht="14">
      <c r="A100" s="225"/>
      <c r="B100" s="225"/>
      <c r="C100" s="225"/>
      <c r="D100" s="750" t="s">
        <v>48</v>
      </c>
      <c r="E100" s="750"/>
      <c r="F100" s="750"/>
      <c r="G100" s="225"/>
      <c r="H100" s="243" t="s">
        <v>49</v>
      </c>
      <c r="I100" s="227"/>
      <c r="J100" s="243" t="s">
        <v>50</v>
      </c>
      <c r="Q100" s="155"/>
    </row>
    <row r="101" spans="1:20" s="225" customFormat="1" ht="14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Q101" s="244"/>
    </row>
    <row r="103" spans="1:20" ht="14">
      <c r="Q103" s="159"/>
    </row>
    <row r="104" spans="1:20" ht="14">
      <c r="Q104" s="155"/>
    </row>
    <row r="105" spans="1:20" ht="14">
      <c r="Q105" s="155"/>
    </row>
    <row r="108" spans="1:20" ht="14">
      <c r="Q108" s="155"/>
    </row>
    <row r="109" spans="1:20" ht="14">
      <c r="Q109" s="155"/>
    </row>
    <row r="111" spans="1:20" ht="14">
      <c r="Q111" s="155"/>
    </row>
    <row r="112" spans="1:20" ht="14">
      <c r="Q112" s="155"/>
    </row>
    <row r="113" spans="17:17" ht="14">
      <c r="Q113" s="155"/>
    </row>
    <row r="114" spans="17:17" ht="14">
      <c r="Q114" s="155"/>
    </row>
    <row r="115" spans="17:17" ht="14">
      <c r="Q115" s="155"/>
    </row>
    <row r="117" spans="17:17" ht="14">
      <c r="Q117" s="155"/>
    </row>
    <row r="118" spans="17:17" ht="14">
      <c r="Q118" s="160"/>
    </row>
    <row r="119" spans="17:17" ht="14">
      <c r="Q119" s="155"/>
    </row>
    <row r="120" spans="17:17" ht="14">
      <c r="Q120" s="161"/>
    </row>
    <row r="121" spans="17:17" ht="14">
      <c r="Q121" s="155"/>
    </row>
    <row r="122" spans="17:17" ht="14">
      <c r="Q122" s="162"/>
    </row>
    <row r="123" spans="17:17" ht="14">
      <c r="Q123" s="155"/>
    </row>
    <row r="124" spans="17:17" ht="14">
      <c r="Q124" s="161"/>
    </row>
    <row r="125" spans="17:17" ht="14">
      <c r="Q125" s="155"/>
    </row>
    <row r="126" spans="17:17" ht="14">
      <c r="Q126" s="160"/>
    </row>
    <row r="127" spans="17:17" ht="14">
      <c r="Q127" s="155"/>
    </row>
    <row r="128" spans="17:17" ht="14">
      <c r="Q128" s="160"/>
    </row>
    <row r="129" spans="17:17" ht="14">
      <c r="Q129" s="155"/>
    </row>
    <row r="131" spans="17:17" ht="14">
      <c r="Q131" s="155"/>
    </row>
    <row r="133" spans="17:17" ht="14">
      <c r="Q133" s="155"/>
    </row>
    <row r="134" spans="17:17" ht="14">
      <c r="Q134" s="155"/>
    </row>
    <row r="136" spans="17:17" ht="14">
      <c r="Q136" s="155"/>
    </row>
    <row r="137" spans="17:17" ht="14">
      <c r="Q137" s="155"/>
    </row>
    <row r="138" spans="17:17" ht="14">
      <c r="Q138" s="155"/>
    </row>
    <row r="139" spans="17:17" ht="14">
      <c r="Q139" s="155"/>
    </row>
    <row r="140" spans="17:17" ht="14">
      <c r="Q140" s="155"/>
    </row>
    <row r="141" spans="17:17" ht="14">
      <c r="Q141" s="155"/>
    </row>
    <row r="142" spans="17:17" ht="14">
      <c r="Q142" s="155"/>
    </row>
    <row r="143" spans="17:17" ht="14">
      <c r="Q143" s="155"/>
    </row>
    <row r="144" spans="17:17" ht="14">
      <c r="Q144" s="155"/>
    </row>
    <row r="145" spans="17:17" ht="14">
      <c r="Q145" s="155"/>
    </row>
    <row r="146" spans="17:17" ht="14">
      <c r="Q146" s="155"/>
    </row>
    <row r="147" spans="17:17" ht="14">
      <c r="Q147" s="155"/>
    </row>
  </sheetData>
  <autoFilter ref="A85:K92" xr:uid="{00000000-0001-0000-0800-000000000000}">
    <filterColumn colId="10">
      <filters blank="1">
        <filter val="1"/>
      </filters>
    </filterColumn>
  </autoFilter>
  <mergeCells count="239">
    <mergeCell ref="A99:B99"/>
    <mergeCell ref="D99:F99"/>
    <mergeCell ref="D100:F100"/>
    <mergeCell ref="A92:B92"/>
    <mergeCell ref="D92:F92"/>
    <mergeCell ref="D93:F93"/>
    <mergeCell ref="A94:B94"/>
    <mergeCell ref="D94:F94"/>
    <mergeCell ref="D95:F95"/>
    <mergeCell ref="A90:B90"/>
    <mergeCell ref="D90:F90"/>
    <mergeCell ref="D91:F91"/>
    <mergeCell ref="A86:B86"/>
    <mergeCell ref="D86:F86"/>
    <mergeCell ref="D87:F87"/>
    <mergeCell ref="A97:B97"/>
    <mergeCell ref="D97:F97"/>
    <mergeCell ref="D98:F98"/>
    <mergeCell ref="C84:E84"/>
    <mergeCell ref="F84:G84"/>
    <mergeCell ref="H84:I84"/>
    <mergeCell ref="C83:E83"/>
    <mergeCell ref="F83:G83"/>
    <mergeCell ref="H83:I83"/>
    <mergeCell ref="A88:B88"/>
    <mergeCell ref="D88:F88"/>
    <mergeCell ref="D89:F89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72:E72"/>
    <mergeCell ref="F72:G72"/>
    <mergeCell ref="H72:I72"/>
    <mergeCell ref="C70:E70"/>
    <mergeCell ref="F70:G70"/>
    <mergeCell ref="H70:I70"/>
    <mergeCell ref="C71:E71"/>
    <mergeCell ref="F71:G71"/>
    <mergeCell ref="H71:I71"/>
    <mergeCell ref="C69:E69"/>
    <mergeCell ref="F69:G69"/>
    <mergeCell ref="H69:I69"/>
    <mergeCell ref="A68:J68"/>
    <mergeCell ref="C66:E66"/>
    <mergeCell ref="F66:G66"/>
    <mergeCell ref="H66:I66"/>
    <mergeCell ref="C67:E67"/>
    <mergeCell ref="F67:G67"/>
    <mergeCell ref="H67:I67"/>
    <mergeCell ref="A63:J63"/>
    <mergeCell ref="C64:E64"/>
    <mergeCell ref="F64:G64"/>
    <mergeCell ref="H64:I64"/>
    <mergeCell ref="C65:E65"/>
    <mergeCell ref="F65:G65"/>
    <mergeCell ref="H65:I65"/>
    <mergeCell ref="A60:J60"/>
    <mergeCell ref="C61:E61"/>
    <mergeCell ref="F61:G61"/>
    <mergeCell ref="H61:I61"/>
    <mergeCell ref="C62:E62"/>
    <mergeCell ref="F62:G62"/>
    <mergeCell ref="H62:I62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M2:N2"/>
    <mergeCell ref="A3:C3"/>
    <mergeCell ref="A73:J73"/>
    <mergeCell ref="A76:J76"/>
    <mergeCell ref="A79:J79"/>
    <mergeCell ref="A82:J82"/>
    <mergeCell ref="A4:C4"/>
    <mergeCell ref="I4:J4"/>
    <mergeCell ref="A5:C5"/>
    <mergeCell ref="E5:J5"/>
    <mergeCell ref="A6:C6"/>
    <mergeCell ref="E6:J6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</mergeCells>
  <conditionalFormatting sqref="A1:A12">
    <cfRule type="cellIs" dxfId="144" priority="6" operator="equal">
      <formula>0</formula>
    </cfRule>
  </conditionalFormatting>
  <conditionalFormatting sqref="D86:D92 H88:J88 I89:J89 H90:J90 I91:J91">
    <cfRule type="cellIs" dxfId="143" priority="1" operator="equal">
      <formula>0</formula>
    </cfRule>
  </conditionalFormatting>
  <conditionalFormatting sqref="D98">
    <cfRule type="cellIs" dxfId="142" priority="7" operator="equal">
      <formula>0</formula>
    </cfRule>
  </conditionalFormatting>
  <conditionalFormatting sqref="D100">
    <cfRule type="cellIs" dxfId="141" priority="3" operator="equal">
      <formula>0</formula>
    </cfRule>
  </conditionalFormatting>
  <conditionalFormatting sqref="D5:E12 H92:J92 H94:J94 D94:D96 I95:J96 O95:O97 R95:T97">
    <cfRule type="cellIs" dxfId="140" priority="8" operator="equal">
      <formula>0</formula>
    </cfRule>
  </conditionalFormatting>
  <conditionalFormatting sqref="H86:J86 I87:J87">
    <cfRule type="cellIs" dxfId="139" priority="2" operator="equal">
      <formula>0</formula>
    </cfRule>
  </conditionalFormatting>
  <conditionalFormatting sqref="Q2:Q7">
    <cfRule type="cellIs" dxfId="138" priority="5" operator="equal">
      <formula>0</formula>
    </cfRule>
  </conditionalFormatting>
  <conditionalFormatting sqref="Q9">
    <cfRule type="cellIs" dxfId="137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92D050"/>
    <pageSetUpPr fitToPage="1"/>
  </sheetPr>
  <dimension ref="A1:BI232"/>
  <sheetViews>
    <sheetView view="pageBreakPreview" topLeftCell="A150" zoomScale="60" zoomScaleNormal="100" workbookViewId="0">
      <selection sqref="A1:C1"/>
    </sheetView>
  </sheetViews>
  <sheetFormatPr defaultColWidth="9.1796875" defaultRowHeight="14.5" outlineLevelRow="1"/>
  <cols>
    <col min="1" max="1" width="7" style="19" customWidth="1"/>
    <col min="2" max="2" width="29.26953125" style="19" customWidth="1"/>
    <col min="3" max="3" width="2.7265625" style="19" customWidth="1"/>
    <col min="4" max="4" width="11.453125" style="19" customWidth="1"/>
    <col min="5" max="5" width="4.54296875" style="19" customWidth="1"/>
    <col min="6" max="6" width="15" style="19" customWidth="1"/>
    <col min="7" max="7" width="2.7265625" style="19" customWidth="1"/>
    <col min="8" max="8" width="14.1796875" style="19" customWidth="1"/>
    <col min="9" max="9" width="2.7265625" style="19" customWidth="1"/>
    <col min="10" max="10" width="16.81640625" style="19" customWidth="1"/>
    <col min="11" max="11" width="12.26953125" style="19" customWidth="1"/>
    <col min="12" max="12" width="3" style="19" customWidth="1"/>
    <col min="13" max="13" width="31.1796875" style="19" customWidth="1"/>
    <col min="14" max="14" width="19.54296875" style="19" customWidth="1"/>
    <col min="15" max="15" width="15.7265625" style="19" customWidth="1"/>
    <col min="16" max="16" width="9.1796875" style="19"/>
    <col min="17" max="17" width="54.26953125" style="158" customWidth="1"/>
    <col min="18" max="16384" width="9.1796875" style="19"/>
  </cols>
  <sheetData>
    <row r="1" spans="1:61" outlineLevel="1">
      <c r="A1" s="771"/>
      <c r="B1" s="771"/>
      <c r="C1" s="771"/>
      <c r="J1" s="20" t="s">
        <v>58</v>
      </c>
      <c r="K1" s="885">
        <v>0</v>
      </c>
      <c r="L1" s="885"/>
      <c r="M1"/>
      <c r="N1"/>
      <c r="O1"/>
      <c r="P1" s="206" t="s">
        <v>556</v>
      </c>
      <c r="Q1" s="155"/>
    </row>
    <row r="2" spans="1:61" outlineLevel="1">
      <c r="A2" s="771"/>
      <c r="B2" s="771"/>
      <c r="C2" s="771"/>
      <c r="J2" s="58" t="s">
        <v>35</v>
      </c>
      <c r="K2" s="815">
        <v>0</v>
      </c>
      <c r="L2" s="815"/>
      <c r="M2" s="880"/>
      <c r="N2" s="880"/>
      <c r="O2"/>
      <c r="Q2" s="144"/>
    </row>
    <row r="3" spans="1:61" ht="14" outlineLevel="1">
      <c r="A3" s="771"/>
      <c r="B3" s="771"/>
      <c r="C3" s="771"/>
      <c r="J3" s="58" t="s">
        <v>56</v>
      </c>
      <c r="Q3" s="156"/>
    </row>
    <row r="4" spans="1:61" ht="14" outlineLevel="1">
      <c r="A4" s="771"/>
      <c r="B4" s="771"/>
      <c r="C4" s="771"/>
      <c r="I4" s="844">
        <f>ФОРМА!B13</f>
        <v>45625</v>
      </c>
      <c r="J4" s="884"/>
      <c r="Q4" s="144"/>
    </row>
    <row r="5" spans="1:61" ht="15.75" customHeight="1" outlineLevel="1">
      <c r="A5" s="771"/>
      <c r="B5" s="771"/>
      <c r="C5" s="771"/>
      <c r="D5" s="23"/>
      <c r="E5" s="758" t="s">
        <v>71</v>
      </c>
      <c r="F5" s="758"/>
      <c r="G5" s="758"/>
      <c r="H5" s="758"/>
      <c r="I5" s="758"/>
      <c r="J5" s="758"/>
      <c r="Q5" s="156"/>
    </row>
    <row r="6" spans="1:61" s="50" customFormat="1" ht="15" customHeight="1" outlineLevel="1">
      <c r="A6" s="770"/>
      <c r="B6" s="770"/>
      <c r="C6" s="770"/>
      <c r="D6" s="21"/>
      <c r="E6" s="736" t="s">
        <v>0</v>
      </c>
      <c r="F6" s="736"/>
      <c r="G6" s="736"/>
      <c r="H6" s="736"/>
      <c r="I6" s="736"/>
      <c r="J6" s="736"/>
      <c r="Q6" s="144"/>
    </row>
    <row r="7" spans="1:61" ht="14" outlineLevel="1">
      <c r="A7" s="758" t="str">
        <f>ФОРМА!B4</f>
        <v>ООО «БЭСК»</v>
      </c>
      <c r="B7" s="758"/>
      <c r="C7" s="758"/>
      <c r="D7" s="23"/>
      <c r="E7" s="772" t="str">
        <f>ФОРМА!B2</f>
        <v>ПАО "Россети Ленэнерго"</v>
      </c>
      <c r="F7" s="772"/>
      <c r="G7" s="772"/>
      <c r="H7" s="772"/>
      <c r="I7" s="772"/>
      <c r="J7" s="772"/>
      <c r="Q7" s="156" t="str">
        <f>E7</f>
        <v>ПАО "Россети Ленэнерго"</v>
      </c>
    </row>
    <row r="8" spans="1:61" ht="14" outlineLevel="1">
      <c r="A8" s="736" t="s">
        <v>44</v>
      </c>
      <c r="B8" s="736"/>
      <c r="C8" s="736"/>
      <c r="D8" s="21"/>
      <c r="E8" s="736" t="s">
        <v>2</v>
      </c>
      <c r="F8" s="736"/>
      <c r="G8" s="736"/>
      <c r="H8" s="736"/>
      <c r="I8" s="736"/>
      <c r="J8" s="736"/>
      <c r="Q8" s="154"/>
    </row>
    <row r="9" spans="1:61" ht="112" outlineLevel="1">
      <c r="A9" s="758"/>
      <c r="B9" s="758"/>
      <c r="C9" s="758"/>
      <c r="D9" s="23"/>
      <c r="E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2"/>
      <c r="G9" s="772"/>
      <c r="H9" s="772"/>
      <c r="I9" s="772"/>
      <c r="J9" s="77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36" t="s">
        <v>45</v>
      </c>
      <c r="B10" s="736"/>
      <c r="C10" s="736"/>
      <c r="D10" s="21"/>
      <c r="E10" s="770" t="s">
        <v>38</v>
      </c>
      <c r="F10" s="770"/>
      <c r="G10" s="770"/>
      <c r="H10" s="770"/>
      <c r="I10" s="770"/>
      <c r="J10" s="770"/>
    </row>
    <row r="11" spans="1:61" ht="14" outlineLevel="1">
      <c r="A11" s="758"/>
      <c r="B11" s="758"/>
      <c r="C11" s="758"/>
      <c r="D11" s="23"/>
      <c r="E11" s="735">
        <f>ФОРМА!B13</f>
        <v>45625</v>
      </c>
      <c r="F11" s="758"/>
      <c r="G11" s="758"/>
      <c r="H11" s="758"/>
      <c r="I11" s="758"/>
      <c r="J11" s="758"/>
      <c r="Q11" s="155"/>
    </row>
    <row r="12" spans="1:61" ht="14.5" customHeight="1" outlineLevel="1">
      <c r="A12" s="736" t="s">
        <v>1</v>
      </c>
      <c r="B12" s="736"/>
      <c r="C12" s="736"/>
      <c r="D12" s="21"/>
      <c r="E12" s="736" t="s">
        <v>3</v>
      </c>
      <c r="F12" s="736"/>
      <c r="G12" s="736"/>
      <c r="H12" s="736"/>
      <c r="I12" s="736"/>
      <c r="J12" s="736"/>
    </row>
    <row r="13" spans="1:61" ht="34.5" customHeight="1">
      <c r="A13" s="821" t="s">
        <v>480</v>
      </c>
      <c r="B13" s="822"/>
      <c r="C13" s="822"/>
      <c r="D13" s="822"/>
      <c r="E13" s="822"/>
      <c r="F13" s="822"/>
      <c r="G13" s="822"/>
      <c r="H13" s="822"/>
      <c r="I13" s="822"/>
      <c r="J13" s="822"/>
    </row>
    <row r="14" spans="1:61" ht="40.5" customHeight="1">
      <c r="A14" s="59" t="s">
        <v>19</v>
      </c>
      <c r="B14" s="107" t="s">
        <v>88</v>
      </c>
      <c r="C14" s="829" t="s">
        <v>36</v>
      </c>
      <c r="D14" s="830"/>
      <c r="E14" s="831"/>
      <c r="F14" s="894" t="s">
        <v>93</v>
      </c>
      <c r="G14" s="895"/>
      <c r="H14" s="834" t="s">
        <v>59</v>
      </c>
      <c r="I14" s="834"/>
      <c r="J14" s="59" t="s">
        <v>27</v>
      </c>
    </row>
    <row r="15" spans="1:61" ht="15.5">
      <c r="A15" s="881" t="s">
        <v>1473</v>
      </c>
      <c r="B15" s="882"/>
      <c r="C15" s="882"/>
      <c r="D15" s="882"/>
      <c r="E15" s="882"/>
      <c r="F15" s="882"/>
      <c r="G15" s="882"/>
      <c r="H15" s="882"/>
      <c r="I15" s="882"/>
      <c r="J15" s="883"/>
    </row>
    <row r="16" spans="1:61">
      <c r="A16" s="601" t="s">
        <v>1180</v>
      </c>
      <c r="B16" s="888" t="s">
        <v>1504</v>
      </c>
      <c r="C16" s="889"/>
      <c r="D16" s="889"/>
      <c r="E16" s="889"/>
      <c r="F16" s="889"/>
      <c r="G16" s="889"/>
      <c r="H16" s="889"/>
      <c r="I16" s="889"/>
      <c r="J16" s="890"/>
      <c r="K16" s="19">
        <v>1</v>
      </c>
      <c r="L16" s="19">
        <v>1</v>
      </c>
    </row>
    <row r="17" spans="1:12" ht="28">
      <c r="A17" s="658" t="str">
        <f>CONCATENATE(K17,".",L17)</f>
        <v>1.2</v>
      </c>
      <c r="B17" s="276" t="s">
        <v>1505</v>
      </c>
      <c r="C17" s="886" t="s">
        <v>1506</v>
      </c>
      <c r="D17" s="886" t="s">
        <v>863</v>
      </c>
      <c r="E17" s="886" t="s">
        <v>863</v>
      </c>
      <c r="F17" s="886"/>
      <c r="G17" s="886"/>
      <c r="H17" s="886">
        <v>2</v>
      </c>
      <c r="I17" s="886">
        <f>1</f>
        <v>1</v>
      </c>
      <c r="J17" s="110"/>
      <c r="K17" s="19">
        <f>K16</f>
        <v>1</v>
      </c>
      <c r="L17" s="19">
        <f>L16+1</f>
        <v>2</v>
      </c>
    </row>
    <row r="18" spans="1:12" ht="28">
      <c r="A18" s="658" t="str">
        <f t="shared" ref="A18:A81" si="0">CONCATENATE(K18,".",L18)</f>
        <v>1.3</v>
      </c>
      <c r="B18" s="276" t="s">
        <v>1507</v>
      </c>
      <c r="C18" s="886" t="s">
        <v>1508</v>
      </c>
      <c r="D18" s="886" t="s">
        <v>863</v>
      </c>
      <c r="E18" s="886" t="s">
        <v>863</v>
      </c>
      <c r="F18" s="886"/>
      <c r="G18" s="886"/>
      <c r="H18" s="886">
        <v>1</v>
      </c>
      <c r="I18" s="886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>
      <c r="A19" s="655" t="str">
        <f t="shared" si="0"/>
        <v>1.4</v>
      </c>
      <c r="B19" s="656" t="s">
        <v>1509</v>
      </c>
      <c r="C19" s="891"/>
      <c r="D19" s="892"/>
      <c r="E19" s="893"/>
      <c r="F19" s="891"/>
      <c r="G19" s="893"/>
      <c r="H19" s="891"/>
      <c r="I19" s="893"/>
      <c r="J19" s="404"/>
      <c r="K19" s="19">
        <v>1</v>
      </c>
      <c r="L19" s="19">
        <f t="shared" si="2"/>
        <v>4</v>
      </c>
    </row>
    <row r="20" spans="1:12">
      <c r="A20" s="658" t="str">
        <f t="shared" si="0"/>
        <v>1.5</v>
      </c>
      <c r="B20" s="276" t="s">
        <v>1510</v>
      </c>
      <c r="C20" s="891" t="s">
        <v>1511</v>
      </c>
      <c r="D20" s="892"/>
      <c r="E20" s="893"/>
      <c r="F20" s="891"/>
      <c r="G20" s="893"/>
      <c r="H20" s="891" t="s">
        <v>1226</v>
      </c>
      <c r="I20" s="893"/>
      <c r="J20" s="404"/>
      <c r="K20" s="19">
        <f t="shared" si="1"/>
        <v>1</v>
      </c>
      <c r="L20" s="19">
        <f t="shared" si="2"/>
        <v>5</v>
      </c>
    </row>
    <row r="21" spans="1:12" ht="28">
      <c r="A21" s="658" t="str">
        <f t="shared" si="0"/>
        <v>1.6</v>
      </c>
      <c r="B21" s="276" t="s">
        <v>1512</v>
      </c>
      <c r="C21" s="891" t="s">
        <v>1508</v>
      </c>
      <c r="D21" s="892"/>
      <c r="E21" s="893"/>
      <c r="F21" s="891"/>
      <c r="G21" s="893"/>
      <c r="H21" s="891" t="s">
        <v>1513</v>
      </c>
      <c r="I21" s="893"/>
      <c r="J21" s="404"/>
      <c r="K21" s="19">
        <f t="shared" si="1"/>
        <v>1</v>
      </c>
      <c r="L21" s="19">
        <f t="shared" si="2"/>
        <v>6</v>
      </c>
    </row>
    <row r="22" spans="1:12" ht="28">
      <c r="A22" s="658" t="str">
        <f t="shared" si="0"/>
        <v>1.7</v>
      </c>
      <c r="B22" s="276" t="s">
        <v>1514</v>
      </c>
      <c r="C22" s="891"/>
      <c r="D22" s="892"/>
      <c r="E22" s="893"/>
      <c r="F22" s="891"/>
      <c r="G22" s="893"/>
      <c r="H22" s="891" t="s">
        <v>1228</v>
      </c>
      <c r="I22" s="893"/>
      <c r="J22" s="404"/>
      <c r="K22" s="19">
        <f t="shared" si="1"/>
        <v>1</v>
      </c>
      <c r="L22" s="19">
        <f t="shared" si="2"/>
        <v>7</v>
      </c>
    </row>
    <row r="23" spans="1:12" ht="28">
      <c r="A23" s="658" t="str">
        <f t="shared" si="0"/>
        <v>1.8</v>
      </c>
      <c r="B23" s="276" t="s">
        <v>1515</v>
      </c>
      <c r="C23" s="891"/>
      <c r="D23" s="892"/>
      <c r="E23" s="893"/>
      <c r="F23" s="891"/>
      <c r="G23" s="893"/>
      <c r="H23" s="891" t="s">
        <v>1228</v>
      </c>
      <c r="I23" s="893"/>
      <c r="J23" s="404"/>
      <c r="K23" s="19">
        <f t="shared" si="1"/>
        <v>1</v>
      </c>
      <c r="L23" s="19">
        <f t="shared" si="2"/>
        <v>8</v>
      </c>
    </row>
    <row r="24" spans="1:12" ht="42">
      <c r="A24" s="658" t="str">
        <f t="shared" si="0"/>
        <v>1.9</v>
      </c>
      <c r="B24" s="276" t="s">
        <v>1516</v>
      </c>
      <c r="C24" s="891" t="s">
        <v>1517</v>
      </c>
      <c r="D24" s="892"/>
      <c r="E24" s="893"/>
      <c r="F24" s="891"/>
      <c r="G24" s="893"/>
      <c r="H24" s="891" t="s">
        <v>1518</v>
      </c>
      <c r="I24" s="893"/>
      <c r="J24" s="404"/>
      <c r="K24" s="19">
        <f t="shared" si="1"/>
        <v>1</v>
      </c>
      <c r="L24" s="19">
        <f t="shared" si="2"/>
        <v>9</v>
      </c>
    </row>
    <row r="25" spans="1:12">
      <c r="A25" s="658" t="str">
        <f t="shared" si="0"/>
        <v>2.</v>
      </c>
      <c r="B25" s="888" t="s">
        <v>1519</v>
      </c>
      <c r="C25" s="889"/>
      <c r="D25" s="889"/>
      <c r="E25" s="889"/>
      <c r="F25" s="889"/>
      <c r="G25" s="889"/>
      <c r="H25" s="889"/>
      <c r="I25" s="889"/>
      <c r="J25" s="890"/>
      <c r="K25" s="19">
        <v>2</v>
      </c>
    </row>
    <row r="26" spans="1:12" ht="45" customHeight="1">
      <c r="A26" s="658" t="str">
        <f t="shared" si="0"/>
        <v>2.1</v>
      </c>
      <c r="B26" s="276" t="s">
        <v>1505</v>
      </c>
      <c r="C26" s="886" t="s">
        <v>1506</v>
      </c>
      <c r="D26" s="886" t="s">
        <v>863</v>
      </c>
      <c r="E26" s="886" t="s">
        <v>863</v>
      </c>
      <c r="F26" s="886"/>
      <c r="G26" s="886"/>
      <c r="H26" s="886">
        <v>2</v>
      </c>
      <c r="I26" s="886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28">
      <c r="A27" s="658" t="str">
        <f t="shared" si="0"/>
        <v>2.2</v>
      </c>
      <c r="B27" s="276" t="s">
        <v>1507</v>
      </c>
      <c r="C27" s="886" t="s">
        <v>1508</v>
      </c>
      <c r="D27" s="886" t="s">
        <v>863</v>
      </c>
      <c r="E27" s="886" t="s">
        <v>863</v>
      </c>
      <c r="F27" s="886"/>
      <c r="G27" s="886"/>
      <c r="H27" s="886">
        <v>1</v>
      </c>
      <c r="I27" s="886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>
      <c r="A28" s="658" t="str">
        <f t="shared" si="0"/>
        <v>2.3</v>
      </c>
      <c r="B28" s="656" t="s">
        <v>1520</v>
      </c>
      <c r="C28" s="891"/>
      <c r="D28" s="892"/>
      <c r="E28" s="893"/>
      <c r="F28" s="891"/>
      <c r="G28" s="893"/>
      <c r="H28" s="891"/>
      <c r="I28" s="893"/>
      <c r="J28" s="404"/>
      <c r="K28" s="19">
        <v>2</v>
      </c>
      <c r="L28" s="19">
        <f t="shared" si="2"/>
        <v>3</v>
      </c>
    </row>
    <row r="29" spans="1:12">
      <c r="A29" s="658" t="str">
        <f t="shared" si="0"/>
        <v>2.4</v>
      </c>
      <c r="B29" s="276" t="s">
        <v>1510</v>
      </c>
      <c r="C29" s="891" t="s">
        <v>1511</v>
      </c>
      <c r="D29" s="892"/>
      <c r="E29" s="893"/>
      <c r="F29" s="891"/>
      <c r="G29" s="893"/>
      <c r="H29" s="891" t="s">
        <v>1226</v>
      </c>
      <c r="I29" s="893"/>
      <c r="J29" s="404"/>
      <c r="K29" s="19">
        <f t="shared" si="1"/>
        <v>2</v>
      </c>
      <c r="L29" s="19">
        <f t="shared" si="2"/>
        <v>4</v>
      </c>
    </row>
    <row r="30" spans="1:12" ht="28">
      <c r="A30" s="658" t="str">
        <f t="shared" si="0"/>
        <v>2.5</v>
      </c>
      <c r="B30" s="276" t="s">
        <v>1512</v>
      </c>
      <c r="C30" s="891" t="s">
        <v>1508</v>
      </c>
      <c r="D30" s="892"/>
      <c r="E30" s="893"/>
      <c r="F30" s="891"/>
      <c r="G30" s="893"/>
      <c r="H30" s="891" t="s">
        <v>1513</v>
      </c>
      <c r="I30" s="893"/>
      <c r="J30" s="404"/>
      <c r="K30" s="19">
        <f t="shared" si="1"/>
        <v>2</v>
      </c>
      <c r="L30" s="19">
        <f t="shared" si="2"/>
        <v>5</v>
      </c>
    </row>
    <row r="31" spans="1:12" ht="28">
      <c r="A31" s="658" t="str">
        <f t="shared" si="0"/>
        <v>2.6</v>
      </c>
      <c r="B31" s="276" t="s">
        <v>1514</v>
      </c>
      <c r="C31" s="891"/>
      <c r="D31" s="892"/>
      <c r="E31" s="893"/>
      <c r="F31" s="891"/>
      <c r="G31" s="893"/>
      <c r="H31" s="891" t="s">
        <v>1228</v>
      </c>
      <c r="I31" s="893"/>
      <c r="J31" s="404"/>
      <c r="K31" s="19">
        <f t="shared" si="1"/>
        <v>2</v>
      </c>
      <c r="L31" s="19">
        <f t="shared" si="2"/>
        <v>6</v>
      </c>
    </row>
    <row r="32" spans="1:12" ht="28">
      <c r="A32" s="658" t="str">
        <f t="shared" si="0"/>
        <v>2.7</v>
      </c>
      <c r="B32" s="276" t="s">
        <v>1515</v>
      </c>
      <c r="C32" s="891"/>
      <c r="D32" s="892"/>
      <c r="E32" s="893"/>
      <c r="F32" s="891"/>
      <c r="G32" s="893"/>
      <c r="H32" s="891" t="s">
        <v>1228</v>
      </c>
      <c r="I32" s="893"/>
      <c r="J32" s="404"/>
      <c r="K32" s="19">
        <f t="shared" si="1"/>
        <v>2</v>
      </c>
      <c r="L32" s="19">
        <f t="shared" si="2"/>
        <v>7</v>
      </c>
    </row>
    <row r="33" spans="1:12" ht="42">
      <c r="A33" s="658" t="str">
        <f t="shared" si="0"/>
        <v>2.8</v>
      </c>
      <c r="B33" s="276" t="s">
        <v>1516</v>
      </c>
      <c r="C33" s="891" t="s">
        <v>1517</v>
      </c>
      <c r="D33" s="892"/>
      <c r="E33" s="893"/>
      <c r="F33" s="891"/>
      <c r="G33" s="893"/>
      <c r="H33" s="891" t="s">
        <v>1518</v>
      </c>
      <c r="I33" s="893"/>
      <c r="J33" s="404"/>
      <c r="K33" s="19">
        <f t="shared" si="1"/>
        <v>2</v>
      </c>
      <c r="L33" s="19">
        <f t="shared" si="2"/>
        <v>8</v>
      </c>
    </row>
    <row r="34" spans="1:12">
      <c r="A34" s="658" t="str">
        <f t="shared" si="0"/>
        <v>3.</v>
      </c>
      <c r="B34" s="888" t="s">
        <v>1521</v>
      </c>
      <c r="C34" s="889"/>
      <c r="D34" s="889"/>
      <c r="E34" s="889"/>
      <c r="F34" s="889"/>
      <c r="G34" s="889"/>
      <c r="H34" s="889"/>
      <c r="I34" s="889"/>
      <c r="J34" s="890"/>
      <c r="K34" s="19">
        <v>3</v>
      </c>
    </row>
    <row r="35" spans="1:12" ht="28">
      <c r="A35" s="658" t="str">
        <f t="shared" si="0"/>
        <v>3.1</v>
      </c>
      <c r="B35" s="276" t="s">
        <v>1505</v>
      </c>
      <c r="C35" s="886" t="s">
        <v>1506</v>
      </c>
      <c r="D35" s="886" t="s">
        <v>863</v>
      </c>
      <c r="E35" s="886" t="s">
        <v>863</v>
      </c>
      <c r="F35" s="886"/>
      <c r="G35" s="886"/>
      <c r="H35" s="886">
        <v>2</v>
      </c>
      <c r="I35" s="886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28">
      <c r="A36" s="658" t="str">
        <f t="shared" si="0"/>
        <v>3.2</v>
      </c>
      <c r="B36" s="276" t="s">
        <v>1507</v>
      </c>
      <c r="C36" s="886" t="s">
        <v>1508</v>
      </c>
      <c r="D36" s="886" t="s">
        <v>863</v>
      </c>
      <c r="E36" s="886" t="s">
        <v>863</v>
      </c>
      <c r="F36" s="886"/>
      <c r="G36" s="886"/>
      <c r="H36" s="886">
        <v>1</v>
      </c>
      <c r="I36" s="886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>
      <c r="A37" s="658" t="str">
        <f t="shared" si="0"/>
        <v>3.3</v>
      </c>
      <c r="B37" s="656" t="s">
        <v>1522</v>
      </c>
      <c r="C37" s="891"/>
      <c r="D37" s="892"/>
      <c r="E37" s="893"/>
      <c r="F37" s="891"/>
      <c r="G37" s="893"/>
      <c r="H37" s="891"/>
      <c r="I37" s="893"/>
      <c r="J37" s="404"/>
      <c r="K37" s="19">
        <f t="shared" si="1"/>
        <v>3</v>
      </c>
      <c r="L37" s="19">
        <f t="shared" si="2"/>
        <v>3</v>
      </c>
    </row>
    <row r="38" spans="1:12">
      <c r="A38" s="658" t="str">
        <f t="shared" si="0"/>
        <v>3.4</v>
      </c>
      <c r="B38" s="276" t="s">
        <v>1510</v>
      </c>
      <c r="C38" s="891" t="s">
        <v>1511</v>
      </c>
      <c r="D38" s="892"/>
      <c r="E38" s="893"/>
      <c r="F38" s="891"/>
      <c r="G38" s="893"/>
      <c r="H38" s="891" t="s">
        <v>1226</v>
      </c>
      <c r="I38" s="893"/>
      <c r="J38" s="404"/>
      <c r="K38" s="19">
        <f t="shared" si="1"/>
        <v>3</v>
      </c>
      <c r="L38" s="19">
        <f t="shared" si="2"/>
        <v>4</v>
      </c>
    </row>
    <row r="39" spans="1:12" ht="28">
      <c r="A39" s="658" t="str">
        <f t="shared" si="0"/>
        <v>3.5</v>
      </c>
      <c r="B39" s="276" t="s">
        <v>1512</v>
      </c>
      <c r="C39" s="891" t="s">
        <v>1508</v>
      </c>
      <c r="D39" s="892"/>
      <c r="E39" s="893"/>
      <c r="F39" s="891"/>
      <c r="G39" s="893"/>
      <c r="H39" s="891" t="s">
        <v>1513</v>
      </c>
      <c r="I39" s="893"/>
      <c r="J39" s="404"/>
      <c r="K39" s="19">
        <f t="shared" si="1"/>
        <v>3</v>
      </c>
      <c r="L39" s="19">
        <f t="shared" si="2"/>
        <v>5</v>
      </c>
    </row>
    <row r="40" spans="1:12" ht="28">
      <c r="A40" s="658" t="str">
        <f t="shared" si="0"/>
        <v>3.6</v>
      </c>
      <c r="B40" s="276" t="s">
        <v>1514</v>
      </c>
      <c r="C40" s="891"/>
      <c r="D40" s="892"/>
      <c r="E40" s="893"/>
      <c r="F40" s="891"/>
      <c r="G40" s="893"/>
      <c r="H40" s="891" t="s">
        <v>1228</v>
      </c>
      <c r="I40" s="893"/>
      <c r="J40" s="404"/>
      <c r="K40" s="19">
        <f t="shared" si="1"/>
        <v>3</v>
      </c>
      <c r="L40" s="19">
        <f t="shared" si="2"/>
        <v>6</v>
      </c>
    </row>
    <row r="41" spans="1:12" ht="28">
      <c r="A41" s="658" t="str">
        <f t="shared" si="0"/>
        <v>3.7</v>
      </c>
      <c r="B41" s="276" t="s">
        <v>1515</v>
      </c>
      <c r="C41" s="891"/>
      <c r="D41" s="892"/>
      <c r="E41" s="893"/>
      <c r="F41" s="891"/>
      <c r="G41" s="893"/>
      <c r="H41" s="891" t="s">
        <v>1228</v>
      </c>
      <c r="I41" s="893"/>
      <c r="J41" s="404"/>
      <c r="K41" s="19">
        <f t="shared" si="1"/>
        <v>3</v>
      </c>
      <c r="L41" s="19">
        <f t="shared" si="2"/>
        <v>7</v>
      </c>
    </row>
    <row r="42" spans="1:12" ht="42">
      <c r="A42" s="658" t="str">
        <f t="shared" si="0"/>
        <v>3.8</v>
      </c>
      <c r="B42" s="276" t="s">
        <v>1516</v>
      </c>
      <c r="C42" s="891" t="s">
        <v>1517</v>
      </c>
      <c r="D42" s="892"/>
      <c r="E42" s="893"/>
      <c r="F42" s="891"/>
      <c r="G42" s="893"/>
      <c r="H42" s="891" t="s">
        <v>1518</v>
      </c>
      <c r="I42" s="893"/>
      <c r="J42" s="404"/>
      <c r="K42" s="19">
        <f t="shared" si="1"/>
        <v>3</v>
      </c>
      <c r="L42" s="19">
        <f t="shared" si="2"/>
        <v>8</v>
      </c>
    </row>
    <row r="43" spans="1:12">
      <c r="A43" s="658" t="str">
        <f t="shared" si="0"/>
        <v>4.</v>
      </c>
      <c r="B43" s="888" t="s">
        <v>1523</v>
      </c>
      <c r="C43" s="889"/>
      <c r="D43" s="889"/>
      <c r="E43" s="889"/>
      <c r="F43" s="889"/>
      <c r="G43" s="889"/>
      <c r="H43" s="889"/>
      <c r="I43" s="889"/>
      <c r="J43" s="890"/>
      <c r="K43" s="19">
        <v>4</v>
      </c>
    </row>
    <row r="44" spans="1:12" ht="28">
      <c r="A44" s="658" t="str">
        <f t="shared" si="0"/>
        <v>4.1</v>
      </c>
      <c r="B44" s="276" t="s">
        <v>1505</v>
      </c>
      <c r="C44" s="886" t="s">
        <v>1506</v>
      </c>
      <c r="D44" s="886" t="s">
        <v>863</v>
      </c>
      <c r="E44" s="886" t="s">
        <v>863</v>
      </c>
      <c r="F44" s="886"/>
      <c r="G44" s="886"/>
      <c r="H44" s="886">
        <v>2</v>
      </c>
      <c r="I44" s="886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28">
      <c r="A45" s="658" t="str">
        <f t="shared" si="0"/>
        <v>4.2</v>
      </c>
      <c r="B45" s="276" t="s">
        <v>1507</v>
      </c>
      <c r="C45" s="886" t="s">
        <v>1508</v>
      </c>
      <c r="D45" s="886" t="s">
        <v>863</v>
      </c>
      <c r="E45" s="886" t="s">
        <v>863</v>
      </c>
      <c r="F45" s="886"/>
      <c r="G45" s="886"/>
      <c r="H45" s="886">
        <v>1</v>
      </c>
      <c r="I45" s="886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>
      <c r="A46" s="658" t="str">
        <f t="shared" si="0"/>
        <v>4.3</v>
      </c>
      <c r="B46" s="656" t="s">
        <v>1524</v>
      </c>
      <c r="C46" s="891"/>
      <c r="D46" s="892"/>
      <c r="E46" s="893"/>
      <c r="F46" s="891"/>
      <c r="G46" s="893"/>
      <c r="H46" s="891"/>
      <c r="I46" s="893"/>
      <c r="J46" s="404"/>
      <c r="K46" s="19">
        <f t="shared" si="1"/>
        <v>4</v>
      </c>
      <c r="L46" s="19">
        <f t="shared" si="2"/>
        <v>3</v>
      </c>
    </row>
    <row r="47" spans="1:12">
      <c r="A47" s="658" t="str">
        <f t="shared" si="0"/>
        <v>4.4</v>
      </c>
      <c r="B47" s="276" t="s">
        <v>1510</v>
      </c>
      <c r="C47" s="891" t="s">
        <v>1511</v>
      </c>
      <c r="D47" s="892"/>
      <c r="E47" s="893"/>
      <c r="F47" s="891"/>
      <c r="G47" s="893"/>
      <c r="H47" s="891" t="s">
        <v>1226</v>
      </c>
      <c r="I47" s="893"/>
      <c r="J47" s="404"/>
      <c r="K47" s="19">
        <f t="shared" si="1"/>
        <v>4</v>
      </c>
      <c r="L47" s="19">
        <f t="shared" si="2"/>
        <v>4</v>
      </c>
    </row>
    <row r="48" spans="1:12" ht="28">
      <c r="A48" s="658" t="str">
        <f t="shared" si="0"/>
        <v>4.5</v>
      </c>
      <c r="B48" s="276" t="s">
        <v>1512</v>
      </c>
      <c r="C48" s="891" t="s">
        <v>1508</v>
      </c>
      <c r="D48" s="892"/>
      <c r="E48" s="893"/>
      <c r="F48" s="891"/>
      <c r="G48" s="893"/>
      <c r="H48" s="891" t="s">
        <v>1513</v>
      </c>
      <c r="I48" s="893"/>
      <c r="J48" s="404"/>
      <c r="K48" s="19">
        <f t="shared" si="1"/>
        <v>4</v>
      </c>
      <c r="L48" s="19">
        <f t="shared" si="2"/>
        <v>5</v>
      </c>
    </row>
    <row r="49" spans="1:17" ht="28">
      <c r="A49" s="658" t="str">
        <f t="shared" si="0"/>
        <v>4.6</v>
      </c>
      <c r="B49" s="276" t="s">
        <v>1514</v>
      </c>
      <c r="C49" s="891"/>
      <c r="D49" s="892"/>
      <c r="E49" s="893"/>
      <c r="F49" s="891"/>
      <c r="G49" s="893"/>
      <c r="H49" s="891" t="s">
        <v>1228</v>
      </c>
      <c r="I49" s="893"/>
      <c r="J49" s="404"/>
      <c r="K49" s="19">
        <f t="shared" si="1"/>
        <v>4</v>
      </c>
      <c r="L49" s="19">
        <f t="shared" si="2"/>
        <v>6</v>
      </c>
    </row>
    <row r="50" spans="1:17" ht="28">
      <c r="A50" s="658" t="str">
        <f t="shared" si="0"/>
        <v>4.7</v>
      </c>
      <c r="B50" s="276" t="s">
        <v>1515</v>
      </c>
      <c r="C50" s="891"/>
      <c r="D50" s="892"/>
      <c r="E50" s="893"/>
      <c r="F50" s="891"/>
      <c r="G50" s="893"/>
      <c r="H50" s="891" t="s">
        <v>1228</v>
      </c>
      <c r="I50" s="893"/>
      <c r="J50" s="404"/>
      <c r="K50" s="19">
        <f t="shared" si="1"/>
        <v>4</v>
      </c>
      <c r="L50" s="19">
        <f t="shared" si="2"/>
        <v>7</v>
      </c>
    </row>
    <row r="51" spans="1:17" ht="42">
      <c r="A51" s="658" t="str">
        <f t="shared" si="0"/>
        <v>4.8</v>
      </c>
      <c r="B51" s="276" t="s">
        <v>1516</v>
      </c>
      <c r="C51" s="891" t="s">
        <v>1517</v>
      </c>
      <c r="D51" s="892"/>
      <c r="E51" s="893"/>
      <c r="F51" s="891"/>
      <c r="G51" s="893"/>
      <c r="H51" s="891" t="s">
        <v>1518</v>
      </c>
      <c r="I51" s="893"/>
      <c r="J51" s="404"/>
      <c r="K51" s="19">
        <f t="shared" si="1"/>
        <v>4</v>
      </c>
      <c r="L51" s="19">
        <f t="shared" si="2"/>
        <v>8</v>
      </c>
    </row>
    <row r="52" spans="1:17">
      <c r="A52" s="658" t="str">
        <f t="shared" si="0"/>
        <v>5.</v>
      </c>
      <c r="B52" s="888" t="s">
        <v>1525</v>
      </c>
      <c r="C52" s="889"/>
      <c r="D52" s="889"/>
      <c r="E52" s="889"/>
      <c r="F52" s="889"/>
      <c r="G52" s="889"/>
      <c r="H52" s="889"/>
      <c r="I52" s="889"/>
      <c r="J52" s="890"/>
      <c r="K52" s="19">
        <v>5</v>
      </c>
    </row>
    <row r="53" spans="1:17" ht="28">
      <c r="A53" s="658" t="str">
        <f t="shared" si="0"/>
        <v>5.1</v>
      </c>
      <c r="B53" s="276" t="s">
        <v>1505</v>
      </c>
      <c r="C53" s="886" t="s">
        <v>1506</v>
      </c>
      <c r="D53" s="886" t="s">
        <v>863</v>
      </c>
      <c r="E53" s="886" t="s">
        <v>863</v>
      </c>
      <c r="F53" s="886"/>
      <c r="G53" s="886"/>
      <c r="H53" s="886">
        <v>2</v>
      </c>
      <c r="I53" s="886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28">
      <c r="A54" s="658" t="str">
        <f t="shared" si="0"/>
        <v>5.2</v>
      </c>
      <c r="B54" s="276" t="s">
        <v>1507</v>
      </c>
      <c r="C54" s="886" t="s">
        <v>1508</v>
      </c>
      <c r="D54" s="886" t="s">
        <v>863</v>
      </c>
      <c r="E54" s="886" t="s">
        <v>863</v>
      </c>
      <c r="F54" s="886"/>
      <c r="G54" s="886"/>
      <c r="H54" s="886">
        <v>1</v>
      </c>
      <c r="I54" s="886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>
      <c r="A55" s="658" t="str">
        <f t="shared" si="0"/>
        <v>5.3</v>
      </c>
      <c r="B55" s="656" t="s">
        <v>1526</v>
      </c>
      <c r="C55" s="891"/>
      <c r="D55" s="892"/>
      <c r="E55" s="893"/>
      <c r="F55" s="891"/>
      <c r="G55" s="893"/>
      <c r="H55" s="891"/>
      <c r="I55" s="893"/>
      <c r="J55" s="404"/>
      <c r="K55" s="19">
        <f t="shared" si="1"/>
        <v>5</v>
      </c>
      <c r="L55" s="19">
        <f t="shared" si="2"/>
        <v>3</v>
      </c>
    </row>
    <row r="56" spans="1:17">
      <c r="A56" s="658" t="str">
        <f t="shared" si="0"/>
        <v>5.4</v>
      </c>
      <c r="B56" s="276" t="s">
        <v>1510</v>
      </c>
      <c r="C56" s="891" t="s">
        <v>1511</v>
      </c>
      <c r="D56" s="892"/>
      <c r="E56" s="893"/>
      <c r="F56" s="891"/>
      <c r="G56" s="893"/>
      <c r="H56" s="891" t="s">
        <v>1226</v>
      </c>
      <c r="I56" s="893"/>
      <c r="J56" s="404"/>
      <c r="K56" s="19">
        <f t="shared" si="1"/>
        <v>5</v>
      </c>
      <c r="L56" s="19">
        <f t="shared" si="2"/>
        <v>4</v>
      </c>
    </row>
    <row r="57" spans="1:17" ht="28">
      <c r="A57" s="658" t="str">
        <f t="shared" si="0"/>
        <v>5.5</v>
      </c>
      <c r="B57" s="276" t="s">
        <v>1512</v>
      </c>
      <c r="C57" s="891" t="s">
        <v>1508</v>
      </c>
      <c r="D57" s="892"/>
      <c r="E57" s="893"/>
      <c r="F57" s="891"/>
      <c r="G57" s="893"/>
      <c r="H57" s="891" t="s">
        <v>1513</v>
      </c>
      <c r="I57" s="893"/>
      <c r="J57" s="404"/>
      <c r="K57" s="19">
        <f t="shared" si="1"/>
        <v>5</v>
      </c>
      <c r="L57" s="19">
        <f t="shared" si="2"/>
        <v>5</v>
      </c>
    </row>
    <row r="58" spans="1:17" ht="28">
      <c r="A58" s="658" t="str">
        <f t="shared" si="0"/>
        <v>5.6</v>
      </c>
      <c r="B58" s="276" t="s">
        <v>1514</v>
      </c>
      <c r="C58" s="891"/>
      <c r="D58" s="892"/>
      <c r="E58" s="893"/>
      <c r="F58" s="891"/>
      <c r="G58" s="893"/>
      <c r="H58" s="891" t="s">
        <v>1228</v>
      </c>
      <c r="I58" s="893"/>
      <c r="J58" s="404"/>
      <c r="K58" s="19">
        <f t="shared" si="1"/>
        <v>5</v>
      </c>
      <c r="L58" s="19">
        <f t="shared" si="2"/>
        <v>6</v>
      </c>
    </row>
    <row r="59" spans="1:17" ht="28">
      <c r="A59" s="658" t="str">
        <f t="shared" si="0"/>
        <v>5.7</v>
      </c>
      <c r="B59" s="276" t="s">
        <v>1515</v>
      </c>
      <c r="C59" s="891"/>
      <c r="D59" s="892"/>
      <c r="E59" s="893"/>
      <c r="F59" s="891"/>
      <c r="G59" s="893"/>
      <c r="H59" s="891" t="s">
        <v>1228</v>
      </c>
      <c r="I59" s="893"/>
      <c r="J59" s="404"/>
      <c r="K59" s="19">
        <f t="shared" si="1"/>
        <v>5</v>
      </c>
      <c r="L59" s="19">
        <f t="shared" si="2"/>
        <v>7</v>
      </c>
    </row>
    <row r="60" spans="1:17" ht="42">
      <c r="A60" s="658" t="str">
        <f t="shared" si="0"/>
        <v>5.8</v>
      </c>
      <c r="B60" s="276" t="s">
        <v>1516</v>
      </c>
      <c r="C60" s="891" t="s">
        <v>1517</v>
      </c>
      <c r="D60" s="892"/>
      <c r="E60" s="893"/>
      <c r="F60" s="891"/>
      <c r="G60" s="893"/>
      <c r="H60" s="891" t="s">
        <v>1518</v>
      </c>
      <c r="I60" s="893"/>
      <c r="J60" s="404"/>
      <c r="K60" s="19">
        <f t="shared" si="1"/>
        <v>5</v>
      </c>
      <c r="L60" s="19">
        <f t="shared" si="2"/>
        <v>8</v>
      </c>
    </row>
    <row r="61" spans="1:17">
      <c r="A61" s="658" t="str">
        <f t="shared" si="0"/>
        <v>6.</v>
      </c>
      <c r="B61" s="888" t="s">
        <v>1527</v>
      </c>
      <c r="C61" s="889"/>
      <c r="D61" s="889"/>
      <c r="E61" s="889"/>
      <c r="F61" s="889"/>
      <c r="G61" s="889"/>
      <c r="H61" s="889"/>
      <c r="I61" s="889"/>
      <c r="J61" s="890"/>
      <c r="K61" s="19">
        <v>6</v>
      </c>
    </row>
    <row r="62" spans="1:17" ht="28">
      <c r="A62" s="658" t="str">
        <f t="shared" si="0"/>
        <v>6.1</v>
      </c>
      <c r="B62" s="276" t="s">
        <v>1505</v>
      </c>
      <c r="C62" s="886" t="s">
        <v>1506</v>
      </c>
      <c r="D62" s="886" t="s">
        <v>863</v>
      </c>
      <c r="E62" s="886" t="s">
        <v>863</v>
      </c>
      <c r="F62" s="886"/>
      <c r="G62" s="886"/>
      <c r="H62" s="886">
        <v>2</v>
      </c>
      <c r="I62" s="886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28">
      <c r="A63" s="658" t="str">
        <f t="shared" si="0"/>
        <v>6.2</v>
      </c>
      <c r="B63" s="276" t="s">
        <v>1507</v>
      </c>
      <c r="C63" s="886" t="s">
        <v>1508</v>
      </c>
      <c r="D63" s="886" t="s">
        <v>863</v>
      </c>
      <c r="E63" s="886" t="s">
        <v>863</v>
      </c>
      <c r="F63" s="886"/>
      <c r="G63" s="886"/>
      <c r="H63" s="886">
        <v>1</v>
      </c>
      <c r="I63" s="886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>
      <c r="A64" s="658" t="str">
        <f t="shared" si="0"/>
        <v>6.3</v>
      </c>
      <c r="B64" s="656" t="s">
        <v>1528</v>
      </c>
      <c r="C64" s="891"/>
      <c r="D64" s="892"/>
      <c r="E64" s="893"/>
      <c r="F64" s="891"/>
      <c r="G64" s="893"/>
      <c r="H64" s="891"/>
      <c r="I64" s="893"/>
      <c r="J64" s="404"/>
      <c r="K64" s="19">
        <f t="shared" si="1"/>
        <v>6</v>
      </c>
      <c r="L64" s="19">
        <f t="shared" si="2"/>
        <v>3</v>
      </c>
    </row>
    <row r="65" spans="1:17">
      <c r="A65" s="658" t="str">
        <f t="shared" si="0"/>
        <v>6.4</v>
      </c>
      <c r="B65" s="276" t="s">
        <v>1510</v>
      </c>
      <c r="C65" s="891" t="s">
        <v>1511</v>
      </c>
      <c r="D65" s="892"/>
      <c r="E65" s="893"/>
      <c r="F65" s="891"/>
      <c r="G65" s="893"/>
      <c r="H65" s="891" t="s">
        <v>1226</v>
      </c>
      <c r="I65" s="893"/>
      <c r="J65" s="404"/>
      <c r="K65" s="19">
        <f t="shared" si="1"/>
        <v>6</v>
      </c>
      <c r="L65" s="19">
        <f t="shared" si="2"/>
        <v>4</v>
      </c>
    </row>
    <row r="66" spans="1:17" ht="28">
      <c r="A66" s="658" t="str">
        <f t="shared" si="0"/>
        <v>6.5</v>
      </c>
      <c r="B66" s="276" t="s">
        <v>1512</v>
      </c>
      <c r="C66" s="891" t="s">
        <v>1508</v>
      </c>
      <c r="D66" s="892"/>
      <c r="E66" s="893"/>
      <c r="F66" s="891"/>
      <c r="G66" s="893"/>
      <c r="H66" s="891" t="s">
        <v>1513</v>
      </c>
      <c r="I66" s="893"/>
      <c r="J66" s="404"/>
      <c r="K66" s="19">
        <f t="shared" si="1"/>
        <v>6</v>
      </c>
      <c r="L66" s="19">
        <f t="shared" si="2"/>
        <v>5</v>
      </c>
    </row>
    <row r="67" spans="1:17" ht="28">
      <c r="A67" s="658" t="str">
        <f t="shared" si="0"/>
        <v>6.6</v>
      </c>
      <c r="B67" s="276" t="s">
        <v>1514</v>
      </c>
      <c r="C67" s="891"/>
      <c r="D67" s="892"/>
      <c r="E67" s="893"/>
      <c r="F67" s="891"/>
      <c r="G67" s="893"/>
      <c r="H67" s="891" t="s">
        <v>1228</v>
      </c>
      <c r="I67" s="893"/>
      <c r="J67" s="404"/>
      <c r="K67" s="19">
        <f t="shared" si="1"/>
        <v>6</v>
      </c>
      <c r="L67" s="19">
        <f t="shared" si="2"/>
        <v>6</v>
      </c>
    </row>
    <row r="68" spans="1:17" ht="28">
      <c r="A68" s="658" t="str">
        <f t="shared" si="0"/>
        <v>6.7</v>
      </c>
      <c r="B68" s="276" t="s">
        <v>1515</v>
      </c>
      <c r="C68" s="891"/>
      <c r="D68" s="892"/>
      <c r="E68" s="893"/>
      <c r="F68" s="891"/>
      <c r="G68" s="893"/>
      <c r="H68" s="891" t="s">
        <v>1228</v>
      </c>
      <c r="I68" s="893"/>
      <c r="J68" s="404"/>
      <c r="K68" s="19">
        <f t="shared" si="1"/>
        <v>6</v>
      </c>
      <c r="L68" s="19">
        <f t="shared" si="2"/>
        <v>7</v>
      </c>
    </row>
    <row r="69" spans="1:17" ht="42">
      <c r="A69" s="658" t="str">
        <f t="shared" si="0"/>
        <v>6.8</v>
      </c>
      <c r="B69" s="276" t="s">
        <v>1516</v>
      </c>
      <c r="C69" s="891" t="s">
        <v>1517</v>
      </c>
      <c r="D69" s="892"/>
      <c r="E69" s="893"/>
      <c r="F69" s="891"/>
      <c r="G69" s="893"/>
      <c r="H69" s="891" t="s">
        <v>1518</v>
      </c>
      <c r="I69" s="893"/>
      <c r="J69" s="404"/>
      <c r="K69" s="19">
        <f t="shared" si="1"/>
        <v>6</v>
      </c>
      <c r="L69" s="19">
        <f t="shared" si="2"/>
        <v>8</v>
      </c>
    </row>
    <row r="70" spans="1:17">
      <c r="A70" s="658" t="str">
        <f t="shared" si="0"/>
        <v>7.</v>
      </c>
      <c r="B70" s="888" t="s">
        <v>1529</v>
      </c>
      <c r="C70" s="889"/>
      <c r="D70" s="889"/>
      <c r="E70" s="889"/>
      <c r="F70" s="889"/>
      <c r="G70" s="889"/>
      <c r="H70" s="889"/>
      <c r="I70" s="889"/>
      <c r="J70" s="890"/>
      <c r="K70" s="19">
        <v>7</v>
      </c>
    </row>
    <row r="71" spans="1:17" ht="28">
      <c r="A71" s="658" t="str">
        <f t="shared" si="0"/>
        <v>7.1</v>
      </c>
      <c r="B71" s="276" t="s">
        <v>1505</v>
      </c>
      <c r="C71" s="886" t="s">
        <v>1506</v>
      </c>
      <c r="D71" s="886" t="s">
        <v>863</v>
      </c>
      <c r="E71" s="886" t="s">
        <v>863</v>
      </c>
      <c r="F71" s="886"/>
      <c r="G71" s="886"/>
      <c r="H71" s="886">
        <v>2</v>
      </c>
      <c r="I71" s="886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28">
      <c r="A72" s="658" t="str">
        <f t="shared" si="0"/>
        <v>7.2</v>
      </c>
      <c r="B72" s="276" t="s">
        <v>1507</v>
      </c>
      <c r="C72" s="886" t="s">
        <v>1508</v>
      </c>
      <c r="D72" s="886" t="s">
        <v>863</v>
      </c>
      <c r="E72" s="886" t="s">
        <v>863</v>
      </c>
      <c r="F72" s="886"/>
      <c r="G72" s="886"/>
      <c r="H72" s="886">
        <v>1</v>
      </c>
      <c r="I72" s="886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>
      <c r="A73" s="658" t="str">
        <f t="shared" si="0"/>
        <v>7.3</v>
      </c>
      <c r="B73" s="656" t="s">
        <v>1530</v>
      </c>
      <c r="C73" s="891"/>
      <c r="D73" s="892"/>
      <c r="E73" s="893"/>
      <c r="F73" s="891"/>
      <c r="G73" s="893"/>
      <c r="H73" s="891"/>
      <c r="I73" s="893"/>
      <c r="J73" s="404"/>
      <c r="K73" s="19">
        <f t="shared" si="1"/>
        <v>7</v>
      </c>
      <c r="L73" s="19">
        <f t="shared" si="2"/>
        <v>3</v>
      </c>
    </row>
    <row r="74" spans="1:17">
      <c r="A74" s="658" t="str">
        <f t="shared" si="0"/>
        <v>7.4</v>
      </c>
      <c r="B74" s="276" t="s">
        <v>1510</v>
      </c>
      <c r="C74" s="891" t="s">
        <v>1511</v>
      </c>
      <c r="D74" s="892"/>
      <c r="E74" s="893"/>
      <c r="F74" s="891"/>
      <c r="G74" s="893"/>
      <c r="H74" s="891" t="s">
        <v>1226</v>
      </c>
      <c r="I74" s="893"/>
      <c r="J74" s="404"/>
      <c r="K74" s="19">
        <f t="shared" si="1"/>
        <v>7</v>
      </c>
      <c r="L74" s="19">
        <f t="shared" si="2"/>
        <v>4</v>
      </c>
    </row>
    <row r="75" spans="1:17" ht="28">
      <c r="A75" s="658" t="str">
        <f t="shared" si="0"/>
        <v>7.5</v>
      </c>
      <c r="B75" s="276" t="s">
        <v>1512</v>
      </c>
      <c r="C75" s="891" t="s">
        <v>1508</v>
      </c>
      <c r="D75" s="892"/>
      <c r="E75" s="893"/>
      <c r="F75" s="891"/>
      <c r="G75" s="893"/>
      <c r="H75" s="891" t="s">
        <v>1513</v>
      </c>
      <c r="I75" s="893"/>
      <c r="J75" s="404"/>
      <c r="K75" s="19">
        <f t="shared" si="1"/>
        <v>7</v>
      </c>
      <c r="L75" s="19">
        <f t="shared" si="2"/>
        <v>5</v>
      </c>
    </row>
    <row r="76" spans="1:17" ht="28">
      <c r="A76" s="658" t="str">
        <f t="shared" si="0"/>
        <v>7.6</v>
      </c>
      <c r="B76" s="276" t="s">
        <v>1514</v>
      </c>
      <c r="C76" s="891"/>
      <c r="D76" s="892"/>
      <c r="E76" s="893"/>
      <c r="F76" s="891"/>
      <c r="G76" s="893"/>
      <c r="H76" s="891" t="s">
        <v>1228</v>
      </c>
      <c r="I76" s="893"/>
      <c r="J76" s="404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28">
      <c r="A77" s="658" t="str">
        <f t="shared" si="0"/>
        <v>7.7</v>
      </c>
      <c r="B77" s="276" t="s">
        <v>1515</v>
      </c>
      <c r="C77" s="891"/>
      <c r="D77" s="892"/>
      <c r="E77" s="893"/>
      <c r="F77" s="891"/>
      <c r="G77" s="893"/>
      <c r="H77" s="891" t="s">
        <v>1228</v>
      </c>
      <c r="I77" s="893"/>
      <c r="J77" s="404"/>
      <c r="K77" s="19">
        <f t="shared" si="1"/>
        <v>7</v>
      </c>
      <c r="L77" s="19">
        <f t="shared" si="2"/>
        <v>7</v>
      </c>
    </row>
    <row r="78" spans="1:17" ht="42">
      <c r="A78" s="658" t="str">
        <f t="shared" si="0"/>
        <v>7.8</v>
      </c>
      <c r="B78" s="276" t="s">
        <v>1516</v>
      </c>
      <c r="C78" s="891" t="s">
        <v>1517</v>
      </c>
      <c r="D78" s="892"/>
      <c r="E78" s="893"/>
      <c r="F78" s="891"/>
      <c r="G78" s="893"/>
      <c r="H78" s="891" t="s">
        <v>1518</v>
      </c>
      <c r="I78" s="893"/>
      <c r="J78" s="404"/>
      <c r="K78" s="19">
        <f t="shared" si="1"/>
        <v>7</v>
      </c>
      <c r="L78" s="19">
        <f t="shared" si="2"/>
        <v>8</v>
      </c>
    </row>
    <row r="79" spans="1:17">
      <c r="A79" s="658" t="str">
        <f t="shared" si="0"/>
        <v>8.</v>
      </c>
      <c r="B79" s="888" t="s">
        <v>1531</v>
      </c>
      <c r="C79" s="889"/>
      <c r="D79" s="889"/>
      <c r="E79" s="889"/>
      <c r="F79" s="889"/>
      <c r="G79" s="889"/>
      <c r="H79" s="889"/>
      <c r="I79" s="889"/>
      <c r="J79" s="890"/>
      <c r="K79" s="19">
        <v>8</v>
      </c>
    </row>
    <row r="80" spans="1:17" ht="28">
      <c r="A80" s="658" t="str">
        <f t="shared" si="0"/>
        <v>8.1</v>
      </c>
      <c r="B80" s="276" t="s">
        <v>1505</v>
      </c>
      <c r="C80" s="886" t="s">
        <v>1506</v>
      </c>
      <c r="D80" s="886" t="s">
        <v>863</v>
      </c>
      <c r="E80" s="886" t="s">
        <v>863</v>
      </c>
      <c r="F80" s="886"/>
      <c r="G80" s="886"/>
      <c r="H80" s="886">
        <v>2</v>
      </c>
      <c r="I80" s="886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28">
      <c r="A81" s="658" t="str">
        <f t="shared" si="0"/>
        <v>8.2</v>
      </c>
      <c r="B81" s="276" t="s">
        <v>1507</v>
      </c>
      <c r="C81" s="886" t="s">
        <v>1508</v>
      </c>
      <c r="D81" s="886" t="s">
        <v>863</v>
      </c>
      <c r="E81" s="886" t="s">
        <v>863</v>
      </c>
      <c r="F81" s="886"/>
      <c r="G81" s="886"/>
      <c r="H81" s="886">
        <v>1</v>
      </c>
      <c r="I81" s="886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>
      <c r="A82" s="658" t="str">
        <f t="shared" ref="A82:A166" si="3">CONCATENATE(K82,".",L82)</f>
        <v>8.3</v>
      </c>
      <c r="B82" s="656" t="s">
        <v>1532</v>
      </c>
      <c r="C82" s="891"/>
      <c r="D82" s="892"/>
      <c r="E82" s="893"/>
      <c r="F82" s="891"/>
      <c r="G82" s="893"/>
      <c r="H82" s="891"/>
      <c r="I82" s="893"/>
      <c r="J82" s="404"/>
      <c r="K82" s="19">
        <f t="shared" ref="K82:K111" si="4">K81</f>
        <v>8</v>
      </c>
      <c r="L82" s="19">
        <f t="shared" ref="L82:L167" si="5">L81+1</f>
        <v>3</v>
      </c>
    </row>
    <row r="83" spans="1:14">
      <c r="A83" s="658" t="str">
        <f t="shared" si="3"/>
        <v>8.4</v>
      </c>
      <c r="B83" s="276" t="s">
        <v>1510</v>
      </c>
      <c r="C83" s="891" t="s">
        <v>1511</v>
      </c>
      <c r="D83" s="892"/>
      <c r="E83" s="893"/>
      <c r="F83" s="891"/>
      <c r="G83" s="893"/>
      <c r="H83" s="891" t="s">
        <v>1226</v>
      </c>
      <c r="I83" s="893"/>
      <c r="J83" s="404"/>
      <c r="K83" s="19">
        <f t="shared" si="4"/>
        <v>8</v>
      </c>
      <c r="L83" s="19">
        <f t="shared" si="5"/>
        <v>4</v>
      </c>
    </row>
    <row r="84" spans="1:14" ht="28">
      <c r="A84" s="658" t="str">
        <f t="shared" si="3"/>
        <v>8.5</v>
      </c>
      <c r="B84" s="276" t="s">
        <v>1512</v>
      </c>
      <c r="C84" s="891" t="s">
        <v>1508</v>
      </c>
      <c r="D84" s="892"/>
      <c r="E84" s="893"/>
      <c r="F84" s="891"/>
      <c r="G84" s="893"/>
      <c r="H84" s="891" t="s">
        <v>1513</v>
      </c>
      <c r="I84" s="893"/>
      <c r="J84" s="404"/>
      <c r="K84" s="19">
        <f t="shared" si="4"/>
        <v>8</v>
      </c>
      <c r="L84" s="19">
        <f t="shared" si="5"/>
        <v>5</v>
      </c>
    </row>
    <row r="85" spans="1:14" ht="28">
      <c r="A85" s="658" t="str">
        <f t="shared" si="3"/>
        <v>8.6</v>
      </c>
      <c r="B85" s="276" t="s">
        <v>1514</v>
      </c>
      <c r="C85" s="891"/>
      <c r="D85" s="892"/>
      <c r="E85" s="893"/>
      <c r="F85" s="891"/>
      <c r="G85" s="893"/>
      <c r="H85" s="891" t="s">
        <v>1228</v>
      </c>
      <c r="I85" s="893"/>
      <c r="J85" s="404"/>
      <c r="K85" s="19">
        <f t="shared" si="4"/>
        <v>8</v>
      </c>
      <c r="L85" s="19">
        <f t="shared" si="5"/>
        <v>6</v>
      </c>
    </row>
    <row r="86" spans="1:14" ht="28">
      <c r="A86" s="658" t="str">
        <f t="shared" si="3"/>
        <v>8.7</v>
      </c>
      <c r="B86" s="276" t="s">
        <v>1515</v>
      </c>
      <c r="C86" s="891"/>
      <c r="D86" s="892"/>
      <c r="E86" s="893"/>
      <c r="F86" s="891"/>
      <c r="G86" s="893"/>
      <c r="H86" s="891" t="s">
        <v>1228</v>
      </c>
      <c r="I86" s="893"/>
      <c r="J86" s="404"/>
      <c r="K86" s="19">
        <f t="shared" si="4"/>
        <v>8</v>
      </c>
      <c r="L86" s="19">
        <f t="shared" si="5"/>
        <v>7</v>
      </c>
    </row>
    <row r="87" spans="1:14" ht="42">
      <c r="A87" s="658" t="str">
        <f t="shared" si="3"/>
        <v>8.8</v>
      </c>
      <c r="B87" s="276" t="s">
        <v>1516</v>
      </c>
      <c r="C87" s="891" t="s">
        <v>1517</v>
      </c>
      <c r="D87" s="892"/>
      <c r="E87" s="893"/>
      <c r="F87" s="891"/>
      <c r="G87" s="893"/>
      <c r="H87" s="891" t="s">
        <v>1518</v>
      </c>
      <c r="I87" s="893"/>
      <c r="J87" s="404"/>
      <c r="K87" s="19">
        <f t="shared" si="4"/>
        <v>8</v>
      </c>
      <c r="L87" s="19">
        <f t="shared" si="5"/>
        <v>8</v>
      </c>
    </row>
    <row r="88" spans="1:14" ht="15.5">
      <c r="A88" s="881" t="s">
        <v>1494</v>
      </c>
      <c r="B88" s="882"/>
      <c r="C88" s="882"/>
      <c r="D88" s="882"/>
      <c r="E88" s="882"/>
      <c r="F88" s="882"/>
      <c r="G88" s="882"/>
      <c r="H88" s="882"/>
      <c r="I88" s="882"/>
      <c r="J88" s="883"/>
    </row>
    <row r="89" spans="1:14" ht="56">
      <c r="A89" s="658" t="str">
        <f t="shared" si="3"/>
        <v>9.1</v>
      </c>
      <c r="B89" s="276" t="s">
        <v>1533</v>
      </c>
      <c r="C89" s="891" t="s">
        <v>1534</v>
      </c>
      <c r="D89" s="892"/>
      <c r="E89" s="893"/>
      <c r="F89" s="891"/>
      <c r="G89" s="893"/>
      <c r="H89" s="891" t="s">
        <v>1481</v>
      </c>
      <c r="I89" s="893"/>
      <c r="J89" s="404"/>
      <c r="K89" s="19">
        <v>9</v>
      </c>
      <c r="L89" s="19">
        <v>1</v>
      </c>
    </row>
    <row r="90" spans="1:14" ht="28">
      <c r="A90" s="658" t="str">
        <f t="shared" si="3"/>
        <v>9.2</v>
      </c>
      <c r="B90" s="276" t="s">
        <v>1535</v>
      </c>
      <c r="C90" s="891" t="s">
        <v>1242</v>
      </c>
      <c r="D90" s="892"/>
      <c r="E90" s="893"/>
      <c r="F90" s="891"/>
      <c r="G90" s="893"/>
      <c r="H90" s="891" t="s">
        <v>1549</v>
      </c>
      <c r="I90" s="893"/>
      <c r="J90" s="404"/>
      <c r="K90" s="19">
        <f t="shared" si="4"/>
        <v>9</v>
      </c>
      <c r="L90" s="19">
        <f t="shared" si="5"/>
        <v>2</v>
      </c>
    </row>
    <row r="91" spans="1:14" ht="28">
      <c r="A91" s="658" t="str">
        <f t="shared" si="3"/>
        <v>9.3</v>
      </c>
      <c r="B91" s="276" t="s">
        <v>1501</v>
      </c>
      <c r="C91" s="891" t="s">
        <v>1536</v>
      </c>
      <c r="D91" s="892"/>
      <c r="E91" s="893"/>
      <c r="F91" s="891"/>
      <c r="G91" s="893"/>
      <c r="H91" s="891" t="s">
        <v>1537</v>
      </c>
      <c r="I91" s="893"/>
      <c r="J91" s="404"/>
      <c r="K91" s="19">
        <f t="shared" si="4"/>
        <v>9</v>
      </c>
      <c r="L91" s="19">
        <f t="shared" si="5"/>
        <v>3</v>
      </c>
    </row>
    <row r="92" spans="1:14" ht="28">
      <c r="A92" s="658" t="str">
        <f t="shared" si="3"/>
        <v>9.4</v>
      </c>
      <c r="B92" s="276" t="s">
        <v>1538</v>
      </c>
      <c r="C92" s="891" t="s">
        <v>1539</v>
      </c>
      <c r="D92" s="892"/>
      <c r="E92" s="893"/>
      <c r="F92" s="891"/>
      <c r="G92" s="893"/>
      <c r="H92" s="891" t="s">
        <v>1481</v>
      </c>
      <c r="I92" s="893"/>
      <c r="J92" s="404"/>
      <c r="K92" s="19">
        <f t="shared" si="4"/>
        <v>9</v>
      </c>
      <c r="L92" s="19">
        <f t="shared" si="5"/>
        <v>4</v>
      </c>
    </row>
    <row r="93" spans="1:14" ht="28">
      <c r="A93" s="658" t="str">
        <f t="shared" si="3"/>
        <v>9.5</v>
      </c>
      <c r="B93" s="276" t="s">
        <v>1540</v>
      </c>
      <c r="C93" s="891"/>
      <c r="D93" s="892"/>
      <c r="E93" s="893"/>
      <c r="F93" s="891"/>
      <c r="G93" s="893"/>
      <c r="H93" s="891" t="s">
        <v>1541</v>
      </c>
      <c r="I93" s="893"/>
      <c r="J93" s="404"/>
      <c r="K93" s="19">
        <f t="shared" si="4"/>
        <v>9</v>
      </c>
      <c r="L93" s="19">
        <f t="shared" si="5"/>
        <v>5</v>
      </c>
    </row>
    <row r="94" spans="1:14">
      <c r="A94" s="658" t="str">
        <f t="shared" si="3"/>
        <v>9.6</v>
      </c>
      <c r="B94" s="276" t="s">
        <v>1542</v>
      </c>
      <c r="C94" s="891"/>
      <c r="D94" s="892"/>
      <c r="E94" s="893"/>
      <c r="F94" s="891"/>
      <c r="G94" s="893"/>
      <c r="H94" s="891" t="s">
        <v>1550</v>
      </c>
      <c r="I94" s="893"/>
      <c r="J94" s="404"/>
      <c r="K94" s="19">
        <f t="shared" si="4"/>
        <v>9</v>
      </c>
      <c r="L94" s="19">
        <f t="shared" si="5"/>
        <v>6</v>
      </c>
      <c r="N94" s="19">
        <f>5.28*1.12</f>
        <v>5.9136000000000006</v>
      </c>
    </row>
    <row r="95" spans="1:14">
      <c r="A95" s="658" t="str">
        <f t="shared" si="3"/>
        <v>9.7</v>
      </c>
      <c r="B95" s="276" t="s">
        <v>1543</v>
      </c>
      <c r="C95" s="891" t="s">
        <v>1544</v>
      </c>
      <c r="D95" s="892"/>
      <c r="E95" s="893"/>
      <c r="F95" s="891"/>
      <c r="G95" s="893"/>
      <c r="H95" s="891" t="s">
        <v>1545</v>
      </c>
      <c r="I95" s="893"/>
      <c r="J95" s="404"/>
      <c r="K95" s="19">
        <f t="shared" si="4"/>
        <v>9</v>
      </c>
      <c r="L95" s="19">
        <f t="shared" si="5"/>
        <v>7</v>
      </c>
    </row>
    <row r="96" spans="1:14">
      <c r="A96" s="658" t="str">
        <f t="shared" si="3"/>
        <v>9.8</v>
      </c>
      <c r="B96" s="276" t="s">
        <v>1543</v>
      </c>
      <c r="C96" s="891" t="s">
        <v>1546</v>
      </c>
      <c r="D96" s="892"/>
      <c r="E96" s="893"/>
      <c r="F96" s="891"/>
      <c r="G96" s="893"/>
      <c r="H96" s="891" t="s">
        <v>1547</v>
      </c>
      <c r="I96" s="893"/>
      <c r="J96" s="404"/>
      <c r="K96" s="19">
        <f t="shared" si="4"/>
        <v>9</v>
      </c>
      <c r="L96" s="19">
        <f t="shared" si="5"/>
        <v>8</v>
      </c>
    </row>
    <row r="97" spans="1:13" ht="15.5">
      <c r="A97" s="881" t="s">
        <v>1500</v>
      </c>
      <c r="B97" s="882" t="s">
        <v>1501</v>
      </c>
      <c r="C97" s="882"/>
      <c r="D97" s="882"/>
      <c r="E97" s="882"/>
      <c r="F97" s="882"/>
      <c r="G97" s="882"/>
      <c r="H97" s="882"/>
      <c r="I97" s="882"/>
      <c r="J97" s="883"/>
      <c r="K97" s="19">
        <f>K95</f>
        <v>9</v>
      </c>
      <c r="L97" s="19">
        <f>L95+1</f>
        <v>8</v>
      </c>
    </row>
    <row r="98" spans="1:13" ht="56">
      <c r="A98" s="658" t="str">
        <f t="shared" si="3"/>
        <v>10.1</v>
      </c>
      <c r="B98" s="276" t="s">
        <v>1533</v>
      </c>
      <c r="C98" s="891" t="s">
        <v>1534</v>
      </c>
      <c r="D98" s="892"/>
      <c r="E98" s="893"/>
      <c r="F98" s="891"/>
      <c r="G98" s="893"/>
      <c r="H98" s="891" t="s">
        <v>1481</v>
      </c>
      <c r="I98" s="893"/>
      <c r="J98" s="404"/>
      <c r="K98" s="19">
        <v>10</v>
      </c>
      <c r="L98" s="19">
        <v>1</v>
      </c>
    </row>
    <row r="99" spans="1:13" ht="28">
      <c r="A99" s="658" t="str">
        <f t="shared" si="3"/>
        <v>10.2</v>
      </c>
      <c r="B99" s="276" t="s">
        <v>1535</v>
      </c>
      <c r="C99" s="891" t="s">
        <v>1242</v>
      </c>
      <c r="D99" s="892"/>
      <c r="E99" s="893"/>
      <c r="F99" s="891"/>
      <c r="G99" s="893"/>
      <c r="H99" s="891" t="s">
        <v>1551</v>
      </c>
      <c r="I99" s="893"/>
      <c r="J99" s="404"/>
      <c r="K99" s="19">
        <f t="shared" si="4"/>
        <v>10</v>
      </c>
      <c r="L99" s="19">
        <f t="shared" si="5"/>
        <v>2</v>
      </c>
    </row>
    <row r="100" spans="1:13" ht="28">
      <c r="A100" s="658" t="str">
        <f t="shared" si="3"/>
        <v>10.3</v>
      </c>
      <c r="B100" s="276" t="s">
        <v>1501</v>
      </c>
      <c r="C100" s="891" t="s">
        <v>1536</v>
      </c>
      <c r="D100" s="892"/>
      <c r="E100" s="893"/>
      <c r="F100" s="891"/>
      <c r="G100" s="893"/>
      <c r="H100" s="891" t="s">
        <v>1537</v>
      </c>
      <c r="I100" s="893"/>
      <c r="J100" s="404"/>
      <c r="K100" s="19">
        <f t="shared" si="4"/>
        <v>10</v>
      </c>
      <c r="L100" s="19">
        <f t="shared" si="5"/>
        <v>3</v>
      </c>
    </row>
    <row r="101" spans="1:13" ht="28">
      <c r="A101" s="658" t="str">
        <f t="shared" si="3"/>
        <v>10.4</v>
      </c>
      <c r="B101" s="276" t="s">
        <v>1538</v>
      </c>
      <c r="C101" s="891" t="s">
        <v>1539</v>
      </c>
      <c r="D101" s="892"/>
      <c r="E101" s="893"/>
      <c r="F101" s="891"/>
      <c r="G101" s="893"/>
      <c r="H101" s="891" t="s">
        <v>1481</v>
      </c>
      <c r="I101" s="893"/>
      <c r="J101" s="404"/>
      <c r="K101" s="19">
        <f t="shared" si="4"/>
        <v>10</v>
      </c>
      <c r="L101" s="19">
        <f t="shared" si="5"/>
        <v>4</v>
      </c>
    </row>
    <row r="102" spans="1:13" ht="28">
      <c r="A102" s="658" t="str">
        <f t="shared" si="3"/>
        <v>10.5</v>
      </c>
      <c r="B102" s="276" t="s">
        <v>1540</v>
      </c>
      <c r="C102" s="891"/>
      <c r="D102" s="892"/>
      <c r="E102" s="893"/>
      <c r="F102" s="891"/>
      <c r="G102" s="893"/>
      <c r="H102" s="891" t="s">
        <v>1541</v>
      </c>
      <c r="I102" s="893"/>
      <c r="J102" s="404"/>
      <c r="K102" s="19">
        <f t="shared" si="4"/>
        <v>10</v>
      </c>
      <c r="L102" s="19">
        <f t="shared" si="5"/>
        <v>5</v>
      </c>
    </row>
    <row r="103" spans="1:13">
      <c r="A103" s="658" t="str">
        <f t="shared" si="3"/>
        <v>10.6</v>
      </c>
      <c r="B103" s="276" t="s">
        <v>1542</v>
      </c>
      <c r="C103" s="891"/>
      <c r="D103" s="892"/>
      <c r="E103" s="893"/>
      <c r="F103" s="891"/>
      <c r="G103" s="893"/>
      <c r="H103" s="891" t="s">
        <v>1552</v>
      </c>
      <c r="I103" s="893"/>
      <c r="J103" s="404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>
      <c r="A104" s="658" t="str">
        <f t="shared" si="3"/>
        <v>10.7</v>
      </c>
      <c r="B104" s="276" t="s">
        <v>1543</v>
      </c>
      <c r="C104" s="891" t="s">
        <v>1544</v>
      </c>
      <c r="D104" s="892"/>
      <c r="E104" s="893"/>
      <c r="F104" s="891"/>
      <c r="G104" s="893"/>
      <c r="H104" s="891" t="s">
        <v>1545</v>
      </c>
      <c r="I104" s="893"/>
      <c r="J104" s="404"/>
      <c r="K104" s="19">
        <f t="shared" si="4"/>
        <v>10</v>
      </c>
      <c r="L104" s="19">
        <f t="shared" si="5"/>
        <v>7</v>
      </c>
    </row>
    <row r="105" spans="1:13">
      <c r="A105" s="658" t="str">
        <f t="shared" si="3"/>
        <v>10.8</v>
      </c>
      <c r="B105" s="276" t="s">
        <v>1543</v>
      </c>
      <c r="C105" s="891" t="s">
        <v>1546</v>
      </c>
      <c r="D105" s="892"/>
      <c r="E105" s="893"/>
      <c r="F105" s="891"/>
      <c r="G105" s="893"/>
      <c r="H105" s="891" t="s">
        <v>1547</v>
      </c>
      <c r="I105" s="893"/>
      <c r="J105" s="404"/>
      <c r="K105" s="19">
        <f t="shared" si="4"/>
        <v>10</v>
      </c>
      <c r="L105" s="19">
        <f t="shared" si="5"/>
        <v>8</v>
      </c>
    </row>
    <row r="106" spans="1:13" ht="15.5">
      <c r="A106" s="881" t="s">
        <v>1502</v>
      </c>
      <c r="B106" s="882"/>
      <c r="C106" s="882"/>
      <c r="D106" s="882"/>
      <c r="E106" s="882"/>
      <c r="F106" s="882"/>
      <c r="G106" s="882"/>
      <c r="H106" s="882"/>
      <c r="I106" s="882"/>
      <c r="J106" s="883"/>
      <c r="K106" s="19">
        <f t="shared" si="4"/>
        <v>10</v>
      </c>
      <c r="L106" s="19">
        <f t="shared" si="5"/>
        <v>9</v>
      </c>
    </row>
    <row r="107" spans="1:13" ht="56">
      <c r="A107" s="658" t="str">
        <f t="shared" si="3"/>
        <v>11.1</v>
      </c>
      <c r="B107" s="276" t="s">
        <v>1533</v>
      </c>
      <c r="C107" s="891" t="s">
        <v>1534</v>
      </c>
      <c r="D107" s="892"/>
      <c r="E107" s="893"/>
      <c r="F107" s="891"/>
      <c r="G107" s="893"/>
      <c r="H107" s="891" t="s">
        <v>1558</v>
      </c>
      <c r="I107" s="893"/>
      <c r="J107" s="404"/>
      <c r="K107" s="19">
        <v>11</v>
      </c>
      <c r="L107" s="19">
        <v>1</v>
      </c>
    </row>
    <row r="108" spans="1:13" ht="28">
      <c r="A108" s="658" t="str">
        <f t="shared" si="3"/>
        <v>11.2</v>
      </c>
      <c r="B108" s="276" t="s">
        <v>1535</v>
      </c>
      <c r="C108" s="891" t="s">
        <v>1242</v>
      </c>
      <c r="D108" s="892"/>
      <c r="E108" s="893"/>
      <c r="F108" s="891"/>
      <c r="G108" s="893"/>
      <c r="H108" s="891" t="s">
        <v>1559</v>
      </c>
      <c r="I108" s="893"/>
      <c r="J108" s="404"/>
      <c r="K108" s="19">
        <f t="shared" si="4"/>
        <v>11</v>
      </c>
      <c r="L108" s="19">
        <f t="shared" si="5"/>
        <v>2</v>
      </c>
    </row>
    <row r="109" spans="1:13" ht="28">
      <c r="A109" s="658" t="str">
        <f t="shared" si="3"/>
        <v>11.3</v>
      </c>
      <c r="B109" s="276" t="s">
        <v>1501</v>
      </c>
      <c r="C109" s="891" t="s">
        <v>1536</v>
      </c>
      <c r="D109" s="892"/>
      <c r="E109" s="893"/>
      <c r="F109" s="891"/>
      <c r="G109" s="893"/>
      <c r="H109" s="891" t="s">
        <v>1560</v>
      </c>
      <c r="I109" s="893"/>
      <c r="J109" s="404"/>
      <c r="K109" s="19">
        <f t="shared" si="4"/>
        <v>11</v>
      </c>
      <c r="L109" s="19">
        <f t="shared" si="5"/>
        <v>3</v>
      </c>
    </row>
    <row r="110" spans="1:13" ht="28">
      <c r="A110" s="658" t="str">
        <f t="shared" si="3"/>
        <v>11.4</v>
      </c>
      <c r="B110" s="276" t="s">
        <v>1538</v>
      </c>
      <c r="C110" s="891" t="s">
        <v>1539</v>
      </c>
      <c r="D110" s="892"/>
      <c r="E110" s="893"/>
      <c r="F110" s="891"/>
      <c r="G110" s="893"/>
      <c r="H110" s="891" t="s">
        <v>1484</v>
      </c>
      <c r="I110" s="893"/>
      <c r="J110" s="404"/>
      <c r="K110" s="19">
        <f t="shared" si="4"/>
        <v>11</v>
      </c>
      <c r="L110" s="19">
        <f t="shared" si="5"/>
        <v>4</v>
      </c>
    </row>
    <row r="111" spans="1:13" ht="28">
      <c r="A111" s="658" t="str">
        <f t="shared" si="3"/>
        <v>11.5</v>
      </c>
      <c r="B111" s="276" t="s">
        <v>1540</v>
      </c>
      <c r="C111" s="891" t="s">
        <v>1561</v>
      </c>
      <c r="D111" s="892"/>
      <c r="E111" s="893"/>
      <c r="F111" s="891"/>
      <c r="G111" s="893"/>
      <c r="H111" s="891" t="s">
        <v>1541</v>
      </c>
      <c r="I111" s="893"/>
      <c r="J111" s="404"/>
      <c r="K111" s="19">
        <f t="shared" si="4"/>
        <v>11</v>
      </c>
      <c r="L111" s="19">
        <f t="shared" si="5"/>
        <v>5</v>
      </c>
    </row>
    <row r="112" spans="1:13" ht="42">
      <c r="A112" s="658" t="str">
        <f t="shared" si="3"/>
        <v>11.6</v>
      </c>
      <c r="B112" s="276" t="s">
        <v>1516</v>
      </c>
      <c r="C112" s="891" t="s">
        <v>1517</v>
      </c>
      <c r="D112" s="892"/>
      <c r="E112" s="893"/>
      <c r="F112" s="891"/>
      <c r="G112" s="893"/>
      <c r="H112" s="891" t="s">
        <v>1226</v>
      </c>
      <c r="I112" s="893"/>
      <c r="J112" s="404"/>
      <c r="K112" s="19">
        <f t="shared" ref="K112:K139" si="6">K111</f>
        <v>11</v>
      </c>
      <c r="L112" s="19">
        <f t="shared" ref="L112:L140" si="7">L111+1</f>
        <v>6</v>
      </c>
    </row>
    <row r="113" spans="1:12" ht="42">
      <c r="A113" s="658" t="str">
        <f t="shared" ref="A113:A140" si="8">CONCATENATE(K113,".",L113)</f>
        <v>11.7</v>
      </c>
      <c r="B113" s="276" t="s">
        <v>1229</v>
      </c>
      <c r="C113" s="891" t="s">
        <v>1562</v>
      </c>
      <c r="D113" s="892"/>
      <c r="E113" s="893"/>
      <c r="F113" s="891"/>
      <c r="G113" s="893"/>
      <c r="H113" s="891" t="s">
        <v>1481</v>
      </c>
      <c r="I113" s="893"/>
      <c r="J113" s="404"/>
      <c r="K113" s="19">
        <f t="shared" si="6"/>
        <v>11</v>
      </c>
      <c r="L113" s="19">
        <f t="shared" si="7"/>
        <v>7</v>
      </c>
    </row>
    <row r="114" spans="1:12">
      <c r="A114" s="658" t="str">
        <f t="shared" si="8"/>
        <v>11.8</v>
      </c>
      <c r="B114" s="276" t="s">
        <v>1230</v>
      </c>
      <c r="C114" s="891" t="s">
        <v>1565</v>
      </c>
      <c r="D114" s="892"/>
      <c r="E114" s="893"/>
      <c r="F114" s="891"/>
      <c r="G114" s="893"/>
      <c r="H114" s="891" t="s">
        <v>1566</v>
      </c>
      <c r="I114" s="893"/>
      <c r="J114" s="404"/>
      <c r="K114" s="19">
        <f t="shared" si="6"/>
        <v>11</v>
      </c>
      <c r="L114" s="19">
        <f t="shared" si="7"/>
        <v>8</v>
      </c>
    </row>
    <row r="115" spans="1:12">
      <c r="A115" s="658" t="str">
        <f t="shared" si="8"/>
        <v>11.9</v>
      </c>
      <c r="B115" s="276" t="s">
        <v>1563</v>
      </c>
      <c r="C115" s="891" t="s">
        <v>1564</v>
      </c>
      <c r="D115" s="892"/>
      <c r="E115" s="893"/>
      <c r="F115" s="891"/>
      <c r="G115" s="893"/>
      <c r="H115" s="891" t="s">
        <v>1228</v>
      </c>
      <c r="I115" s="893"/>
      <c r="J115" s="404"/>
      <c r="K115" s="19">
        <f t="shared" si="6"/>
        <v>11</v>
      </c>
      <c r="L115" s="19">
        <f t="shared" si="7"/>
        <v>9</v>
      </c>
    </row>
    <row r="116" spans="1:12">
      <c r="A116" s="658" t="str">
        <f t="shared" si="8"/>
        <v>11.10</v>
      </c>
      <c r="B116" s="276" t="s">
        <v>1567</v>
      </c>
      <c r="C116" s="891" t="s">
        <v>1581</v>
      </c>
      <c r="D116" s="892"/>
      <c r="E116" s="893"/>
      <c r="F116" s="891"/>
      <c r="G116" s="893"/>
      <c r="H116" s="891" t="s">
        <v>1560</v>
      </c>
      <c r="I116" s="893"/>
      <c r="J116" s="404"/>
      <c r="K116" s="19">
        <f t="shared" si="6"/>
        <v>11</v>
      </c>
      <c r="L116" s="19">
        <f t="shared" si="7"/>
        <v>10</v>
      </c>
    </row>
    <row r="117" spans="1:12">
      <c r="A117" s="658" t="str">
        <f t="shared" si="8"/>
        <v>11.11</v>
      </c>
      <c r="B117" s="276" t="s">
        <v>1568</v>
      </c>
      <c r="C117" s="891" t="s">
        <v>1582</v>
      </c>
      <c r="D117" s="892"/>
      <c r="E117" s="893"/>
      <c r="F117" s="891"/>
      <c r="G117" s="893"/>
      <c r="H117" s="891" t="s">
        <v>1484</v>
      </c>
      <c r="I117" s="893"/>
      <c r="J117" s="404"/>
      <c r="K117" s="19">
        <f t="shared" si="6"/>
        <v>11</v>
      </c>
      <c r="L117" s="19">
        <f t="shared" si="7"/>
        <v>11</v>
      </c>
    </row>
    <row r="118" spans="1:12" ht="28">
      <c r="A118" s="658" t="str">
        <f t="shared" si="8"/>
        <v>11.12</v>
      </c>
      <c r="B118" s="276" t="s">
        <v>1569</v>
      </c>
      <c r="C118" s="891" t="s">
        <v>1583</v>
      </c>
      <c r="D118" s="892"/>
      <c r="E118" s="893"/>
      <c r="F118" s="891"/>
      <c r="G118" s="893"/>
      <c r="H118" s="891" t="s">
        <v>1588</v>
      </c>
      <c r="I118" s="893"/>
      <c r="J118" s="404"/>
      <c r="K118" s="19">
        <f t="shared" si="6"/>
        <v>11</v>
      </c>
      <c r="L118" s="19">
        <f t="shared" si="7"/>
        <v>12</v>
      </c>
    </row>
    <row r="119" spans="1:12" ht="28">
      <c r="A119" s="658" t="str">
        <f t="shared" si="8"/>
        <v>11.13</v>
      </c>
      <c r="B119" s="276" t="s">
        <v>1231</v>
      </c>
      <c r="C119" s="891" t="s">
        <v>1232</v>
      </c>
      <c r="D119" s="892"/>
      <c r="E119" s="893"/>
      <c r="F119" s="891"/>
      <c r="G119" s="893"/>
      <c r="H119" s="891" t="s">
        <v>1589</v>
      </c>
      <c r="I119" s="893"/>
      <c r="J119" s="404"/>
      <c r="K119" s="19">
        <f t="shared" si="6"/>
        <v>11</v>
      </c>
      <c r="L119" s="19">
        <f t="shared" si="7"/>
        <v>13</v>
      </c>
    </row>
    <row r="120" spans="1:12">
      <c r="A120" s="658" t="str">
        <f t="shared" si="8"/>
        <v>11.14</v>
      </c>
      <c r="B120" s="276" t="s">
        <v>1233</v>
      </c>
      <c r="C120" s="891" t="s">
        <v>1234</v>
      </c>
      <c r="D120" s="892"/>
      <c r="E120" s="893"/>
      <c r="F120" s="891"/>
      <c r="G120" s="893"/>
      <c r="H120" s="891" t="s">
        <v>1588</v>
      </c>
      <c r="I120" s="893"/>
      <c r="J120" s="404"/>
      <c r="K120" s="19">
        <f t="shared" si="6"/>
        <v>11</v>
      </c>
      <c r="L120" s="19">
        <f t="shared" si="7"/>
        <v>14</v>
      </c>
    </row>
    <row r="121" spans="1:12" ht="56">
      <c r="A121" s="658" t="str">
        <f t="shared" si="8"/>
        <v>11.15</v>
      </c>
      <c r="B121" s="276" t="s">
        <v>1570</v>
      </c>
      <c r="C121" s="891" t="s">
        <v>1584</v>
      </c>
      <c r="D121" s="892"/>
      <c r="E121" s="893"/>
      <c r="F121" s="891"/>
      <c r="G121" s="893"/>
      <c r="H121" s="891" t="s">
        <v>1560</v>
      </c>
      <c r="I121" s="893"/>
      <c r="J121" s="404"/>
      <c r="K121" s="19">
        <f t="shared" si="6"/>
        <v>11</v>
      </c>
      <c r="L121" s="19">
        <f t="shared" si="7"/>
        <v>15</v>
      </c>
    </row>
    <row r="122" spans="1:12" ht="28">
      <c r="A122" s="658" t="str">
        <f t="shared" si="8"/>
        <v>11.16</v>
      </c>
      <c r="B122" s="276" t="s">
        <v>1571</v>
      </c>
      <c r="C122" s="891" t="s">
        <v>1585</v>
      </c>
      <c r="D122" s="892"/>
      <c r="E122" s="893"/>
      <c r="F122" s="891"/>
      <c r="G122" s="893"/>
      <c r="H122" s="891" t="s">
        <v>1484</v>
      </c>
      <c r="I122" s="893"/>
      <c r="J122" s="404"/>
      <c r="K122" s="19">
        <f t="shared" si="6"/>
        <v>11</v>
      </c>
      <c r="L122" s="19">
        <f t="shared" si="7"/>
        <v>16</v>
      </c>
    </row>
    <row r="123" spans="1:12" ht="42">
      <c r="A123" s="658" t="str">
        <f t="shared" si="8"/>
        <v>11.17</v>
      </c>
      <c r="B123" s="276" t="s">
        <v>1572</v>
      </c>
      <c r="C123" s="891" t="s">
        <v>1586</v>
      </c>
      <c r="D123" s="892"/>
      <c r="E123" s="893"/>
      <c r="F123" s="891"/>
      <c r="G123" s="893"/>
      <c r="H123" s="891" t="s">
        <v>1590</v>
      </c>
      <c r="I123" s="893"/>
      <c r="J123" s="404"/>
      <c r="K123" s="19">
        <f t="shared" si="6"/>
        <v>11</v>
      </c>
      <c r="L123" s="19">
        <f t="shared" si="7"/>
        <v>17</v>
      </c>
    </row>
    <row r="124" spans="1:12" ht="28">
      <c r="A124" s="658" t="str">
        <f t="shared" si="8"/>
        <v>11.18</v>
      </c>
      <c r="B124" s="276" t="s">
        <v>1573</v>
      </c>
      <c r="C124" s="891" t="s">
        <v>1587</v>
      </c>
      <c r="D124" s="892"/>
      <c r="E124" s="893"/>
      <c r="F124" s="891"/>
      <c r="G124" s="893"/>
      <c r="H124" s="891" t="s">
        <v>1227</v>
      </c>
      <c r="I124" s="893"/>
      <c r="J124" s="404"/>
      <c r="K124" s="19">
        <f t="shared" si="6"/>
        <v>11</v>
      </c>
      <c r="L124" s="19">
        <f t="shared" si="7"/>
        <v>18</v>
      </c>
    </row>
    <row r="125" spans="1:12" ht="56">
      <c r="A125" s="658" t="str">
        <f t="shared" si="8"/>
        <v>11.19</v>
      </c>
      <c r="B125" s="276" t="s">
        <v>1241</v>
      </c>
      <c r="C125" s="891" t="s">
        <v>1575</v>
      </c>
      <c r="D125" s="892"/>
      <c r="E125" s="893"/>
      <c r="F125" s="891"/>
      <c r="G125" s="893"/>
      <c r="H125" s="891" t="s">
        <v>1228</v>
      </c>
      <c r="I125" s="893"/>
      <c r="J125" s="404"/>
      <c r="K125" s="19">
        <f t="shared" si="6"/>
        <v>11</v>
      </c>
      <c r="L125" s="19">
        <f t="shared" si="7"/>
        <v>19</v>
      </c>
    </row>
    <row r="126" spans="1:12" ht="56">
      <c r="A126" s="658" t="str">
        <f t="shared" si="8"/>
        <v>11.20</v>
      </c>
      <c r="B126" s="276" t="s">
        <v>1241</v>
      </c>
      <c r="C126" s="891" t="s">
        <v>1574</v>
      </c>
      <c r="D126" s="892"/>
      <c r="E126" s="893"/>
      <c r="F126" s="891"/>
      <c r="G126" s="893"/>
      <c r="H126" s="891" t="s">
        <v>1228</v>
      </c>
      <c r="I126" s="893"/>
      <c r="J126" s="404"/>
      <c r="K126" s="19">
        <f t="shared" si="6"/>
        <v>11</v>
      </c>
      <c r="L126" s="19">
        <f t="shared" si="7"/>
        <v>20</v>
      </c>
    </row>
    <row r="127" spans="1:12">
      <c r="A127" s="658" t="str">
        <f t="shared" si="8"/>
        <v>11.21</v>
      </c>
      <c r="B127" s="276" t="s">
        <v>1235</v>
      </c>
      <c r="C127" s="891" t="s">
        <v>1236</v>
      </c>
      <c r="D127" s="892"/>
      <c r="E127" s="893"/>
      <c r="F127" s="891"/>
      <c r="G127" s="893"/>
      <c r="H127" s="891" t="s">
        <v>1228</v>
      </c>
      <c r="I127" s="893"/>
      <c r="J127" s="404"/>
      <c r="K127" s="19">
        <f t="shared" si="6"/>
        <v>11</v>
      </c>
      <c r="L127" s="19">
        <f t="shared" si="7"/>
        <v>21</v>
      </c>
    </row>
    <row r="128" spans="1:12" ht="28">
      <c r="A128" s="658" t="str">
        <f t="shared" si="8"/>
        <v>11.22</v>
      </c>
      <c r="B128" s="276" t="s">
        <v>1237</v>
      </c>
      <c r="C128" s="891" t="s">
        <v>1576</v>
      </c>
      <c r="D128" s="892"/>
      <c r="E128" s="893"/>
      <c r="F128" s="891"/>
      <c r="G128" s="893"/>
      <c r="H128" s="891" t="s">
        <v>1228</v>
      </c>
      <c r="I128" s="893"/>
      <c r="J128" s="404"/>
      <c r="K128" s="19">
        <f t="shared" si="6"/>
        <v>11</v>
      </c>
      <c r="L128" s="19">
        <f t="shared" si="7"/>
        <v>22</v>
      </c>
    </row>
    <row r="129" spans="1:14" ht="28">
      <c r="A129" s="658" t="str">
        <f t="shared" si="8"/>
        <v>11.23</v>
      </c>
      <c r="B129" s="276" t="s">
        <v>1238</v>
      </c>
      <c r="C129" s="891" t="s">
        <v>1239</v>
      </c>
      <c r="D129" s="892"/>
      <c r="E129" s="893"/>
      <c r="F129" s="891"/>
      <c r="G129" s="893"/>
      <c r="H129" s="891" t="s">
        <v>1481</v>
      </c>
      <c r="I129" s="893"/>
      <c r="J129" s="404"/>
      <c r="K129" s="19">
        <f t="shared" si="6"/>
        <v>11</v>
      </c>
      <c r="L129" s="19">
        <f t="shared" si="7"/>
        <v>23</v>
      </c>
    </row>
    <row r="130" spans="1:14">
      <c r="A130" s="658" t="str">
        <f t="shared" si="8"/>
        <v>11.24</v>
      </c>
      <c r="B130" s="276" t="s">
        <v>1240</v>
      </c>
      <c r="C130" s="891" t="s">
        <v>1577</v>
      </c>
      <c r="D130" s="892"/>
      <c r="E130" s="893"/>
      <c r="F130" s="891"/>
      <c r="G130" s="893"/>
      <c r="H130" s="891" t="s">
        <v>1228</v>
      </c>
      <c r="I130" s="893"/>
      <c r="J130" s="404"/>
      <c r="K130" s="19">
        <f t="shared" si="6"/>
        <v>11</v>
      </c>
      <c r="L130" s="19">
        <f t="shared" si="7"/>
        <v>24</v>
      </c>
    </row>
    <row r="131" spans="1:14">
      <c r="A131" s="658" t="str">
        <f t="shared" si="8"/>
        <v>11.25</v>
      </c>
      <c r="B131" s="276" t="s">
        <v>1542</v>
      </c>
      <c r="C131" s="891"/>
      <c r="D131" s="892"/>
      <c r="E131" s="893"/>
      <c r="F131" s="891"/>
      <c r="G131" s="893"/>
      <c r="H131" s="891" t="s">
        <v>1580</v>
      </c>
      <c r="I131" s="893"/>
      <c r="J131" s="404"/>
      <c r="K131" s="19">
        <f t="shared" si="6"/>
        <v>11</v>
      </c>
      <c r="L131" s="19">
        <f t="shared" si="7"/>
        <v>25</v>
      </c>
      <c r="N131" s="19">
        <f>1.6*1.12</f>
        <v>1.7920000000000003</v>
      </c>
    </row>
    <row r="132" spans="1:14" ht="28">
      <c r="A132" s="658" t="str">
        <f t="shared" si="8"/>
        <v>11.26</v>
      </c>
      <c r="B132" s="276" t="s">
        <v>1578</v>
      </c>
      <c r="C132" s="891"/>
      <c r="D132" s="892"/>
      <c r="E132" s="893"/>
      <c r="F132" s="891"/>
      <c r="G132" s="893"/>
      <c r="H132" s="891" t="s">
        <v>1579</v>
      </c>
      <c r="I132" s="893"/>
      <c r="J132" s="404"/>
      <c r="K132" s="19">
        <f t="shared" si="6"/>
        <v>11</v>
      </c>
      <c r="L132" s="19">
        <f t="shared" si="7"/>
        <v>26</v>
      </c>
    </row>
    <row r="133" spans="1:14">
      <c r="A133" s="658" t="str">
        <f t="shared" si="8"/>
        <v>11.27</v>
      </c>
      <c r="B133" s="276" t="s">
        <v>1543</v>
      </c>
      <c r="C133" s="891" t="s">
        <v>1544</v>
      </c>
      <c r="D133" s="892"/>
      <c r="E133" s="893"/>
      <c r="F133" s="891"/>
      <c r="G133" s="893"/>
      <c r="H133" s="891" t="s">
        <v>1545</v>
      </c>
      <c r="I133" s="893"/>
      <c r="J133" s="404"/>
      <c r="K133" s="19">
        <f t="shared" si="6"/>
        <v>11</v>
      </c>
      <c r="L133" s="19">
        <f t="shared" si="7"/>
        <v>27</v>
      </c>
    </row>
    <row r="134" spans="1:14">
      <c r="A134" s="658" t="str">
        <f t="shared" si="8"/>
        <v>11.28</v>
      </c>
      <c r="B134" s="276" t="s">
        <v>1543</v>
      </c>
      <c r="C134" s="891" t="s">
        <v>1546</v>
      </c>
      <c r="D134" s="892"/>
      <c r="E134" s="893"/>
      <c r="F134" s="891"/>
      <c r="G134" s="893"/>
      <c r="H134" s="891" t="s">
        <v>1547</v>
      </c>
      <c r="I134" s="893"/>
      <c r="J134" s="404"/>
      <c r="K134" s="19">
        <f t="shared" si="6"/>
        <v>11</v>
      </c>
      <c r="L134" s="19">
        <f t="shared" si="7"/>
        <v>28</v>
      </c>
    </row>
    <row r="135" spans="1:14" ht="15.5">
      <c r="A135" s="881" t="s">
        <v>1591</v>
      </c>
      <c r="B135" s="882"/>
      <c r="C135" s="882"/>
      <c r="D135" s="882"/>
      <c r="E135" s="882"/>
      <c r="F135" s="882"/>
      <c r="G135" s="882"/>
      <c r="H135" s="882"/>
      <c r="I135" s="882"/>
      <c r="J135" s="883"/>
      <c r="K135" s="19">
        <f t="shared" si="6"/>
        <v>11</v>
      </c>
      <c r="L135" s="19">
        <f t="shared" si="7"/>
        <v>29</v>
      </c>
    </row>
    <row r="136" spans="1:14" ht="56">
      <c r="A136" s="658" t="str">
        <f t="shared" si="8"/>
        <v>12.1</v>
      </c>
      <c r="B136" s="276" t="s">
        <v>1533</v>
      </c>
      <c r="C136" s="891" t="s">
        <v>1534</v>
      </c>
      <c r="D136" s="892"/>
      <c r="E136" s="893"/>
      <c r="F136" s="891"/>
      <c r="G136" s="893"/>
      <c r="H136" s="891" t="s">
        <v>1558</v>
      </c>
      <c r="I136" s="893"/>
      <c r="J136" s="404"/>
      <c r="K136" s="19">
        <v>12</v>
      </c>
      <c r="L136" s="19">
        <v>1</v>
      </c>
    </row>
    <row r="137" spans="1:14" ht="28">
      <c r="A137" s="658" t="str">
        <f t="shared" si="8"/>
        <v>12.2</v>
      </c>
      <c r="B137" s="276" t="s">
        <v>1535</v>
      </c>
      <c r="C137" s="891" t="s">
        <v>1242</v>
      </c>
      <c r="D137" s="892"/>
      <c r="E137" s="893"/>
      <c r="F137" s="891"/>
      <c r="G137" s="893"/>
      <c r="H137" s="891" t="s">
        <v>1559</v>
      </c>
      <c r="I137" s="893"/>
      <c r="J137" s="404"/>
      <c r="K137" s="19">
        <f t="shared" si="6"/>
        <v>12</v>
      </c>
      <c r="L137" s="19">
        <f t="shared" si="7"/>
        <v>2</v>
      </c>
    </row>
    <row r="138" spans="1:14" ht="28">
      <c r="A138" s="658" t="str">
        <f t="shared" si="8"/>
        <v>12.3</v>
      </c>
      <c r="B138" s="276" t="s">
        <v>1501</v>
      </c>
      <c r="C138" s="891" t="s">
        <v>1536</v>
      </c>
      <c r="D138" s="892"/>
      <c r="E138" s="893"/>
      <c r="F138" s="891"/>
      <c r="G138" s="893"/>
      <c r="H138" s="891" t="s">
        <v>1560</v>
      </c>
      <c r="I138" s="893"/>
      <c r="J138" s="404"/>
      <c r="K138" s="19">
        <f t="shared" si="6"/>
        <v>12</v>
      </c>
      <c r="L138" s="19">
        <f t="shared" si="7"/>
        <v>3</v>
      </c>
    </row>
    <row r="139" spans="1:14" ht="28">
      <c r="A139" s="658" t="str">
        <f t="shared" si="8"/>
        <v>12.4</v>
      </c>
      <c r="B139" s="276" t="s">
        <v>1538</v>
      </c>
      <c r="C139" s="891" t="s">
        <v>1539</v>
      </c>
      <c r="D139" s="892"/>
      <c r="E139" s="893"/>
      <c r="F139" s="891"/>
      <c r="G139" s="893"/>
      <c r="H139" s="891" t="s">
        <v>1484</v>
      </c>
      <c r="I139" s="893"/>
      <c r="J139" s="404"/>
      <c r="K139" s="19">
        <f t="shared" si="6"/>
        <v>12</v>
      </c>
      <c r="L139" s="19">
        <f t="shared" si="7"/>
        <v>4</v>
      </c>
    </row>
    <row r="140" spans="1:14" ht="28">
      <c r="A140" s="658" t="str">
        <f t="shared" si="8"/>
        <v>12.5</v>
      </c>
      <c r="B140" s="276" t="s">
        <v>1540</v>
      </c>
      <c r="C140" s="891" t="s">
        <v>1561</v>
      </c>
      <c r="D140" s="892"/>
      <c r="E140" s="893"/>
      <c r="F140" s="891"/>
      <c r="G140" s="893"/>
      <c r="H140" s="891" t="s">
        <v>1541</v>
      </c>
      <c r="I140" s="893"/>
      <c r="J140" s="404"/>
      <c r="K140" s="19">
        <f>K139</f>
        <v>12</v>
      </c>
      <c r="L140" s="19">
        <f t="shared" si="7"/>
        <v>5</v>
      </c>
    </row>
    <row r="141" spans="1:14" ht="42">
      <c r="A141" s="658" t="str">
        <f t="shared" si="3"/>
        <v>12.6</v>
      </c>
      <c r="B141" s="276" t="s">
        <v>1516</v>
      </c>
      <c r="C141" s="891" t="s">
        <v>1517</v>
      </c>
      <c r="D141" s="892"/>
      <c r="E141" s="893"/>
      <c r="F141" s="891"/>
      <c r="G141" s="893"/>
      <c r="H141" s="891" t="s">
        <v>1226</v>
      </c>
      <c r="I141" s="893"/>
      <c r="J141" s="404"/>
      <c r="K141" s="19">
        <f t="shared" ref="K141:K207" si="9">K140</f>
        <v>12</v>
      </c>
      <c r="L141" s="19">
        <f>L111+1</f>
        <v>6</v>
      </c>
    </row>
    <row r="142" spans="1:14" ht="42">
      <c r="A142" s="658" t="str">
        <f t="shared" si="3"/>
        <v>12.7</v>
      </c>
      <c r="B142" s="276" t="s">
        <v>1229</v>
      </c>
      <c r="C142" s="891" t="s">
        <v>1562</v>
      </c>
      <c r="D142" s="892"/>
      <c r="E142" s="893"/>
      <c r="F142" s="891"/>
      <c r="G142" s="893"/>
      <c r="H142" s="891" t="s">
        <v>1481</v>
      </c>
      <c r="I142" s="893"/>
      <c r="J142" s="404"/>
      <c r="K142" s="19">
        <f t="shared" si="9"/>
        <v>12</v>
      </c>
      <c r="L142" s="19">
        <f t="shared" si="5"/>
        <v>7</v>
      </c>
    </row>
    <row r="143" spans="1:14">
      <c r="A143" s="658" t="str">
        <f t="shared" si="3"/>
        <v>12.8</v>
      </c>
      <c r="B143" s="276" t="s">
        <v>1230</v>
      </c>
      <c r="C143" s="891" t="s">
        <v>1565</v>
      </c>
      <c r="D143" s="892"/>
      <c r="E143" s="893"/>
      <c r="F143" s="891"/>
      <c r="G143" s="893"/>
      <c r="H143" s="891" t="s">
        <v>1566</v>
      </c>
      <c r="I143" s="893"/>
      <c r="J143" s="404"/>
      <c r="K143" s="19">
        <f t="shared" si="9"/>
        <v>12</v>
      </c>
      <c r="L143" s="19">
        <f t="shared" si="5"/>
        <v>8</v>
      </c>
    </row>
    <row r="144" spans="1:14">
      <c r="A144" s="658" t="str">
        <f t="shared" si="3"/>
        <v>12.9</v>
      </c>
      <c r="B144" s="276" t="s">
        <v>1563</v>
      </c>
      <c r="C144" s="891" t="s">
        <v>1564</v>
      </c>
      <c r="D144" s="892"/>
      <c r="E144" s="893"/>
      <c r="F144" s="891"/>
      <c r="G144" s="893"/>
      <c r="H144" s="891" t="s">
        <v>1228</v>
      </c>
      <c r="I144" s="893"/>
      <c r="J144" s="404"/>
      <c r="K144" s="19">
        <f t="shared" si="9"/>
        <v>12</v>
      </c>
      <c r="L144" s="19">
        <f t="shared" si="5"/>
        <v>9</v>
      </c>
    </row>
    <row r="145" spans="1:12">
      <c r="A145" s="658" t="str">
        <f t="shared" si="3"/>
        <v>12.10</v>
      </c>
      <c r="B145" s="276" t="s">
        <v>1567</v>
      </c>
      <c r="C145" s="891" t="s">
        <v>1581</v>
      </c>
      <c r="D145" s="892"/>
      <c r="E145" s="893"/>
      <c r="F145" s="891"/>
      <c r="G145" s="893"/>
      <c r="H145" s="891" t="s">
        <v>1560</v>
      </c>
      <c r="I145" s="893"/>
      <c r="J145" s="404"/>
      <c r="K145" s="19">
        <f t="shared" si="9"/>
        <v>12</v>
      </c>
      <c r="L145" s="19">
        <f t="shared" si="5"/>
        <v>10</v>
      </c>
    </row>
    <row r="146" spans="1:12">
      <c r="A146" s="658" t="str">
        <f t="shared" si="3"/>
        <v>12.11</v>
      </c>
      <c r="B146" s="276" t="s">
        <v>1568</v>
      </c>
      <c r="C146" s="891" t="s">
        <v>1582</v>
      </c>
      <c r="D146" s="892"/>
      <c r="E146" s="893"/>
      <c r="F146" s="891"/>
      <c r="G146" s="893"/>
      <c r="H146" s="891" t="s">
        <v>1484</v>
      </c>
      <c r="I146" s="893"/>
      <c r="J146" s="404"/>
      <c r="K146" s="19">
        <f t="shared" si="9"/>
        <v>12</v>
      </c>
      <c r="L146" s="19">
        <f t="shared" si="5"/>
        <v>11</v>
      </c>
    </row>
    <row r="147" spans="1:12" ht="28">
      <c r="A147" s="658" t="str">
        <f t="shared" si="3"/>
        <v>12.12</v>
      </c>
      <c r="B147" s="276" t="s">
        <v>1569</v>
      </c>
      <c r="C147" s="891" t="s">
        <v>1583</v>
      </c>
      <c r="D147" s="892"/>
      <c r="E147" s="893"/>
      <c r="F147" s="891"/>
      <c r="G147" s="893"/>
      <c r="H147" s="891" t="s">
        <v>1588</v>
      </c>
      <c r="I147" s="893"/>
      <c r="J147" s="404"/>
      <c r="K147" s="19">
        <f t="shared" si="9"/>
        <v>12</v>
      </c>
      <c r="L147" s="19">
        <f t="shared" si="5"/>
        <v>12</v>
      </c>
    </row>
    <row r="148" spans="1:12" ht="28">
      <c r="A148" s="658" t="str">
        <f t="shared" si="3"/>
        <v>12.13</v>
      </c>
      <c r="B148" s="276" t="s">
        <v>1231</v>
      </c>
      <c r="C148" s="891" t="s">
        <v>1232</v>
      </c>
      <c r="D148" s="892"/>
      <c r="E148" s="893"/>
      <c r="F148" s="891"/>
      <c r="G148" s="893"/>
      <c r="H148" s="891" t="s">
        <v>1589</v>
      </c>
      <c r="I148" s="893"/>
      <c r="J148" s="404"/>
      <c r="K148" s="19">
        <f t="shared" si="9"/>
        <v>12</v>
      </c>
      <c r="L148" s="19">
        <f t="shared" si="5"/>
        <v>13</v>
      </c>
    </row>
    <row r="149" spans="1:12">
      <c r="A149" s="658" t="str">
        <f t="shared" si="3"/>
        <v>12.14</v>
      </c>
      <c r="B149" s="276" t="s">
        <v>1233</v>
      </c>
      <c r="C149" s="891" t="s">
        <v>1234</v>
      </c>
      <c r="D149" s="892"/>
      <c r="E149" s="893"/>
      <c r="F149" s="891"/>
      <c r="G149" s="893"/>
      <c r="H149" s="891" t="s">
        <v>1588</v>
      </c>
      <c r="I149" s="893"/>
      <c r="J149" s="404"/>
      <c r="K149" s="19">
        <f t="shared" si="9"/>
        <v>12</v>
      </c>
      <c r="L149" s="19">
        <f t="shared" si="5"/>
        <v>14</v>
      </c>
    </row>
    <row r="150" spans="1:12" ht="56">
      <c r="A150" s="658" t="str">
        <f t="shared" si="3"/>
        <v>12.15</v>
      </c>
      <c r="B150" s="276" t="s">
        <v>1570</v>
      </c>
      <c r="C150" s="891" t="s">
        <v>1584</v>
      </c>
      <c r="D150" s="892"/>
      <c r="E150" s="893"/>
      <c r="F150" s="891"/>
      <c r="G150" s="893"/>
      <c r="H150" s="891" t="s">
        <v>1560</v>
      </c>
      <c r="I150" s="893"/>
      <c r="J150" s="404"/>
      <c r="K150" s="19">
        <f t="shared" si="9"/>
        <v>12</v>
      </c>
      <c r="L150" s="19">
        <f t="shared" si="5"/>
        <v>15</v>
      </c>
    </row>
    <row r="151" spans="1:12" ht="28">
      <c r="A151" s="658" t="str">
        <f t="shared" si="3"/>
        <v>12.16</v>
      </c>
      <c r="B151" s="276" t="s">
        <v>1571</v>
      </c>
      <c r="C151" s="891" t="s">
        <v>1585</v>
      </c>
      <c r="D151" s="892"/>
      <c r="E151" s="893"/>
      <c r="F151" s="891"/>
      <c r="G151" s="893"/>
      <c r="H151" s="891" t="s">
        <v>1484</v>
      </c>
      <c r="I151" s="893"/>
      <c r="J151" s="404"/>
      <c r="K151" s="19">
        <f t="shared" si="9"/>
        <v>12</v>
      </c>
      <c r="L151" s="19">
        <f t="shared" si="5"/>
        <v>16</v>
      </c>
    </row>
    <row r="152" spans="1:12" ht="59.5" customHeight="1">
      <c r="A152" s="658" t="str">
        <f t="shared" si="3"/>
        <v>12.17</v>
      </c>
      <c r="B152" s="276" t="s">
        <v>1572</v>
      </c>
      <c r="C152" s="891" t="s">
        <v>1586</v>
      </c>
      <c r="D152" s="892"/>
      <c r="E152" s="893"/>
      <c r="F152" s="891"/>
      <c r="G152" s="893"/>
      <c r="H152" s="891" t="s">
        <v>1590</v>
      </c>
      <c r="I152" s="893"/>
      <c r="J152" s="404"/>
      <c r="K152" s="19">
        <f t="shared" si="9"/>
        <v>12</v>
      </c>
      <c r="L152" s="19">
        <f t="shared" si="5"/>
        <v>17</v>
      </c>
    </row>
    <row r="153" spans="1:12" ht="59.5" customHeight="1">
      <c r="A153" s="658" t="str">
        <f t="shared" si="3"/>
        <v>12.18</v>
      </c>
      <c r="B153" s="276" t="s">
        <v>1573</v>
      </c>
      <c r="C153" s="891" t="s">
        <v>1587</v>
      </c>
      <c r="D153" s="892"/>
      <c r="E153" s="893"/>
      <c r="F153" s="891"/>
      <c r="G153" s="893"/>
      <c r="H153" s="891" t="s">
        <v>1227</v>
      </c>
      <c r="I153" s="893"/>
      <c r="J153" s="404"/>
      <c r="K153" s="19">
        <f t="shared" si="9"/>
        <v>12</v>
      </c>
      <c r="L153" s="19">
        <f t="shared" si="5"/>
        <v>18</v>
      </c>
    </row>
    <row r="154" spans="1:12" ht="56">
      <c r="A154" s="658" t="str">
        <f t="shared" si="3"/>
        <v>12.19</v>
      </c>
      <c r="B154" s="276" t="s">
        <v>1241</v>
      </c>
      <c r="C154" s="891" t="s">
        <v>1575</v>
      </c>
      <c r="D154" s="892"/>
      <c r="E154" s="893"/>
      <c r="F154" s="891"/>
      <c r="G154" s="893"/>
      <c r="H154" s="891" t="s">
        <v>1228</v>
      </c>
      <c r="I154" s="893"/>
      <c r="J154" s="404"/>
      <c r="K154" s="19">
        <f t="shared" si="9"/>
        <v>12</v>
      </c>
      <c r="L154" s="19">
        <f t="shared" si="5"/>
        <v>19</v>
      </c>
    </row>
    <row r="155" spans="1:12" ht="56">
      <c r="A155" s="658" t="str">
        <f t="shared" si="3"/>
        <v>12.20</v>
      </c>
      <c r="B155" s="276" t="s">
        <v>1241</v>
      </c>
      <c r="C155" s="891" t="s">
        <v>1574</v>
      </c>
      <c r="D155" s="892"/>
      <c r="E155" s="893"/>
      <c r="F155" s="891"/>
      <c r="G155" s="893"/>
      <c r="H155" s="891" t="s">
        <v>1228</v>
      </c>
      <c r="I155" s="893"/>
      <c r="J155" s="404"/>
      <c r="K155" s="19">
        <f t="shared" si="9"/>
        <v>12</v>
      </c>
      <c r="L155" s="19">
        <f t="shared" si="5"/>
        <v>20</v>
      </c>
    </row>
    <row r="156" spans="1:12">
      <c r="A156" s="658" t="str">
        <f t="shared" si="3"/>
        <v>12.21</v>
      </c>
      <c r="B156" s="276" t="s">
        <v>1235</v>
      </c>
      <c r="C156" s="891" t="s">
        <v>1236</v>
      </c>
      <c r="D156" s="892"/>
      <c r="E156" s="893"/>
      <c r="F156" s="891"/>
      <c r="G156" s="893"/>
      <c r="H156" s="891" t="s">
        <v>1228</v>
      </c>
      <c r="I156" s="893"/>
      <c r="J156" s="404"/>
      <c r="K156" s="19">
        <f t="shared" si="9"/>
        <v>12</v>
      </c>
      <c r="L156" s="19">
        <f t="shared" si="5"/>
        <v>21</v>
      </c>
    </row>
    <row r="157" spans="1:12" ht="27.65" customHeight="1">
      <c r="A157" s="658" t="str">
        <f t="shared" si="3"/>
        <v>12.22</v>
      </c>
      <c r="B157" s="276" t="s">
        <v>1237</v>
      </c>
      <c r="C157" s="891" t="s">
        <v>1576</v>
      </c>
      <c r="D157" s="892"/>
      <c r="E157" s="893"/>
      <c r="F157" s="891"/>
      <c r="G157" s="893"/>
      <c r="H157" s="891" t="s">
        <v>1228</v>
      </c>
      <c r="I157" s="893"/>
      <c r="J157" s="404"/>
      <c r="K157" s="19">
        <f t="shared" si="9"/>
        <v>12</v>
      </c>
      <c r="L157" s="19">
        <f t="shared" si="5"/>
        <v>22</v>
      </c>
    </row>
    <row r="158" spans="1:12" ht="28">
      <c r="A158" s="658" t="str">
        <f t="shared" si="3"/>
        <v>12.23</v>
      </c>
      <c r="B158" s="276" t="s">
        <v>1238</v>
      </c>
      <c r="C158" s="891" t="s">
        <v>1239</v>
      </c>
      <c r="D158" s="892"/>
      <c r="E158" s="893"/>
      <c r="F158" s="891"/>
      <c r="G158" s="893"/>
      <c r="H158" s="891" t="s">
        <v>1481</v>
      </c>
      <c r="I158" s="893"/>
      <c r="J158" s="404"/>
      <c r="K158" s="19">
        <f t="shared" si="9"/>
        <v>12</v>
      </c>
      <c r="L158" s="19">
        <f t="shared" si="5"/>
        <v>23</v>
      </c>
    </row>
    <row r="159" spans="1:12">
      <c r="A159" s="658" t="str">
        <f t="shared" si="3"/>
        <v>12.24</v>
      </c>
      <c r="B159" s="276" t="s">
        <v>1240</v>
      </c>
      <c r="C159" s="891" t="s">
        <v>1577</v>
      </c>
      <c r="D159" s="892"/>
      <c r="E159" s="893"/>
      <c r="F159" s="891"/>
      <c r="G159" s="893"/>
      <c r="H159" s="891" t="s">
        <v>1228</v>
      </c>
      <c r="I159" s="893"/>
      <c r="J159" s="404"/>
      <c r="K159" s="19">
        <f t="shared" si="9"/>
        <v>12</v>
      </c>
      <c r="L159" s="19">
        <f t="shared" si="5"/>
        <v>24</v>
      </c>
    </row>
    <row r="160" spans="1:12">
      <c r="A160" s="658" t="str">
        <f t="shared" si="3"/>
        <v>12.25</v>
      </c>
      <c r="B160" s="276" t="s">
        <v>1542</v>
      </c>
      <c r="C160" s="891"/>
      <c r="D160" s="892"/>
      <c r="E160" s="893"/>
      <c r="F160" s="891"/>
      <c r="G160" s="893"/>
      <c r="H160" s="891" t="s">
        <v>1580</v>
      </c>
      <c r="I160" s="893"/>
      <c r="J160" s="404"/>
      <c r="K160" s="19">
        <f t="shared" si="9"/>
        <v>12</v>
      </c>
      <c r="L160" s="19">
        <f t="shared" si="5"/>
        <v>25</v>
      </c>
    </row>
    <row r="161" spans="1:12" ht="28">
      <c r="A161" s="658" t="str">
        <f t="shared" si="3"/>
        <v>12.26</v>
      </c>
      <c r="B161" s="276" t="s">
        <v>1578</v>
      </c>
      <c r="C161" s="891"/>
      <c r="D161" s="892"/>
      <c r="E161" s="893"/>
      <c r="F161" s="891"/>
      <c r="G161" s="893"/>
      <c r="H161" s="891" t="s">
        <v>1579</v>
      </c>
      <c r="I161" s="893"/>
      <c r="J161" s="404"/>
      <c r="K161" s="19">
        <f t="shared" si="9"/>
        <v>12</v>
      </c>
      <c r="L161" s="19">
        <f t="shared" si="5"/>
        <v>26</v>
      </c>
    </row>
    <row r="162" spans="1:12">
      <c r="A162" s="658" t="str">
        <f t="shared" si="3"/>
        <v>12.27</v>
      </c>
      <c r="B162" s="276" t="s">
        <v>1543</v>
      </c>
      <c r="C162" s="891" t="s">
        <v>1544</v>
      </c>
      <c r="D162" s="892"/>
      <c r="E162" s="893"/>
      <c r="F162" s="891"/>
      <c r="G162" s="893"/>
      <c r="H162" s="891" t="s">
        <v>1545</v>
      </c>
      <c r="I162" s="893"/>
      <c r="J162" s="404"/>
      <c r="K162" s="19">
        <f t="shared" si="9"/>
        <v>12</v>
      </c>
      <c r="L162" s="19">
        <f t="shared" si="5"/>
        <v>27</v>
      </c>
    </row>
    <row r="163" spans="1:12">
      <c r="A163" s="658" t="str">
        <f t="shared" si="3"/>
        <v>12.28</v>
      </c>
      <c r="B163" s="276" t="s">
        <v>1543</v>
      </c>
      <c r="C163" s="891" t="s">
        <v>1546</v>
      </c>
      <c r="D163" s="892"/>
      <c r="E163" s="893"/>
      <c r="F163" s="891"/>
      <c r="G163" s="893"/>
      <c r="H163" s="891" t="s">
        <v>1547</v>
      </c>
      <c r="I163" s="893"/>
      <c r="J163" s="404"/>
      <c r="K163" s="19">
        <f t="shared" si="9"/>
        <v>12</v>
      </c>
      <c r="L163" s="19">
        <f t="shared" si="5"/>
        <v>28</v>
      </c>
    </row>
    <row r="164" spans="1:12" ht="15" customHeight="1">
      <c r="A164" s="881" t="s">
        <v>1592</v>
      </c>
      <c r="B164" s="882"/>
      <c r="C164" s="882"/>
      <c r="D164" s="882"/>
      <c r="E164" s="882"/>
      <c r="F164" s="882"/>
      <c r="G164" s="882"/>
      <c r="H164" s="882"/>
      <c r="I164" s="882"/>
      <c r="J164" s="883"/>
      <c r="K164" s="19">
        <f t="shared" si="9"/>
        <v>12</v>
      </c>
      <c r="L164" s="19">
        <f t="shared" si="5"/>
        <v>29</v>
      </c>
    </row>
    <row r="165" spans="1:12" ht="56">
      <c r="A165" s="658" t="str">
        <f t="shared" si="3"/>
        <v>13.1</v>
      </c>
      <c r="B165" s="276" t="s">
        <v>1533</v>
      </c>
      <c r="C165" s="891" t="s">
        <v>1534</v>
      </c>
      <c r="D165" s="892"/>
      <c r="E165" s="893"/>
      <c r="F165" s="891"/>
      <c r="G165" s="893"/>
      <c r="H165" s="891" t="s">
        <v>1481</v>
      </c>
      <c r="I165" s="893"/>
      <c r="J165" s="404"/>
      <c r="K165" s="19">
        <v>13</v>
      </c>
      <c r="L165" s="19">
        <v>1</v>
      </c>
    </row>
    <row r="166" spans="1:12" ht="30" customHeight="1">
      <c r="A166" s="658" t="str">
        <f t="shared" si="3"/>
        <v>13.2</v>
      </c>
      <c r="B166" s="276" t="s">
        <v>1535</v>
      </c>
      <c r="C166" s="891" t="s">
        <v>1242</v>
      </c>
      <c r="D166" s="892"/>
      <c r="E166" s="893"/>
      <c r="F166" s="891"/>
      <c r="G166" s="893"/>
      <c r="H166" s="891" t="s">
        <v>1595</v>
      </c>
      <c r="I166" s="893"/>
      <c r="J166" s="404"/>
      <c r="K166" s="19">
        <f t="shared" si="9"/>
        <v>13</v>
      </c>
      <c r="L166" s="19">
        <f t="shared" si="5"/>
        <v>2</v>
      </c>
    </row>
    <row r="167" spans="1:12" ht="30" customHeight="1">
      <c r="A167" s="658" t="str">
        <f t="shared" ref="A167:A207" si="10">CONCATENATE(K167,".",L167)</f>
        <v>13.3</v>
      </c>
      <c r="B167" s="276" t="s">
        <v>1501</v>
      </c>
      <c r="C167" s="891" t="s">
        <v>1536</v>
      </c>
      <c r="D167" s="892"/>
      <c r="E167" s="893"/>
      <c r="F167" s="891"/>
      <c r="G167" s="893"/>
      <c r="H167" s="891" t="s">
        <v>1537</v>
      </c>
      <c r="I167" s="893"/>
      <c r="J167" s="404"/>
      <c r="K167" s="19">
        <f t="shared" si="9"/>
        <v>13</v>
      </c>
      <c r="L167" s="19">
        <f t="shared" si="5"/>
        <v>3</v>
      </c>
    </row>
    <row r="168" spans="1:12" ht="30" customHeight="1">
      <c r="A168" s="658" t="str">
        <f t="shared" si="10"/>
        <v>13.4</v>
      </c>
      <c r="B168" s="276" t="s">
        <v>1538</v>
      </c>
      <c r="C168" s="891" t="s">
        <v>1539</v>
      </c>
      <c r="D168" s="892"/>
      <c r="E168" s="893"/>
      <c r="F168" s="891"/>
      <c r="G168" s="893"/>
      <c r="H168" s="891" t="s">
        <v>1481</v>
      </c>
      <c r="I168" s="893"/>
      <c r="J168" s="404"/>
      <c r="K168" s="19">
        <f t="shared" si="9"/>
        <v>13</v>
      </c>
      <c r="L168" s="19">
        <f t="shared" ref="L168:L207" si="11">L167+1</f>
        <v>4</v>
      </c>
    </row>
    <row r="169" spans="1:12" ht="30" customHeight="1">
      <c r="A169" s="658" t="str">
        <f t="shared" si="10"/>
        <v>13.5</v>
      </c>
      <c r="B169" s="276" t="s">
        <v>1540</v>
      </c>
      <c r="C169" s="891"/>
      <c r="D169" s="892"/>
      <c r="E169" s="893"/>
      <c r="F169" s="891"/>
      <c r="G169" s="893"/>
      <c r="H169" s="891" t="s">
        <v>1541</v>
      </c>
      <c r="I169" s="893"/>
      <c r="J169" s="404"/>
      <c r="K169" s="19">
        <f t="shared" si="9"/>
        <v>13</v>
      </c>
      <c r="L169" s="19">
        <f t="shared" si="11"/>
        <v>5</v>
      </c>
    </row>
    <row r="170" spans="1:12" ht="30" customHeight="1">
      <c r="A170" s="658" t="str">
        <f t="shared" si="10"/>
        <v>13.6</v>
      </c>
      <c r="B170" s="276" t="s">
        <v>1542</v>
      </c>
      <c r="C170" s="891"/>
      <c r="D170" s="892"/>
      <c r="E170" s="893"/>
      <c r="F170" s="891"/>
      <c r="G170" s="893"/>
      <c r="H170" s="891" t="s">
        <v>1596</v>
      </c>
      <c r="I170" s="893"/>
      <c r="J170" s="404"/>
      <c r="K170" s="19">
        <f t="shared" si="9"/>
        <v>13</v>
      </c>
      <c r="L170" s="19">
        <f t="shared" si="11"/>
        <v>6</v>
      </c>
    </row>
    <row r="171" spans="1:12" ht="30" customHeight="1">
      <c r="A171" s="658" t="str">
        <f t="shared" si="10"/>
        <v>13.7</v>
      </c>
      <c r="B171" s="276" t="s">
        <v>1543</v>
      </c>
      <c r="C171" s="891" t="s">
        <v>1544</v>
      </c>
      <c r="D171" s="892"/>
      <c r="E171" s="893"/>
      <c r="F171" s="891"/>
      <c r="G171" s="893"/>
      <c r="H171" s="891" t="s">
        <v>1545</v>
      </c>
      <c r="I171" s="893"/>
      <c r="J171" s="404"/>
      <c r="K171" s="19">
        <f t="shared" si="9"/>
        <v>13</v>
      </c>
      <c r="L171" s="19">
        <f t="shared" si="11"/>
        <v>7</v>
      </c>
    </row>
    <row r="172" spans="1:12" ht="30" customHeight="1">
      <c r="A172" s="658" t="str">
        <f t="shared" si="10"/>
        <v>13.8</v>
      </c>
      <c r="B172" s="276" t="s">
        <v>1543</v>
      </c>
      <c r="C172" s="891" t="s">
        <v>1546</v>
      </c>
      <c r="D172" s="892"/>
      <c r="E172" s="893"/>
      <c r="F172" s="891"/>
      <c r="G172" s="893"/>
      <c r="H172" s="891" t="s">
        <v>1547</v>
      </c>
      <c r="I172" s="893"/>
      <c r="J172" s="404"/>
      <c r="K172" s="19">
        <f t="shared" si="9"/>
        <v>13</v>
      </c>
      <c r="L172" s="19">
        <f t="shared" si="11"/>
        <v>8</v>
      </c>
    </row>
    <row r="173" spans="1:12" ht="15.5">
      <c r="A173" s="881" t="s">
        <v>1594</v>
      </c>
      <c r="B173" s="882"/>
      <c r="C173" s="882"/>
      <c r="D173" s="882"/>
      <c r="E173" s="882"/>
      <c r="F173" s="882"/>
      <c r="G173" s="882"/>
      <c r="H173" s="882"/>
      <c r="I173" s="882"/>
      <c r="J173" s="883"/>
      <c r="K173" s="19">
        <f t="shared" si="9"/>
        <v>13</v>
      </c>
      <c r="L173" s="19">
        <f t="shared" si="11"/>
        <v>9</v>
      </c>
    </row>
    <row r="174" spans="1:12" ht="56">
      <c r="A174" s="658" t="str">
        <f t="shared" si="10"/>
        <v>14.1</v>
      </c>
      <c r="B174" s="276" t="s">
        <v>1533</v>
      </c>
      <c r="C174" s="891" t="s">
        <v>1534</v>
      </c>
      <c r="D174" s="892"/>
      <c r="E174" s="893"/>
      <c r="F174" s="891"/>
      <c r="G174" s="893"/>
      <c r="H174" s="891" t="s">
        <v>1481</v>
      </c>
      <c r="I174" s="893"/>
      <c r="J174" s="404"/>
      <c r="K174" s="19">
        <v>14</v>
      </c>
      <c r="L174" s="19">
        <v>1</v>
      </c>
    </row>
    <row r="175" spans="1:12" ht="30" customHeight="1">
      <c r="A175" s="658" t="str">
        <f t="shared" si="10"/>
        <v>14.2</v>
      </c>
      <c r="B175" s="276" t="s">
        <v>1535</v>
      </c>
      <c r="C175" s="891" t="s">
        <v>1242</v>
      </c>
      <c r="D175" s="892"/>
      <c r="E175" s="893"/>
      <c r="F175" s="891"/>
      <c r="G175" s="893"/>
      <c r="H175" s="891" t="s">
        <v>1595</v>
      </c>
      <c r="I175" s="893"/>
      <c r="J175" s="404"/>
      <c r="K175" s="19">
        <f t="shared" si="9"/>
        <v>14</v>
      </c>
      <c r="L175" s="19">
        <f t="shared" si="11"/>
        <v>2</v>
      </c>
    </row>
    <row r="176" spans="1:12" ht="30" customHeight="1">
      <c r="A176" s="658" t="str">
        <f t="shared" si="10"/>
        <v>14.3</v>
      </c>
      <c r="B176" s="276" t="s">
        <v>1501</v>
      </c>
      <c r="C176" s="891" t="s">
        <v>1536</v>
      </c>
      <c r="D176" s="892"/>
      <c r="E176" s="893"/>
      <c r="F176" s="891"/>
      <c r="G176" s="893"/>
      <c r="H176" s="891" t="s">
        <v>1537</v>
      </c>
      <c r="I176" s="893"/>
      <c r="J176" s="404"/>
      <c r="K176" s="19">
        <f t="shared" si="9"/>
        <v>14</v>
      </c>
      <c r="L176" s="19">
        <f t="shared" si="11"/>
        <v>3</v>
      </c>
    </row>
    <row r="177" spans="1:14" ht="30" customHeight="1">
      <c r="A177" s="658" t="str">
        <f t="shared" si="10"/>
        <v>14.4</v>
      </c>
      <c r="B177" s="276" t="s">
        <v>1538</v>
      </c>
      <c r="C177" s="891" t="s">
        <v>1539</v>
      </c>
      <c r="D177" s="892"/>
      <c r="E177" s="893"/>
      <c r="F177" s="891"/>
      <c r="G177" s="893"/>
      <c r="H177" s="891" t="s">
        <v>1481</v>
      </c>
      <c r="I177" s="893"/>
      <c r="J177" s="404"/>
      <c r="K177" s="19">
        <f t="shared" si="9"/>
        <v>14</v>
      </c>
      <c r="L177" s="19">
        <f t="shared" si="11"/>
        <v>4</v>
      </c>
    </row>
    <row r="178" spans="1:14" ht="30" customHeight="1">
      <c r="A178" s="658" t="str">
        <f t="shared" si="10"/>
        <v>14.5</v>
      </c>
      <c r="B178" s="276" t="s">
        <v>1540</v>
      </c>
      <c r="C178" s="891"/>
      <c r="D178" s="892"/>
      <c r="E178" s="893"/>
      <c r="F178" s="891"/>
      <c r="G178" s="893"/>
      <c r="H178" s="891" t="s">
        <v>1541</v>
      </c>
      <c r="I178" s="893"/>
      <c r="J178" s="404"/>
      <c r="K178" s="19">
        <f t="shared" si="9"/>
        <v>14</v>
      </c>
      <c r="L178" s="19">
        <f t="shared" si="11"/>
        <v>5</v>
      </c>
    </row>
    <row r="179" spans="1:14" ht="30" customHeight="1">
      <c r="A179" s="658" t="str">
        <f t="shared" si="10"/>
        <v>14.6</v>
      </c>
      <c r="B179" s="276" t="s">
        <v>1542</v>
      </c>
      <c r="C179" s="891"/>
      <c r="D179" s="892"/>
      <c r="E179" s="893"/>
      <c r="F179" s="891"/>
      <c r="G179" s="893"/>
      <c r="H179" s="891" t="s">
        <v>1596</v>
      </c>
      <c r="I179" s="893"/>
      <c r="J179" s="404"/>
      <c r="K179" s="19">
        <f t="shared" si="9"/>
        <v>14</v>
      </c>
      <c r="L179" s="19">
        <f t="shared" si="11"/>
        <v>6</v>
      </c>
    </row>
    <row r="180" spans="1:14" ht="30" customHeight="1">
      <c r="A180" s="658" t="str">
        <f t="shared" si="10"/>
        <v>14.7</v>
      </c>
      <c r="B180" s="276" t="s">
        <v>1543</v>
      </c>
      <c r="C180" s="891" t="s">
        <v>1544</v>
      </c>
      <c r="D180" s="892"/>
      <c r="E180" s="893"/>
      <c r="F180" s="891"/>
      <c r="G180" s="893"/>
      <c r="H180" s="891" t="s">
        <v>1545</v>
      </c>
      <c r="I180" s="893"/>
      <c r="J180" s="404"/>
      <c r="K180" s="19">
        <f t="shared" si="9"/>
        <v>14</v>
      </c>
      <c r="L180" s="19">
        <f t="shared" si="11"/>
        <v>7</v>
      </c>
    </row>
    <row r="181" spans="1:14" ht="30" customHeight="1">
      <c r="A181" s="658" t="str">
        <f t="shared" si="10"/>
        <v>14.8</v>
      </c>
      <c r="B181" s="276" t="s">
        <v>1543</v>
      </c>
      <c r="C181" s="891" t="s">
        <v>1546</v>
      </c>
      <c r="D181" s="892"/>
      <c r="E181" s="893"/>
      <c r="F181" s="891"/>
      <c r="G181" s="893"/>
      <c r="H181" s="891" t="s">
        <v>1547</v>
      </c>
      <c r="I181" s="893"/>
      <c r="J181" s="404"/>
      <c r="K181" s="19">
        <f t="shared" si="9"/>
        <v>14</v>
      </c>
      <c r="L181" s="19">
        <f t="shared" si="11"/>
        <v>8</v>
      </c>
    </row>
    <row r="182" spans="1:14" ht="15.5">
      <c r="A182" s="881" t="s">
        <v>1597</v>
      </c>
      <c r="B182" s="882"/>
      <c r="C182" s="882"/>
      <c r="D182" s="882"/>
      <c r="E182" s="882"/>
      <c r="F182" s="882"/>
      <c r="G182" s="882"/>
      <c r="H182" s="882"/>
      <c r="I182" s="882"/>
      <c r="J182" s="883"/>
      <c r="K182" s="19">
        <f t="shared" si="9"/>
        <v>14</v>
      </c>
      <c r="L182" s="19">
        <f t="shared" si="11"/>
        <v>9</v>
      </c>
    </row>
    <row r="183" spans="1:14" ht="56">
      <c r="A183" s="658" t="str">
        <f t="shared" si="10"/>
        <v>15.1</v>
      </c>
      <c r="B183" s="276" t="s">
        <v>1533</v>
      </c>
      <c r="C183" s="891" t="s">
        <v>1534</v>
      </c>
      <c r="D183" s="892"/>
      <c r="E183" s="893"/>
      <c r="F183" s="891"/>
      <c r="G183" s="893"/>
      <c r="H183" s="891" t="s">
        <v>1481</v>
      </c>
      <c r="I183" s="893"/>
      <c r="J183" s="404"/>
      <c r="K183" s="19">
        <v>15</v>
      </c>
      <c r="L183" s="19">
        <v>1</v>
      </c>
    </row>
    <row r="184" spans="1:14" ht="30" customHeight="1">
      <c r="A184" s="658" t="str">
        <f t="shared" si="10"/>
        <v>15.2</v>
      </c>
      <c r="B184" s="276" t="s">
        <v>1535</v>
      </c>
      <c r="C184" s="891" t="s">
        <v>1242</v>
      </c>
      <c r="D184" s="892"/>
      <c r="E184" s="893"/>
      <c r="F184" s="891"/>
      <c r="G184" s="893"/>
      <c r="H184" s="891" t="s">
        <v>1600</v>
      </c>
      <c r="I184" s="893"/>
      <c r="J184" s="404"/>
      <c r="K184" s="19">
        <f t="shared" si="9"/>
        <v>15</v>
      </c>
      <c r="L184" s="19">
        <f t="shared" si="11"/>
        <v>2</v>
      </c>
    </row>
    <row r="185" spans="1:14" ht="30" customHeight="1">
      <c r="A185" s="658" t="str">
        <f t="shared" si="10"/>
        <v>15.3</v>
      </c>
      <c r="B185" s="276" t="s">
        <v>1501</v>
      </c>
      <c r="C185" s="891" t="s">
        <v>1536</v>
      </c>
      <c r="D185" s="892"/>
      <c r="E185" s="893"/>
      <c r="F185" s="891"/>
      <c r="G185" s="893"/>
      <c r="H185" s="891" t="s">
        <v>1537</v>
      </c>
      <c r="I185" s="893"/>
      <c r="J185" s="404"/>
      <c r="K185" s="19">
        <f t="shared" si="9"/>
        <v>15</v>
      </c>
      <c r="L185" s="19">
        <f t="shared" si="11"/>
        <v>3</v>
      </c>
    </row>
    <row r="186" spans="1:14" ht="30" customHeight="1">
      <c r="A186" s="658" t="str">
        <f t="shared" si="10"/>
        <v>15.4</v>
      </c>
      <c r="B186" s="276" t="s">
        <v>1538</v>
      </c>
      <c r="C186" s="891" t="s">
        <v>1539</v>
      </c>
      <c r="D186" s="892"/>
      <c r="E186" s="893"/>
      <c r="F186" s="891"/>
      <c r="G186" s="893"/>
      <c r="H186" s="891" t="s">
        <v>1558</v>
      </c>
      <c r="I186" s="893"/>
      <c r="J186" s="404"/>
      <c r="K186" s="19">
        <f t="shared" si="9"/>
        <v>15</v>
      </c>
      <c r="L186" s="19">
        <f t="shared" si="11"/>
        <v>4</v>
      </c>
    </row>
    <row r="187" spans="1:14" ht="30" customHeight="1">
      <c r="A187" s="658" t="str">
        <f t="shared" si="10"/>
        <v>15.5</v>
      </c>
      <c r="B187" s="276" t="s">
        <v>1540</v>
      </c>
      <c r="C187" s="891"/>
      <c r="D187" s="892"/>
      <c r="E187" s="893"/>
      <c r="F187" s="891"/>
      <c r="G187" s="893"/>
      <c r="H187" s="891" t="s">
        <v>1541</v>
      </c>
      <c r="I187" s="893"/>
      <c r="J187" s="404"/>
      <c r="K187" s="19">
        <f t="shared" si="9"/>
        <v>15</v>
      </c>
      <c r="L187" s="19">
        <f t="shared" si="11"/>
        <v>5</v>
      </c>
    </row>
    <row r="188" spans="1:14" ht="30" customHeight="1">
      <c r="A188" s="658" t="str">
        <f t="shared" si="10"/>
        <v>15.6</v>
      </c>
      <c r="B188" s="276" t="s">
        <v>1542</v>
      </c>
      <c r="C188" s="891"/>
      <c r="D188" s="892"/>
      <c r="E188" s="893"/>
      <c r="F188" s="891"/>
      <c r="G188" s="893"/>
      <c r="H188" s="891" t="s">
        <v>1612</v>
      </c>
      <c r="I188" s="893"/>
      <c r="J188" s="404"/>
      <c r="K188" s="19">
        <f t="shared" si="9"/>
        <v>15</v>
      </c>
      <c r="L188" s="19">
        <f t="shared" si="11"/>
        <v>6</v>
      </c>
      <c r="N188" s="19">
        <f>1.13*1.12</f>
        <v>1.2656000000000001</v>
      </c>
    </row>
    <row r="189" spans="1:14" ht="28">
      <c r="A189" s="658" t="str">
        <f t="shared" si="10"/>
        <v>15.7</v>
      </c>
      <c r="B189" s="276" t="s">
        <v>1601</v>
      </c>
      <c r="C189" s="891" t="s">
        <v>1602</v>
      </c>
      <c r="D189" s="892"/>
      <c r="E189" s="893"/>
      <c r="F189" s="891"/>
      <c r="G189" s="893"/>
      <c r="H189" s="891" t="s">
        <v>1611</v>
      </c>
      <c r="I189" s="893"/>
      <c r="J189" s="404"/>
      <c r="K189" s="19">
        <f t="shared" si="9"/>
        <v>15</v>
      </c>
      <c r="L189" s="19">
        <f t="shared" si="11"/>
        <v>7</v>
      </c>
    </row>
    <row r="190" spans="1:14" ht="28">
      <c r="A190" s="658" t="str">
        <f t="shared" si="10"/>
        <v>15.8</v>
      </c>
      <c r="B190" s="276" t="s">
        <v>1603</v>
      </c>
      <c r="C190" s="891"/>
      <c r="D190" s="892"/>
      <c r="E190" s="893"/>
      <c r="F190" s="891"/>
      <c r="G190" s="893"/>
      <c r="H190" s="891" t="s">
        <v>1608</v>
      </c>
      <c r="I190" s="893"/>
      <c r="J190" s="404"/>
      <c r="K190" s="19">
        <f t="shared" ref="K190:K192" si="12">K189</f>
        <v>15</v>
      </c>
      <c r="L190" s="19">
        <f t="shared" si="11"/>
        <v>8</v>
      </c>
    </row>
    <row r="191" spans="1:14">
      <c r="A191" s="658" t="str">
        <f t="shared" si="10"/>
        <v>15.9</v>
      </c>
      <c r="B191" s="276" t="s">
        <v>1604</v>
      </c>
      <c r="C191" s="891" t="s">
        <v>1606</v>
      </c>
      <c r="D191" s="892"/>
      <c r="E191" s="893"/>
      <c r="F191" s="891"/>
      <c r="G191" s="893"/>
      <c r="H191" s="891" t="s">
        <v>1609</v>
      </c>
      <c r="I191" s="893"/>
      <c r="J191" s="404"/>
      <c r="K191" s="19">
        <f t="shared" si="12"/>
        <v>15</v>
      </c>
      <c r="L191" s="19">
        <f t="shared" si="11"/>
        <v>9</v>
      </c>
      <c r="N191" s="19">
        <f>51.95*20</f>
        <v>1039</v>
      </c>
    </row>
    <row r="192" spans="1:14">
      <c r="A192" s="658" t="str">
        <f t="shared" si="10"/>
        <v>15.10</v>
      </c>
      <c r="B192" s="276" t="s">
        <v>1605</v>
      </c>
      <c r="C192" s="891" t="s">
        <v>1607</v>
      </c>
      <c r="D192" s="892"/>
      <c r="E192" s="893"/>
      <c r="F192" s="891"/>
      <c r="G192" s="893"/>
      <c r="H192" s="891" t="s">
        <v>1610</v>
      </c>
      <c r="I192" s="893"/>
      <c r="J192" s="404"/>
      <c r="K192" s="19">
        <f t="shared" si="12"/>
        <v>15</v>
      </c>
      <c r="L192" s="19">
        <f t="shared" si="11"/>
        <v>10</v>
      </c>
      <c r="N192" s="19">
        <f>N191/10000</f>
        <v>0.10390000000000001</v>
      </c>
    </row>
    <row r="193" spans="1:17" ht="30" customHeight="1">
      <c r="A193" s="658" t="str">
        <f t="shared" si="10"/>
        <v>15.11</v>
      </c>
      <c r="B193" s="276" t="s">
        <v>1543</v>
      </c>
      <c r="C193" s="891" t="s">
        <v>1544</v>
      </c>
      <c r="D193" s="892"/>
      <c r="E193" s="893"/>
      <c r="F193" s="891"/>
      <c r="G193" s="893"/>
      <c r="H193" s="891" t="s">
        <v>1545</v>
      </c>
      <c r="I193" s="893"/>
      <c r="J193" s="404"/>
      <c r="K193" s="19">
        <f t="shared" ref="K193" si="13">K192</f>
        <v>15</v>
      </c>
      <c r="L193" s="19">
        <f t="shared" si="11"/>
        <v>11</v>
      </c>
    </row>
    <row r="194" spans="1:17" ht="75" customHeight="1">
      <c r="A194" s="658" t="str">
        <f t="shared" si="10"/>
        <v>15.12</v>
      </c>
      <c r="B194" s="276" t="s">
        <v>1543</v>
      </c>
      <c r="C194" s="891" t="s">
        <v>1546</v>
      </c>
      <c r="D194" s="892"/>
      <c r="E194" s="893"/>
      <c r="F194" s="891"/>
      <c r="G194" s="893"/>
      <c r="H194" s="891" t="s">
        <v>1547</v>
      </c>
      <c r="I194" s="893"/>
      <c r="J194" s="404"/>
      <c r="K194" s="19">
        <f t="shared" si="9"/>
        <v>15</v>
      </c>
      <c r="L194" s="19">
        <f t="shared" si="11"/>
        <v>12</v>
      </c>
    </row>
    <row r="195" spans="1:17" ht="15.5">
      <c r="A195" s="881" t="s">
        <v>1598</v>
      </c>
      <c r="B195" s="882"/>
      <c r="C195" s="882"/>
      <c r="D195" s="882"/>
      <c r="E195" s="882"/>
      <c r="F195" s="882"/>
      <c r="G195" s="882"/>
      <c r="H195" s="882"/>
      <c r="I195" s="882"/>
      <c r="J195" s="883"/>
      <c r="K195" s="19">
        <v>16</v>
      </c>
      <c r="L195" s="19">
        <f t="shared" si="11"/>
        <v>13</v>
      </c>
    </row>
    <row r="196" spans="1:17" ht="56">
      <c r="A196" s="658" t="str">
        <f t="shared" si="10"/>
        <v>16.1</v>
      </c>
      <c r="B196" s="276" t="s">
        <v>1533</v>
      </c>
      <c r="C196" s="891" t="s">
        <v>1534</v>
      </c>
      <c r="D196" s="892"/>
      <c r="E196" s="893"/>
      <c r="F196" s="891"/>
      <c r="G196" s="893"/>
      <c r="H196" s="891" t="s">
        <v>1481</v>
      </c>
      <c r="I196" s="893"/>
      <c r="J196" s="404"/>
      <c r="K196" s="19">
        <f t="shared" si="9"/>
        <v>16</v>
      </c>
      <c r="L196" s="19">
        <v>1</v>
      </c>
    </row>
    <row r="197" spans="1:17" ht="28">
      <c r="A197" s="658" t="str">
        <f t="shared" si="10"/>
        <v>16.2</v>
      </c>
      <c r="B197" s="276" t="s">
        <v>1535</v>
      </c>
      <c r="C197" s="891" t="s">
        <v>1242</v>
      </c>
      <c r="D197" s="892"/>
      <c r="E197" s="893"/>
      <c r="F197" s="891"/>
      <c r="G197" s="893"/>
      <c r="H197" s="891" t="s">
        <v>1614</v>
      </c>
      <c r="I197" s="893"/>
      <c r="J197" s="404"/>
      <c r="K197" s="19">
        <f t="shared" si="9"/>
        <v>16</v>
      </c>
      <c r="L197" s="19">
        <f t="shared" si="11"/>
        <v>2</v>
      </c>
    </row>
    <row r="198" spans="1:17" ht="28">
      <c r="A198" s="658" t="str">
        <f t="shared" si="10"/>
        <v>16.3</v>
      </c>
      <c r="B198" s="276" t="s">
        <v>1501</v>
      </c>
      <c r="C198" s="891" t="s">
        <v>1536</v>
      </c>
      <c r="D198" s="892"/>
      <c r="E198" s="893"/>
      <c r="F198" s="891"/>
      <c r="G198" s="893"/>
      <c r="H198" s="891" t="s">
        <v>1537</v>
      </c>
      <c r="I198" s="893"/>
      <c r="J198" s="404"/>
      <c r="K198" s="19">
        <f t="shared" si="9"/>
        <v>16</v>
      </c>
      <c r="L198" s="19">
        <f t="shared" si="11"/>
        <v>3</v>
      </c>
    </row>
    <row r="199" spans="1:17" ht="28">
      <c r="A199" s="658" t="str">
        <f t="shared" si="10"/>
        <v>16.4</v>
      </c>
      <c r="B199" s="276" t="s">
        <v>1538</v>
      </c>
      <c r="C199" s="891" t="s">
        <v>1539</v>
      </c>
      <c r="D199" s="892"/>
      <c r="E199" s="893"/>
      <c r="F199" s="891"/>
      <c r="G199" s="893"/>
      <c r="H199" s="891" t="s">
        <v>1558</v>
      </c>
      <c r="I199" s="893"/>
      <c r="J199" s="404"/>
      <c r="K199" s="19">
        <f t="shared" si="9"/>
        <v>16</v>
      </c>
      <c r="L199" s="19">
        <f t="shared" si="11"/>
        <v>4</v>
      </c>
    </row>
    <row r="200" spans="1:17" ht="28">
      <c r="A200" s="658" t="str">
        <f t="shared" si="10"/>
        <v>16.5</v>
      </c>
      <c r="B200" s="276" t="s">
        <v>1540</v>
      </c>
      <c r="C200" s="891"/>
      <c r="D200" s="892"/>
      <c r="E200" s="893"/>
      <c r="F200" s="891"/>
      <c r="G200" s="893"/>
      <c r="H200" s="891" t="s">
        <v>1541</v>
      </c>
      <c r="I200" s="893"/>
      <c r="J200" s="404"/>
      <c r="K200" s="19">
        <f t="shared" si="9"/>
        <v>16</v>
      </c>
      <c r="L200" s="19">
        <f t="shared" si="11"/>
        <v>5</v>
      </c>
    </row>
    <row r="201" spans="1:17">
      <c r="A201" s="658" t="str">
        <f t="shared" si="10"/>
        <v>16.6</v>
      </c>
      <c r="B201" s="276" t="s">
        <v>1542</v>
      </c>
      <c r="C201" s="891"/>
      <c r="D201" s="892"/>
      <c r="E201" s="893"/>
      <c r="F201" s="891"/>
      <c r="G201" s="893"/>
      <c r="H201" s="891" t="s">
        <v>1615</v>
      </c>
      <c r="I201" s="893"/>
      <c r="J201" s="404"/>
      <c r="K201" s="19">
        <f t="shared" si="9"/>
        <v>16</v>
      </c>
      <c r="L201" s="19">
        <f t="shared" si="11"/>
        <v>6</v>
      </c>
    </row>
    <row r="202" spans="1:17" ht="28">
      <c r="A202" s="658" t="str">
        <f t="shared" si="10"/>
        <v>16.7</v>
      </c>
      <c r="B202" s="276" t="s">
        <v>1601</v>
      </c>
      <c r="C202" s="891" t="s">
        <v>1602</v>
      </c>
      <c r="D202" s="892"/>
      <c r="E202" s="893"/>
      <c r="F202" s="891"/>
      <c r="G202" s="893"/>
      <c r="H202" s="891" t="s">
        <v>1616</v>
      </c>
      <c r="I202" s="893"/>
      <c r="J202" s="404"/>
      <c r="K202" s="19">
        <f t="shared" si="9"/>
        <v>16</v>
      </c>
      <c r="L202" s="19">
        <f t="shared" si="11"/>
        <v>7</v>
      </c>
    </row>
    <row r="203" spans="1:17" ht="28">
      <c r="A203" s="658" t="str">
        <f t="shared" si="10"/>
        <v>16.8</v>
      </c>
      <c r="B203" s="276" t="s">
        <v>1603</v>
      </c>
      <c r="C203" s="891"/>
      <c r="D203" s="892"/>
      <c r="E203" s="893"/>
      <c r="F203" s="891"/>
      <c r="G203" s="893"/>
      <c r="H203" s="891" t="s">
        <v>1617</v>
      </c>
      <c r="I203" s="893"/>
      <c r="J203" s="404"/>
      <c r="K203" s="19">
        <f t="shared" si="9"/>
        <v>16</v>
      </c>
      <c r="L203" s="19">
        <f t="shared" si="11"/>
        <v>8</v>
      </c>
    </row>
    <row r="204" spans="1:17">
      <c r="A204" s="658" t="str">
        <f t="shared" si="10"/>
        <v>16.9</v>
      </c>
      <c r="B204" s="276" t="s">
        <v>1604</v>
      </c>
      <c r="C204" s="891" t="s">
        <v>1606</v>
      </c>
      <c r="D204" s="892"/>
      <c r="E204" s="893"/>
      <c r="F204" s="891"/>
      <c r="G204" s="893"/>
      <c r="H204" s="891" t="s">
        <v>1618</v>
      </c>
      <c r="I204" s="893"/>
      <c r="J204" s="404"/>
      <c r="K204" s="19">
        <f t="shared" si="9"/>
        <v>16</v>
      </c>
      <c r="L204" s="19">
        <f t="shared" si="11"/>
        <v>9</v>
      </c>
    </row>
    <row r="205" spans="1:17">
      <c r="A205" s="658" t="str">
        <f t="shared" si="10"/>
        <v>16.10</v>
      </c>
      <c r="B205" s="276" t="s">
        <v>1605</v>
      </c>
      <c r="C205" s="891" t="s">
        <v>1607</v>
      </c>
      <c r="D205" s="892"/>
      <c r="E205" s="893"/>
      <c r="F205" s="891"/>
      <c r="G205" s="893"/>
      <c r="H205" s="891" t="s">
        <v>1619</v>
      </c>
      <c r="I205" s="893"/>
      <c r="J205" s="404"/>
      <c r="K205" s="19">
        <f t="shared" si="9"/>
        <v>16</v>
      </c>
      <c r="L205" s="19">
        <f t="shared" si="11"/>
        <v>10</v>
      </c>
      <c r="O205" s="19">
        <v>55</v>
      </c>
    </row>
    <row r="206" spans="1:17">
      <c r="A206" s="658" t="str">
        <f t="shared" si="10"/>
        <v>16.11</v>
      </c>
      <c r="B206" s="276" t="s">
        <v>1543</v>
      </c>
      <c r="C206" s="891" t="s">
        <v>1544</v>
      </c>
      <c r="D206" s="892"/>
      <c r="E206" s="893"/>
      <c r="F206" s="891"/>
      <c r="G206" s="893"/>
      <c r="H206" s="891" t="s">
        <v>1545</v>
      </c>
      <c r="I206" s="893"/>
      <c r="J206" s="404"/>
      <c r="K206" s="19">
        <f t="shared" si="9"/>
        <v>16</v>
      </c>
      <c r="L206" s="19">
        <f t="shared" si="11"/>
        <v>11</v>
      </c>
    </row>
    <row r="207" spans="1:17">
      <c r="A207" s="658" t="str">
        <f t="shared" si="10"/>
        <v>16.12</v>
      </c>
      <c r="B207" s="276" t="s">
        <v>1543</v>
      </c>
      <c r="C207" s="891" t="s">
        <v>1546</v>
      </c>
      <c r="D207" s="892"/>
      <c r="E207" s="893"/>
      <c r="F207" s="891"/>
      <c r="G207" s="893"/>
      <c r="H207" s="891" t="s">
        <v>1547</v>
      </c>
      <c r="I207" s="893"/>
      <c r="J207" s="404"/>
      <c r="K207" s="19">
        <f t="shared" si="9"/>
        <v>16</v>
      </c>
      <c r="L207" s="19">
        <f t="shared" si="11"/>
        <v>12</v>
      </c>
    </row>
    <row r="208" spans="1:17" ht="13.5" customHeight="1">
      <c r="A208" s="577">
        <v>1</v>
      </c>
      <c r="K208" s="19" t="s">
        <v>1179</v>
      </c>
      <c r="Q208" s="161"/>
    </row>
    <row r="209" spans="1:17" ht="50.5" customHeight="1" outlineLevel="1">
      <c r="A209" s="766" t="s">
        <v>740</v>
      </c>
      <c r="B209" s="767"/>
      <c r="D209" s="772" t="str">
        <f>ПОДПИСИ!B5</f>
        <v>Начальник мастерского участка №1 Курортного РЭС ПАО «Россети Ленэнерго» «СЭС»</v>
      </c>
      <c r="E209" s="772"/>
      <c r="F209" s="772"/>
      <c r="H209" s="54"/>
      <c r="I209" s="23"/>
      <c r="J209" s="48" t="str">
        <f>ПОДПИСИ!E5</f>
        <v>Д.М. Чечин</v>
      </c>
      <c r="K209" s="19">
        <f>IF(OR(ФОРМА!I16=1,ФОРМА!I16="+"),1,0)</f>
        <v>0</v>
      </c>
      <c r="Q209" s="161"/>
    </row>
    <row r="210" spans="1:17" ht="14" outlineLevel="1">
      <c r="A210" s="27"/>
      <c r="B210" s="27"/>
      <c r="D210" s="736" t="s">
        <v>48</v>
      </c>
      <c r="E210" s="736"/>
      <c r="F210" s="736"/>
      <c r="H210" s="46" t="s">
        <v>49</v>
      </c>
      <c r="I210" s="21"/>
      <c r="J210" s="46" t="s">
        <v>50</v>
      </c>
      <c r="K210" s="548">
        <f>IF(K209=1,1,0)</f>
        <v>0</v>
      </c>
      <c r="Q210" s="161"/>
    </row>
    <row r="211" spans="1:17" ht="45" hidden="1" customHeight="1" outlineLevel="1">
      <c r="A211" s="766" t="s">
        <v>740</v>
      </c>
      <c r="B211" s="767"/>
      <c r="D211" s="772" t="str">
        <f>[1]ПОДПИСИ!B6</f>
        <v>Начальник мастерского участка №1 Курортного РЭС ПАО «Россети Ленэнерго» «СЭС»</v>
      </c>
      <c r="E211" s="772"/>
      <c r="F211" s="772"/>
      <c r="H211" s="54"/>
      <c r="I211" s="23"/>
      <c r="J211" s="48" t="str">
        <f>[1]ПОДПИСИ!E6</f>
        <v>Д.М. Чечин</v>
      </c>
      <c r="K211" s="19">
        <f>IF(OR([1]ФОРМА!G16=1,[1]ФОРМА!G16="+"),1,0)</f>
        <v>0</v>
      </c>
      <c r="Q211" s="161"/>
    </row>
    <row r="212" spans="1:17" ht="14" hidden="1" outlineLevel="1">
      <c r="A212" s="27"/>
      <c r="B212" s="27"/>
      <c r="D212" s="736" t="s">
        <v>48</v>
      </c>
      <c r="E212" s="736"/>
      <c r="F212" s="736"/>
      <c r="H212" s="46" t="s">
        <v>49</v>
      </c>
      <c r="I212" s="21"/>
      <c r="J212" s="46" t="s">
        <v>50</v>
      </c>
      <c r="K212" s="548">
        <f>IF(K211=1,1,0)</f>
        <v>0</v>
      </c>
      <c r="Q212" s="161"/>
    </row>
    <row r="213" spans="1:17" ht="45.65" hidden="1" customHeight="1">
      <c r="A213" s="766" t="s">
        <v>740</v>
      </c>
      <c r="B213" s="767"/>
      <c r="D213" s="772" t="str">
        <f>[1]ПОДПИСИ!B7</f>
        <v>Начальник мастерского участка №1 Курортного РЭС ПАО «Россети Ленэнерго» «СЭС»</v>
      </c>
      <c r="E213" s="772"/>
      <c r="F213" s="772"/>
      <c r="H213" s="54"/>
      <c r="I213" s="23"/>
      <c r="J213" s="48" t="str">
        <f>[1]ПОДПИСИ!E7</f>
        <v>Д.М. Чечин</v>
      </c>
      <c r="K213" s="19">
        <f>IF(OR([1]ФОРМА!H16=1,[1]ФОРМА!H16="+"),1,0)</f>
        <v>0</v>
      </c>
      <c r="Q213" s="161"/>
    </row>
    <row r="214" spans="1:17" ht="14" hidden="1">
      <c r="A214" s="27"/>
      <c r="B214" s="27"/>
      <c r="D214" s="736" t="s">
        <v>48</v>
      </c>
      <c r="E214" s="736"/>
      <c r="F214" s="736"/>
      <c r="H214" s="46" t="s">
        <v>49</v>
      </c>
      <c r="I214" s="21"/>
      <c r="J214" s="46" t="s">
        <v>50</v>
      </c>
      <c r="K214" s="548">
        <f>IF(K213=1,1,0)</f>
        <v>0</v>
      </c>
      <c r="Q214" s="161"/>
    </row>
    <row r="215" spans="1:17" ht="44.5" customHeight="1">
      <c r="A215" s="766" t="s">
        <v>720</v>
      </c>
      <c r="B215" s="766"/>
      <c r="D215" s="772" t="str">
        <f>ПОДПИСИ!B15</f>
        <v xml:space="preserve">Заместитель генерального директора ООО «БЭСК» </v>
      </c>
      <c r="E215" s="772"/>
      <c r="F215" s="772"/>
      <c r="H215" s="54"/>
      <c r="I215" s="23"/>
      <c r="J215" s="48" t="str">
        <f>ПОДПИСИ!E15</f>
        <v>А.С. Матвеев</v>
      </c>
      <c r="Q215" s="155"/>
    </row>
    <row r="216" spans="1:17" ht="15" customHeight="1">
      <c r="D216" s="736" t="s">
        <v>48</v>
      </c>
      <c r="E216" s="736"/>
      <c r="F216" s="736"/>
      <c r="H216" s="46" t="s">
        <v>49</v>
      </c>
      <c r="I216" s="21"/>
      <c r="J216" s="46" t="s">
        <v>50</v>
      </c>
      <c r="Q216" s="160"/>
    </row>
    <row r="217" spans="1:17" ht="80.25" hidden="1" customHeight="1" outlineLevel="1">
      <c r="A217" s="818" t="s">
        <v>451</v>
      </c>
      <c r="B217" s="818"/>
      <c r="D217" s="772" t="e">
        <f>[1]ПОДПИСИ!#REF!</f>
        <v>#REF!</v>
      </c>
      <c r="E217" s="772"/>
      <c r="F217" s="772"/>
      <c r="H217" s="54"/>
      <c r="I217" s="23"/>
      <c r="J217" s="48" t="e">
        <f>[1]ПОДПИСИ!#REF!</f>
        <v>#REF!</v>
      </c>
      <c r="Q217" s="155"/>
    </row>
    <row r="218" spans="1:17" ht="15" hidden="1" customHeight="1" outlineLevel="1">
      <c r="A218" s="726"/>
      <c r="B218" s="726"/>
      <c r="D218" s="736" t="s">
        <v>48</v>
      </c>
      <c r="E218" s="736"/>
      <c r="F218" s="736"/>
      <c r="H218" s="46" t="s">
        <v>49</v>
      </c>
      <c r="I218" s="21"/>
      <c r="J218" s="46" t="s">
        <v>50</v>
      </c>
    </row>
    <row r="219" spans="1:17" ht="43.5" customHeight="1" collapsed="1">
      <c r="A219" s="766" t="s">
        <v>16</v>
      </c>
      <c r="B219" s="766"/>
      <c r="D219" s="772" t="str">
        <f>IF(ПОДПИСИ!B12=0," ",ПОДПИСИ!B12)</f>
        <v xml:space="preserve">Производитель работ ООО«БЭСК» </v>
      </c>
      <c r="E219" s="772"/>
      <c r="F219" s="772"/>
      <c r="H219" s="54"/>
      <c r="I219" s="23"/>
      <c r="J219" s="48" t="str">
        <f>IF(ПОДПИСИ!E12=0," ",ПОДПИСИ!E12)</f>
        <v>А.Р. Махмадов</v>
      </c>
      <c r="Q219" s="155"/>
    </row>
    <row r="220" spans="1:17">
      <c r="D220" s="736" t="s">
        <v>48</v>
      </c>
      <c r="E220" s="736"/>
      <c r="F220" s="736"/>
      <c r="H220" s="46" t="s">
        <v>49</v>
      </c>
      <c r="I220" s="21"/>
      <c r="J220" s="46" t="s">
        <v>50</v>
      </c>
    </row>
    <row r="221" spans="1:17" ht="14">
      <c r="Q221" s="155"/>
    </row>
    <row r="222" spans="1:17" ht="14">
      <c r="Q222" s="155"/>
    </row>
    <row r="223" spans="1:17" ht="14">
      <c r="Q223" s="155"/>
    </row>
    <row r="224" spans="1:17" ht="14">
      <c r="Q224" s="155"/>
    </row>
    <row r="225" spans="17:17" ht="14">
      <c r="Q225" s="155"/>
    </row>
    <row r="226" spans="17:17" ht="14">
      <c r="Q226" s="155"/>
    </row>
    <row r="227" spans="17:17" ht="14">
      <c r="Q227" s="155"/>
    </row>
    <row r="228" spans="17:17" ht="14">
      <c r="Q228" s="155"/>
    </row>
    <row r="229" spans="17:17" ht="14">
      <c r="Q229" s="155"/>
    </row>
    <row r="230" spans="17:17" ht="14">
      <c r="Q230" s="155"/>
    </row>
    <row r="231" spans="17:17" ht="14">
      <c r="Q231" s="155"/>
    </row>
    <row r="232" spans="17:17" ht="14">
      <c r="Q232" s="155"/>
    </row>
  </sheetData>
  <autoFilter ref="A208:K215" xr:uid="{00000000-0001-0000-0900-000000000000}">
    <filterColumn colId="10">
      <filters blank="1">
        <filter val="1"/>
      </filters>
    </filterColumn>
  </autoFilter>
  <mergeCells count="592">
    <mergeCell ref="C139:E139"/>
    <mergeCell ref="F139:G139"/>
    <mergeCell ref="H139:I139"/>
    <mergeCell ref="C140:E140"/>
    <mergeCell ref="F140:G140"/>
    <mergeCell ref="H140:I140"/>
    <mergeCell ref="C137:E137"/>
    <mergeCell ref="F137:G137"/>
    <mergeCell ref="H137:I137"/>
    <mergeCell ref="C138:E138"/>
    <mergeCell ref="F138:G138"/>
    <mergeCell ref="H138:I138"/>
    <mergeCell ref="C136:E136"/>
    <mergeCell ref="F136:G136"/>
    <mergeCell ref="H136:I136"/>
    <mergeCell ref="A135:J135"/>
    <mergeCell ref="C133:E133"/>
    <mergeCell ref="F133:G133"/>
    <mergeCell ref="H133:I133"/>
    <mergeCell ref="C134:E134"/>
    <mergeCell ref="F134:G134"/>
    <mergeCell ref="H134:I134"/>
    <mergeCell ref="C131:E131"/>
    <mergeCell ref="F131:G131"/>
    <mergeCell ref="H131:I131"/>
    <mergeCell ref="C132:E132"/>
    <mergeCell ref="F132:G132"/>
    <mergeCell ref="H132:I132"/>
    <mergeCell ref="C129:E129"/>
    <mergeCell ref="F129:G129"/>
    <mergeCell ref="H129:I129"/>
    <mergeCell ref="C130:E130"/>
    <mergeCell ref="F130:G130"/>
    <mergeCell ref="H130:I130"/>
    <mergeCell ref="C127:E127"/>
    <mergeCell ref="F127:G127"/>
    <mergeCell ref="H127:I127"/>
    <mergeCell ref="C128:E128"/>
    <mergeCell ref="F128:G128"/>
    <mergeCell ref="H128:I128"/>
    <mergeCell ref="C125:E125"/>
    <mergeCell ref="F125:G125"/>
    <mergeCell ref="H125:I125"/>
    <mergeCell ref="C126:E126"/>
    <mergeCell ref="F126:G126"/>
    <mergeCell ref="H126:I126"/>
    <mergeCell ref="C123:E123"/>
    <mergeCell ref="F123:G123"/>
    <mergeCell ref="H123:I123"/>
    <mergeCell ref="C124:E124"/>
    <mergeCell ref="F124:G124"/>
    <mergeCell ref="H124:I124"/>
    <mergeCell ref="C121:E121"/>
    <mergeCell ref="F121:G121"/>
    <mergeCell ref="H121:I121"/>
    <mergeCell ref="C122:E122"/>
    <mergeCell ref="F122:G122"/>
    <mergeCell ref="H122:I122"/>
    <mergeCell ref="D220:F220"/>
    <mergeCell ref="A106:J106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A217:B217"/>
    <mergeCell ref="D217:F217"/>
    <mergeCell ref="A218:B218"/>
    <mergeCell ref="D218:F218"/>
    <mergeCell ref="A219:B219"/>
    <mergeCell ref="D219:F219"/>
    <mergeCell ref="A213:B213"/>
    <mergeCell ref="C119:E119"/>
    <mergeCell ref="F119:G119"/>
    <mergeCell ref="H119:I119"/>
    <mergeCell ref="C120:E120"/>
    <mergeCell ref="F120:G120"/>
    <mergeCell ref="H120:I120"/>
    <mergeCell ref="C117:E117"/>
    <mergeCell ref="D214:F214"/>
    <mergeCell ref="A215:B215"/>
    <mergeCell ref="D215:F215"/>
    <mergeCell ref="D216:F216"/>
    <mergeCell ref="A209:B209"/>
    <mergeCell ref="D209:F209"/>
    <mergeCell ref="D210:F210"/>
    <mergeCell ref="A211:B211"/>
    <mergeCell ref="D211:F211"/>
    <mergeCell ref="D212:F212"/>
    <mergeCell ref="C168:E168"/>
    <mergeCell ref="F168:G168"/>
    <mergeCell ref="H168:I168"/>
    <mergeCell ref="C169:E169"/>
    <mergeCell ref="F169:G169"/>
    <mergeCell ref="H169:I169"/>
    <mergeCell ref="C170:E170"/>
    <mergeCell ref="F170:G170"/>
    <mergeCell ref="D213:F213"/>
    <mergeCell ref="C166:E166"/>
    <mergeCell ref="F166:G166"/>
    <mergeCell ref="H166:I166"/>
    <mergeCell ref="C165:E165"/>
    <mergeCell ref="F165:G165"/>
    <mergeCell ref="H165:I165"/>
    <mergeCell ref="C167:E167"/>
    <mergeCell ref="F167:G167"/>
    <mergeCell ref="H167:I167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49:E149"/>
    <mergeCell ref="F149:G149"/>
    <mergeCell ref="H149:I149"/>
    <mergeCell ref="C156:E156"/>
    <mergeCell ref="F156:G156"/>
    <mergeCell ref="H156:I156"/>
    <mergeCell ref="C159:E159"/>
    <mergeCell ref="F159:G159"/>
    <mergeCell ref="H159:I159"/>
    <mergeCell ref="C154:E154"/>
    <mergeCell ref="F154:G154"/>
    <mergeCell ref="H154:I154"/>
    <mergeCell ref="C155:E155"/>
    <mergeCell ref="F155:G155"/>
    <mergeCell ref="H155:I155"/>
    <mergeCell ref="C157:E157"/>
    <mergeCell ref="F157:G157"/>
    <mergeCell ref="H157:I157"/>
    <mergeCell ref="C158:E158"/>
    <mergeCell ref="F158:G158"/>
    <mergeCell ref="H158:I158"/>
    <mergeCell ref="C152:E152"/>
    <mergeCell ref="F152:G152"/>
    <mergeCell ref="H152:I152"/>
    <mergeCell ref="C153:E153"/>
    <mergeCell ref="F153:G153"/>
    <mergeCell ref="H153:I153"/>
    <mergeCell ref="C150:E150"/>
    <mergeCell ref="F150:G150"/>
    <mergeCell ref="H150:I150"/>
    <mergeCell ref="C151:E151"/>
    <mergeCell ref="F151:G151"/>
    <mergeCell ref="H151:I151"/>
    <mergeCell ref="C147:E147"/>
    <mergeCell ref="F147:G147"/>
    <mergeCell ref="H147:I147"/>
    <mergeCell ref="C148:E148"/>
    <mergeCell ref="F148:G148"/>
    <mergeCell ref="H148:I148"/>
    <mergeCell ref="C143:E143"/>
    <mergeCell ref="F143:G143"/>
    <mergeCell ref="H143:I143"/>
    <mergeCell ref="C145:E145"/>
    <mergeCell ref="F145:G145"/>
    <mergeCell ref="H145:I145"/>
    <mergeCell ref="C146:E146"/>
    <mergeCell ref="F146:G146"/>
    <mergeCell ref="H146:I146"/>
    <mergeCell ref="C141:E141"/>
    <mergeCell ref="F141:G141"/>
    <mergeCell ref="H141:I141"/>
    <mergeCell ref="C142:E142"/>
    <mergeCell ref="F142:G142"/>
    <mergeCell ref="H142:I142"/>
    <mergeCell ref="C110:E110"/>
    <mergeCell ref="F110:G110"/>
    <mergeCell ref="H110:I110"/>
    <mergeCell ref="C111:E111"/>
    <mergeCell ref="F111:G111"/>
    <mergeCell ref="H111:I111"/>
    <mergeCell ref="H114:I114"/>
    <mergeCell ref="C115:E115"/>
    <mergeCell ref="F115:G115"/>
    <mergeCell ref="H115:I115"/>
    <mergeCell ref="C116:E116"/>
    <mergeCell ref="F116:G116"/>
    <mergeCell ref="H116:I116"/>
    <mergeCell ref="F117:G117"/>
    <mergeCell ref="H117:I117"/>
    <mergeCell ref="C118:E118"/>
    <mergeCell ref="F118:G118"/>
    <mergeCell ref="H118:I118"/>
    <mergeCell ref="C108:E108"/>
    <mergeCell ref="F108:G108"/>
    <mergeCell ref="H108:I108"/>
    <mergeCell ref="C109:E109"/>
    <mergeCell ref="F109:G109"/>
    <mergeCell ref="H109:I109"/>
    <mergeCell ref="C107:E107"/>
    <mergeCell ref="F107:G107"/>
    <mergeCell ref="H107:I107"/>
    <mergeCell ref="C104:E104"/>
    <mergeCell ref="F104:G104"/>
    <mergeCell ref="H104:I104"/>
    <mergeCell ref="C105:E105"/>
    <mergeCell ref="F105:G105"/>
    <mergeCell ref="H105:I105"/>
    <mergeCell ref="C102:E102"/>
    <mergeCell ref="F102:G102"/>
    <mergeCell ref="H102:I102"/>
    <mergeCell ref="C103:E103"/>
    <mergeCell ref="F103:G103"/>
    <mergeCell ref="H103:I103"/>
    <mergeCell ref="C100:E100"/>
    <mergeCell ref="F100:G100"/>
    <mergeCell ref="H100:I100"/>
    <mergeCell ref="C101:E101"/>
    <mergeCell ref="F101:G101"/>
    <mergeCell ref="H101:I101"/>
    <mergeCell ref="A97:J97"/>
    <mergeCell ref="C98:E98"/>
    <mergeCell ref="F98:G98"/>
    <mergeCell ref="H98:I98"/>
    <mergeCell ref="C99:E99"/>
    <mergeCell ref="F99:G99"/>
    <mergeCell ref="H99:I99"/>
    <mergeCell ref="C95:E95"/>
    <mergeCell ref="F95:G95"/>
    <mergeCell ref="H95:I95"/>
    <mergeCell ref="C96:E96"/>
    <mergeCell ref="F96:G96"/>
    <mergeCell ref="H96:I96"/>
    <mergeCell ref="C93:E93"/>
    <mergeCell ref="F93:G93"/>
    <mergeCell ref="H93:I93"/>
    <mergeCell ref="C94:E94"/>
    <mergeCell ref="F94:G94"/>
    <mergeCell ref="H94:I94"/>
    <mergeCell ref="C91:E91"/>
    <mergeCell ref="F91:G91"/>
    <mergeCell ref="H91:I91"/>
    <mergeCell ref="C92:E92"/>
    <mergeCell ref="F92:G92"/>
    <mergeCell ref="H92:I92"/>
    <mergeCell ref="A88:J88"/>
    <mergeCell ref="C89:E89"/>
    <mergeCell ref="F89:G89"/>
    <mergeCell ref="H89:I89"/>
    <mergeCell ref="C90:E90"/>
    <mergeCell ref="F90:G90"/>
    <mergeCell ref="H90:I90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B79:J79"/>
    <mergeCell ref="C80:E80"/>
    <mergeCell ref="F80:G80"/>
    <mergeCell ref="H80:I80"/>
    <mergeCell ref="C81:E81"/>
    <mergeCell ref="F81:G81"/>
    <mergeCell ref="H81:I81"/>
    <mergeCell ref="C77:E77"/>
    <mergeCell ref="F77:G77"/>
    <mergeCell ref="H77:I77"/>
    <mergeCell ref="C78:E78"/>
    <mergeCell ref="F78:G78"/>
    <mergeCell ref="H78:I78"/>
    <mergeCell ref="C75:E75"/>
    <mergeCell ref="F75:G75"/>
    <mergeCell ref="H75:I75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B70:J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B61:J61"/>
    <mergeCell ref="C62:E62"/>
    <mergeCell ref="F62:G62"/>
    <mergeCell ref="H62:I62"/>
    <mergeCell ref="C63:E63"/>
    <mergeCell ref="F63:G63"/>
    <mergeCell ref="H63:I63"/>
    <mergeCell ref="C59:E59"/>
    <mergeCell ref="F59:G59"/>
    <mergeCell ref="H59:I59"/>
    <mergeCell ref="C60:E60"/>
    <mergeCell ref="F60:G60"/>
    <mergeCell ref="H60:I60"/>
    <mergeCell ref="C57:E57"/>
    <mergeCell ref="F57:G57"/>
    <mergeCell ref="H57:I57"/>
    <mergeCell ref="C58:E58"/>
    <mergeCell ref="F58:G58"/>
    <mergeCell ref="H58:I58"/>
    <mergeCell ref="C55:E55"/>
    <mergeCell ref="F55:G55"/>
    <mergeCell ref="H55:I55"/>
    <mergeCell ref="C56:E56"/>
    <mergeCell ref="F56:G56"/>
    <mergeCell ref="H56:I56"/>
    <mergeCell ref="B52:J52"/>
    <mergeCell ref="C53:E53"/>
    <mergeCell ref="F53:G53"/>
    <mergeCell ref="H53:I53"/>
    <mergeCell ref="C54:E54"/>
    <mergeCell ref="F54:G54"/>
    <mergeCell ref="H54:I54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B43:J43"/>
    <mergeCell ref="C44:E44"/>
    <mergeCell ref="F44:G44"/>
    <mergeCell ref="H44:I44"/>
    <mergeCell ref="C45:E45"/>
    <mergeCell ref="F45:G45"/>
    <mergeCell ref="H45:I45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B34:J34"/>
    <mergeCell ref="C35:E35"/>
    <mergeCell ref="F35:G35"/>
    <mergeCell ref="H35:I35"/>
    <mergeCell ref="C36:E36"/>
    <mergeCell ref="F36:G36"/>
    <mergeCell ref="H36:I36"/>
    <mergeCell ref="C32:E32"/>
    <mergeCell ref="F32:G32"/>
    <mergeCell ref="H32:I32"/>
    <mergeCell ref="C33:E33"/>
    <mergeCell ref="F33:G33"/>
    <mergeCell ref="H33:I33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B25:J25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M2:N2"/>
    <mergeCell ref="A3:C3"/>
    <mergeCell ref="C144:E144"/>
    <mergeCell ref="F144:G144"/>
    <mergeCell ref="H144:I144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H14:I14"/>
    <mergeCell ref="A15:J15"/>
    <mergeCell ref="B16:J16"/>
    <mergeCell ref="A10:C10"/>
    <mergeCell ref="H170:I170"/>
    <mergeCell ref="C171:E171"/>
    <mergeCell ref="F171:G171"/>
    <mergeCell ref="H171:I171"/>
    <mergeCell ref="C172:E172"/>
    <mergeCell ref="F172:G172"/>
    <mergeCell ref="H172:I172"/>
    <mergeCell ref="A1:C1"/>
    <mergeCell ref="K1:L1"/>
    <mergeCell ref="A2:C2"/>
    <mergeCell ref="K2:L2"/>
    <mergeCell ref="E10:J10"/>
    <mergeCell ref="A11:C11"/>
    <mergeCell ref="E11:J11"/>
    <mergeCell ref="A12:C12"/>
    <mergeCell ref="E12:J12"/>
    <mergeCell ref="C19:E19"/>
    <mergeCell ref="F19:G19"/>
    <mergeCell ref="H19:I19"/>
    <mergeCell ref="C20:E20"/>
    <mergeCell ref="F20:G20"/>
    <mergeCell ref="H20:I20"/>
    <mergeCell ref="C17:E17"/>
    <mergeCell ref="F17:G17"/>
    <mergeCell ref="C174:E174"/>
    <mergeCell ref="F174:G174"/>
    <mergeCell ref="H174:I174"/>
    <mergeCell ref="C175:E175"/>
    <mergeCell ref="F175:G175"/>
    <mergeCell ref="H175:I175"/>
    <mergeCell ref="C176:E176"/>
    <mergeCell ref="F176:G176"/>
    <mergeCell ref="H176:I176"/>
    <mergeCell ref="C177:E177"/>
    <mergeCell ref="F177:G177"/>
    <mergeCell ref="H177:I177"/>
    <mergeCell ref="C178:E178"/>
    <mergeCell ref="F178:G178"/>
    <mergeCell ref="H178:I178"/>
    <mergeCell ref="C179:E179"/>
    <mergeCell ref="F179:G179"/>
    <mergeCell ref="H179:I179"/>
    <mergeCell ref="C185:E185"/>
    <mergeCell ref="F185:G185"/>
    <mergeCell ref="H185:I185"/>
    <mergeCell ref="C180:E180"/>
    <mergeCell ref="F180:G180"/>
    <mergeCell ref="H180:I180"/>
    <mergeCell ref="C181:E181"/>
    <mergeCell ref="F181:G181"/>
    <mergeCell ref="H181:I181"/>
    <mergeCell ref="C196:E196"/>
    <mergeCell ref="F196:G196"/>
    <mergeCell ref="H196:I196"/>
    <mergeCell ref="C197:E197"/>
    <mergeCell ref="F197:G197"/>
    <mergeCell ref="H197:I197"/>
    <mergeCell ref="A195:J195"/>
    <mergeCell ref="C189:E189"/>
    <mergeCell ref="F189:G189"/>
    <mergeCell ref="H189:I189"/>
    <mergeCell ref="C193:E193"/>
    <mergeCell ref="F193:G193"/>
    <mergeCell ref="H193:I193"/>
    <mergeCell ref="C194:E194"/>
    <mergeCell ref="F194:G194"/>
    <mergeCell ref="H194:I194"/>
    <mergeCell ref="C192:E192"/>
    <mergeCell ref="F192:G192"/>
    <mergeCell ref="H192:I192"/>
    <mergeCell ref="C198:E198"/>
    <mergeCell ref="F198:G198"/>
    <mergeCell ref="H198:I198"/>
    <mergeCell ref="C199:E199"/>
    <mergeCell ref="F199:G199"/>
    <mergeCell ref="H199:I199"/>
    <mergeCell ref="C200:E200"/>
    <mergeCell ref="F200:G200"/>
    <mergeCell ref="H200:I200"/>
    <mergeCell ref="C201:E201"/>
    <mergeCell ref="F201:G201"/>
    <mergeCell ref="H201:I201"/>
    <mergeCell ref="C202:E202"/>
    <mergeCell ref="F202:G202"/>
    <mergeCell ref="H202:I202"/>
    <mergeCell ref="C203:E203"/>
    <mergeCell ref="F203:G203"/>
    <mergeCell ref="H203:I203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6:E206"/>
    <mergeCell ref="F206:G206"/>
    <mergeCell ref="H206:I206"/>
    <mergeCell ref="A164:J164"/>
    <mergeCell ref="A173:J173"/>
    <mergeCell ref="A182:J182"/>
    <mergeCell ref="C190:E190"/>
    <mergeCell ref="F190:G190"/>
    <mergeCell ref="H190:I190"/>
    <mergeCell ref="C191:E191"/>
    <mergeCell ref="F191:G191"/>
    <mergeCell ref="H191:I191"/>
    <mergeCell ref="C186:E186"/>
    <mergeCell ref="F186:G186"/>
    <mergeCell ref="H186:I186"/>
    <mergeCell ref="C187:E187"/>
    <mergeCell ref="F187:G187"/>
    <mergeCell ref="H187:I187"/>
    <mergeCell ref="C188:E188"/>
    <mergeCell ref="F188:G188"/>
    <mergeCell ref="H188:I188"/>
    <mergeCell ref="C183:E183"/>
    <mergeCell ref="F183:G183"/>
    <mergeCell ref="H183:I183"/>
    <mergeCell ref="C184:E184"/>
    <mergeCell ref="F184:G184"/>
    <mergeCell ref="H184:I184"/>
  </mergeCells>
  <conditionalFormatting sqref="A1:A12 D209:D215">
    <cfRule type="cellIs" dxfId="136" priority="5" operator="equal">
      <formula>0</formula>
    </cfRule>
  </conditionalFormatting>
  <conditionalFormatting sqref="D220">
    <cfRule type="cellIs" dxfId="135" priority="7" operator="equal">
      <formula>0</formula>
    </cfRule>
  </conditionalFormatting>
  <conditionalFormatting sqref="D5:E12 H215:J215">
    <cfRule type="cellIs" dxfId="134" priority="8" operator="equal">
      <formula>0</formula>
    </cfRule>
  </conditionalFormatting>
  <conditionalFormatting sqref="H209:J209 I210:J210">
    <cfRule type="cellIs" dxfId="133" priority="2" operator="equal">
      <formula>0</formula>
    </cfRule>
  </conditionalFormatting>
  <conditionalFormatting sqref="H211:J211 I212:J212 H213:J213 I214:J214">
    <cfRule type="cellIs" dxfId="132" priority="1" operator="equal">
      <formula>0</formula>
    </cfRule>
  </conditionalFormatting>
  <conditionalFormatting sqref="H217:J217 D217:D218 I218:J218">
    <cfRule type="cellIs" dxfId="131" priority="6" operator="equal">
      <formula>0</formula>
    </cfRule>
  </conditionalFormatting>
  <conditionalFormatting sqref="Q2:Q7">
    <cfRule type="cellIs" dxfId="130" priority="4" operator="equal">
      <formula>0</formula>
    </cfRule>
  </conditionalFormatting>
  <conditionalFormatting sqref="Q9">
    <cfRule type="cellIs" dxfId="12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C1"/>
    </sheetView>
  </sheetViews>
  <sheetFormatPr defaultRowHeight="14.5"/>
  <cols>
    <col min="1" max="81" width="0.81640625" customWidth="1"/>
    <col min="82" max="82" width="1" customWidth="1"/>
    <col min="83" max="106" width="0.81640625" customWidth="1"/>
    <col min="108" max="110" width="15.7265625" customWidth="1"/>
    <col min="112" max="112" width="50.26953125" style="216" customWidth="1"/>
    <col min="113" max="158" width="0.81640625" customWidth="1"/>
  </cols>
  <sheetData>
    <row r="1" spans="1:158">
      <c r="A1" s="907" t="s">
        <v>452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</row>
    <row r="2" spans="1:158" ht="15" customHeight="1">
      <c r="A2" s="908"/>
      <c r="B2" s="908"/>
      <c r="C2" s="908"/>
      <c r="D2" s="908"/>
      <c r="E2" s="908"/>
      <c r="F2" s="908"/>
      <c r="G2" s="908"/>
      <c r="H2" s="908"/>
      <c r="I2" s="908"/>
      <c r="J2" s="908"/>
      <c r="K2" s="908"/>
      <c r="L2" s="908"/>
      <c r="M2" s="908"/>
      <c r="N2" s="908"/>
      <c r="O2" s="908"/>
      <c r="P2" s="908"/>
      <c r="Q2" s="908"/>
      <c r="R2" s="908"/>
      <c r="S2" s="908"/>
      <c r="T2" s="908"/>
      <c r="U2" s="908"/>
      <c r="V2" s="908"/>
      <c r="W2" s="908"/>
      <c r="X2" s="908"/>
      <c r="Y2" s="908"/>
      <c r="Z2" s="908"/>
      <c r="AA2" s="908"/>
      <c r="AB2" s="908"/>
      <c r="AC2" s="908"/>
      <c r="AD2" s="908"/>
      <c r="AE2" s="908"/>
      <c r="AF2" s="908"/>
      <c r="AG2" s="908"/>
      <c r="AH2" s="908"/>
      <c r="AI2" s="908"/>
      <c r="AJ2" s="908"/>
      <c r="AK2" s="908"/>
      <c r="AL2" s="908"/>
      <c r="AM2" s="908"/>
      <c r="AN2" s="908"/>
      <c r="AO2" s="908"/>
      <c r="AP2" s="908"/>
      <c r="AQ2" s="908"/>
      <c r="AR2" s="908"/>
      <c r="AS2" s="908"/>
      <c r="AT2" s="908"/>
      <c r="AU2" s="908"/>
      <c r="AV2" s="908"/>
      <c r="AW2" s="19"/>
      <c r="AX2" s="19"/>
      <c r="AY2" s="19"/>
      <c r="AZ2" s="19"/>
      <c r="BA2" s="19"/>
      <c r="BB2" s="19"/>
      <c r="BC2" s="758" t="str">
        <f>ФОРМА!G2</f>
        <v>Санкт-Петербург</v>
      </c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897"/>
      <c r="B3" s="897"/>
      <c r="C3" s="897"/>
      <c r="D3" s="897"/>
      <c r="E3" s="897"/>
      <c r="F3" s="897"/>
      <c r="G3" s="897"/>
      <c r="H3" s="897"/>
      <c r="I3" s="897"/>
      <c r="J3" s="897"/>
      <c r="K3" s="897"/>
      <c r="L3" s="897"/>
      <c r="M3" s="897"/>
      <c r="N3" s="897"/>
      <c r="O3" s="897"/>
      <c r="P3" s="897"/>
      <c r="Q3" s="897"/>
      <c r="R3" s="897"/>
      <c r="S3" s="897"/>
      <c r="T3" s="897"/>
      <c r="U3" s="897"/>
      <c r="V3" s="897"/>
      <c r="W3" s="897"/>
      <c r="X3" s="897"/>
      <c r="Y3" s="897"/>
      <c r="Z3" s="897"/>
      <c r="AA3" s="897"/>
      <c r="AB3" s="897"/>
      <c r="AC3" s="897"/>
      <c r="AD3" s="897"/>
      <c r="AE3" s="897"/>
      <c r="AF3" s="897"/>
      <c r="AG3" s="897"/>
      <c r="AH3" s="897"/>
      <c r="AI3" s="897"/>
      <c r="AJ3" s="897"/>
      <c r="AK3" s="897"/>
      <c r="AL3" s="897"/>
      <c r="AM3" s="897"/>
      <c r="AN3" s="897"/>
      <c r="AO3" s="897"/>
      <c r="AP3" s="897"/>
      <c r="AQ3" s="897"/>
      <c r="AR3" s="897"/>
      <c r="AS3" s="897"/>
      <c r="AT3" s="897"/>
      <c r="AU3" s="897"/>
      <c r="AV3" s="897"/>
      <c r="AW3" s="21"/>
      <c r="AX3" s="21"/>
      <c r="AY3" s="21"/>
      <c r="AZ3" s="21"/>
      <c r="BA3" s="21"/>
      <c r="BB3" s="21"/>
      <c r="BC3" s="896" t="s">
        <v>0</v>
      </c>
      <c r="BD3" s="896"/>
      <c r="BE3" s="896"/>
      <c r="BF3" s="896"/>
      <c r="BG3" s="896"/>
      <c r="BH3" s="896"/>
      <c r="BI3" s="896"/>
      <c r="BJ3" s="896"/>
      <c r="BK3" s="896"/>
      <c r="BL3" s="896"/>
      <c r="BM3" s="896"/>
      <c r="BN3" s="896"/>
      <c r="BO3" s="896"/>
      <c r="BP3" s="896"/>
      <c r="BQ3" s="896"/>
      <c r="BR3" s="896"/>
      <c r="BS3" s="896"/>
      <c r="BT3" s="896"/>
      <c r="BU3" s="896"/>
      <c r="BV3" s="896"/>
      <c r="BW3" s="896"/>
      <c r="BX3" s="896"/>
      <c r="BY3" s="896"/>
      <c r="BZ3" s="896"/>
      <c r="CA3" s="896"/>
      <c r="CB3" s="896"/>
      <c r="CC3" s="896"/>
      <c r="CD3" s="896"/>
      <c r="CE3" s="896"/>
      <c r="CF3" s="896"/>
      <c r="CG3" s="896"/>
      <c r="CH3" s="896"/>
      <c r="CI3" s="896"/>
      <c r="CJ3" s="896"/>
      <c r="CK3" s="896"/>
      <c r="CL3" s="896"/>
      <c r="CM3" s="896"/>
      <c r="CN3" s="896"/>
      <c r="CO3" s="896"/>
      <c r="CP3" s="896"/>
      <c r="CQ3" s="896"/>
      <c r="CR3" s="896"/>
      <c r="CS3" s="896"/>
      <c r="CT3" s="896"/>
      <c r="CU3" s="896"/>
      <c r="CV3" s="896"/>
      <c r="CW3" s="896"/>
      <c r="CX3" s="896"/>
      <c r="CY3" s="896"/>
      <c r="CZ3" s="896"/>
      <c r="DA3" s="896"/>
      <c r="DB3" s="896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AV4" s="758"/>
      <c r="AW4" s="19"/>
      <c r="AX4" s="19"/>
      <c r="AY4" s="19"/>
      <c r="AZ4" s="19"/>
      <c r="BA4" s="19"/>
      <c r="BB4" s="19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897" t="s">
        <v>44</v>
      </c>
      <c r="B5" s="897"/>
      <c r="C5" s="897"/>
      <c r="D5" s="897"/>
      <c r="E5" s="897"/>
      <c r="F5" s="897"/>
      <c r="G5" s="897"/>
      <c r="H5" s="897"/>
      <c r="I5" s="897"/>
      <c r="J5" s="897"/>
      <c r="K5" s="897"/>
      <c r="L5" s="897"/>
      <c r="M5" s="897"/>
      <c r="N5" s="897"/>
      <c r="O5" s="897"/>
      <c r="P5" s="897"/>
      <c r="Q5" s="897"/>
      <c r="R5" s="897"/>
      <c r="S5" s="897"/>
      <c r="T5" s="897"/>
      <c r="U5" s="897"/>
      <c r="V5" s="897"/>
      <c r="W5" s="897"/>
      <c r="X5" s="897"/>
      <c r="Y5" s="897"/>
      <c r="Z5" s="897"/>
      <c r="AA5" s="897"/>
      <c r="AB5" s="897"/>
      <c r="AC5" s="897"/>
      <c r="AD5" s="897"/>
      <c r="AE5" s="897"/>
      <c r="AF5" s="897"/>
      <c r="AG5" s="897"/>
      <c r="AH5" s="897"/>
      <c r="AI5" s="897"/>
      <c r="AJ5" s="897"/>
      <c r="AK5" s="897"/>
      <c r="AL5" s="897"/>
      <c r="AM5" s="897"/>
      <c r="AN5" s="897"/>
      <c r="AO5" s="897"/>
      <c r="AP5" s="897"/>
      <c r="AQ5" s="897"/>
      <c r="AR5" s="897"/>
      <c r="AS5" s="897"/>
      <c r="AT5" s="897"/>
      <c r="AU5" s="897"/>
      <c r="AV5" s="897"/>
      <c r="AW5" s="21"/>
      <c r="AX5" s="21"/>
      <c r="AY5" s="21"/>
      <c r="AZ5" s="21"/>
      <c r="BA5" s="21"/>
      <c r="BB5" s="21"/>
      <c r="BC5" s="896" t="s">
        <v>2</v>
      </c>
      <c r="BD5" s="896"/>
      <c r="BE5" s="896"/>
      <c r="BF5" s="896"/>
      <c r="BG5" s="896"/>
      <c r="BH5" s="896"/>
      <c r="BI5" s="896"/>
      <c r="BJ5" s="896"/>
      <c r="BK5" s="896"/>
      <c r="BL5" s="896"/>
      <c r="BM5" s="896"/>
      <c r="BN5" s="896"/>
      <c r="BO5" s="896"/>
      <c r="BP5" s="896"/>
      <c r="BQ5" s="896"/>
      <c r="BR5" s="896"/>
      <c r="BS5" s="896"/>
      <c r="BT5" s="896"/>
      <c r="BU5" s="896"/>
      <c r="BV5" s="896"/>
      <c r="BW5" s="896"/>
      <c r="BX5" s="896"/>
      <c r="BY5" s="896"/>
      <c r="BZ5" s="896"/>
      <c r="CA5" s="896"/>
      <c r="CB5" s="896"/>
      <c r="CC5" s="896"/>
      <c r="CD5" s="896"/>
      <c r="CE5" s="896"/>
      <c r="CF5" s="896"/>
      <c r="CG5" s="896"/>
      <c r="CH5" s="896"/>
      <c r="CI5" s="896"/>
      <c r="CJ5" s="896"/>
      <c r="CK5" s="896"/>
      <c r="CL5" s="896"/>
      <c r="CM5" s="896"/>
      <c r="CN5" s="896"/>
      <c r="CO5" s="896"/>
      <c r="CP5" s="896"/>
      <c r="CQ5" s="896"/>
      <c r="CR5" s="896"/>
      <c r="CS5" s="896"/>
      <c r="CT5" s="896"/>
      <c r="CU5" s="896"/>
      <c r="CV5" s="896"/>
      <c r="CW5" s="896"/>
      <c r="CX5" s="896"/>
      <c r="CY5" s="896"/>
      <c r="CZ5" s="896"/>
      <c r="DA5" s="896"/>
      <c r="DB5" s="896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08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897" t="s">
        <v>45</v>
      </c>
      <c r="B7" s="897"/>
      <c r="C7" s="897"/>
      <c r="D7" s="897"/>
      <c r="E7" s="897"/>
      <c r="F7" s="897"/>
      <c r="G7" s="897"/>
      <c r="H7" s="897"/>
      <c r="I7" s="897"/>
      <c r="J7" s="897"/>
      <c r="K7" s="897"/>
      <c r="L7" s="897"/>
      <c r="M7" s="897"/>
      <c r="N7" s="897"/>
      <c r="O7" s="897"/>
      <c r="P7" s="897"/>
      <c r="Q7" s="897"/>
      <c r="R7" s="897"/>
      <c r="S7" s="897"/>
      <c r="T7" s="897"/>
      <c r="U7" s="897"/>
      <c r="V7" s="897"/>
      <c r="W7" s="897"/>
      <c r="X7" s="897"/>
      <c r="Y7" s="897"/>
      <c r="Z7" s="897"/>
      <c r="AA7" s="897"/>
      <c r="AB7" s="897"/>
      <c r="AC7" s="897"/>
      <c r="AD7" s="897"/>
      <c r="AE7" s="897"/>
      <c r="AF7" s="897"/>
      <c r="AG7" s="897"/>
      <c r="AH7" s="897"/>
      <c r="AI7" s="897"/>
      <c r="AJ7" s="897"/>
      <c r="AK7" s="897"/>
      <c r="AL7" s="897"/>
      <c r="AM7" s="897"/>
      <c r="AN7" s="897"/>
      <c r="AO7" s="897"/>
      <c r="AP7" s="897"/>
      <c r="AQ7" s="897"/>
      <c r="AR7" s="897"/>
      <c r="AS7" s="897"/>
      <c r="AT7" s="897"/>
      <c r="AU7" s="897"/>
      <c r="AV7" s="897"/>
      <c r="AW7" s="21"/>
      <c r="AX7" s="21"/>
      <c r="AY7" s="21"/>
      <c r="AZ7" s="21"/>
      <c r="BA7" s="21"/>
      <c r="BB7" s="21"/>
      <c r="BC7" s="897" t="s">
        <v>38</v>
      </c>
      <c r="BD7" s="897"/>
      <c r="BE7" s="897"/>
      <c r="BF7" s="897"/>
      <c r="BG7" s="897"/>
      <c r="BH7" s="897"/>
      <c r="BI7" s="897"/>
      <c r="BJ7" s="897"/>
      <c r="BK7" s="897"/>
      <c r="BL7" s="897"/>
      <c r="BM7" s="897"/>
      <c r="BN7" s="897"/>
      <c r="BO7" s="897"/>
      <c r="BP7" s="897"/>
      <c r="BQ7" s="897"/>
      <c r="BR7" s="897"/>
      <c r="BS7" s="897"/>
      <c r="BT7" s="897"/>
      <c r="BU7" s="897"/>
      <c r="BV7" s="897"/>
      <c r="BW7" s="897"/>
      <c r="BX7" s="897"/>
      <c r="BY7" s="897"/>
      <c r="BZ7" s="897"/>
      <c r="CA7" s="897"/>
      <c r="CB7" s="897"/>
      <c r="CC7" s="897"/>
      <c r="CD7" s="897"/>
      <c r="CE7" s="897"/>
      <c r="CF7" s="897"/>
      <c r="CG7" s="897"/>
      <c r="CH7" s="897"/>
      <c r="CI7" s="897"/>
      <c r="CJ7" s="897"/>
      <c r="CK7" s="897"/>
      <c r="CL7" s="897"/>
      <c r="CM7" s="897"/>
      <c r="CN7" s="897"/>
      <c r="CO7" s="897"/>
      <c r="CP7" s="897"/>
      <c r="CQ7" s="897"/>
      <c r="CR7" s="897"/>
      <c r="CS7" s="897"/>
      <c r="CT7" s="897"/>
      <c r="CU7" s="897"/>
      <c r="CV7" s="897"/>
      <c r="CW7" s="897"/>
      <c r="CX7" s="897"/>
      <c r="CY7" s="897"/>
      <c r="CZ7" s="897"/>
      <c r="DA7" s="897"/>
      <c r="DB7" s="897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909"/>
      <c r="B8" s="909"/>
      <c r="C8" s="909"/>
      <c r="D8" s="909"/>
      <c r="E8" s="909"/>
      <c r="F8" s="909"/>
      <c r="G8" s="909"/>
      <c r="H8" s="909"/>
      <c r="I8" s="909"/>
      <c r="J8" s="909"/>
      <c r="K8" s="909"/>
      <c r="L8" s="909"/>
      <c r="M8" s="909"/>
      <c r="N8" s="909"/>
      <c r="O8" s="909"/>
      <c r="P8" s="909"/>
      <c r="Q8" s="909"/>
      <c r="R8" s="909"/>
      <c r="S8" s="909"/>
      <c r="T8" s="909"/>
      <c r="U8" s="909"/>
      <c r="V8" s="909"/>
      <c r="W8" s="909"/>
      <c r="X8" s="909"/>
      <c r="Y8" s="909"/>
      <c r="Z8" s="909"/>
      <c r="AA8" s="909"/>
      <c r="AB8" s="909"/>
      <c r="AC8" s="909"/>
      <c r="AD8" s="909"/>
      <c r="AE8" s="909"/>
      <c r="AF8" s="909"/>
      <c r="AG8" s="909"/>
      <c r="AH8" s="909"/>
      <c r="AI8" s="909"/>
      <c r="AJ8" s="909"/>
      <c r="AK8" s="909"/>
      <c r="AL8" s="909"/>
      <c r="AM8" s="909"/>
      <c r="AN8" s="909"/>
      <c r="AO8" s="909"/>
      <c r="AP8" s="909"/>
      <c r="AQ8" s="909"/>
      <c r="AR8" s="909"/>
      <c r="AS8" s="909"/>
      <c r="AT8" s="909"/>
      <c r="AU8" s="909"/>
      <c r="AV8" s="909"/>
      <c r="AW8" s="19"/>
      <c r="AX8" s="19"/>
      <c r="AY8" s="19"/>
      <c r="AZ8" s="19"/>
      <c r="BA8" s="19"/>
      <c r="BB8" s="19"/>
      <c r="BC8" s="735">
        <f>ФОРМА!B13</f>
        <v>45625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897" t="s">
        <v>1</v>
      </c>
      <c r="B9" s="897"/>
      <c r="C9" s="897"/>
      <c r="D9" s="897"/>
      <c r="E9" s="897"/>
      <c r="F9" s="897"/>
      <c r="G9" s="897"/>
      <c r="H9" s="897"/>
      <c r="I9" s="897"/>
      <c r="J9" s="897"/>
      <c r="K9" s="897"/>
      <c r="L9" s="897"/>
      <c r="M9" s="897"/>
      <c r="N9" s="897"/>
      <c r="O9" s="897"/>
      <c r="P9" s="897"/>
      <c r="Q9" s="897"/>
      <c r="R9" s="897"/>
      <c r="S9" s="897"/>
      <c r="T9" s="897"/>
      <c r="U9" s="897"/>
      <c r="V9" s="897"/>
      <c r="W9" s="897"/>
      <c r="X9" s="897"/>
      <c r="Y9" s="897"/>
      <c r="Z9" s="897"/>
      <c r="AA9" s="897"/>
      <c r="AB9" s="897"/>
      <c r="AC9" s="897"/>
      <c r="AD9" s="897"/>
      <c r="AE9" s="897"/>
      <c r="AF9" s="897"/>
      <c r="AG9" s="897"/>
      <c r="AH9" s="897"/>
      <c r="AI9" s="897"/>
      <c r="AJ9" s="897"/>
      <c r="AK9" s="897"/>
      <c r="AL9" s="897"/>
      <c r="AM9" s="897"/>
      <c r="AN9" s="897"/>
      <c r="AO9" s="897"/>
      <c r="AP9" s="897"/>
      <c r="AQ9" s="897"/>
      <c r="AR9" s="897"/>
      <c r="AS9" s="897"/>
      <c r="AT9" s="897"/>
      <c r="AU9" s="897"/>
      <c r="AV9" s="897"/>
      <c r="AW9" s="21"/>
      <c r="AX9" s="21"/>
      <c r="AY9" s="21"/>
      <c r="AZ9" s="21"/>
      <c r="BA9" s="21"/>
      <c r="BB9" s="21"/>
      <c r="BC9" s="896" t="s">
        <v>453</v>
      </c>
      <c r="BD9" s="896"/>
      <c r="BE9" s="896"/>
      <c r="BF9" s="896"/>
      <c r="BG9" s="896"/>
      <c r="BH9" s="896"/>
      <c r="BI9" s="896"/>
      <c r="BJ9" s="896"/>
      <c r="BK9" s="896"/>
      <c r="BL9" s="896"/>
      <c r="BM9" s="896"/>
      <c r="BN9" s="896"/>
      <c r="BO9" s="896"/>
      <c r="BP9" s="896"/>
      <c r="BQ9" s="896"/>
      <c r="BR9" s="896"/>
      <c r="BS9" s="896"/>
      <c r="BT9" s="896"/>
      <c r="BU9" s="896"/>
      <c r="BV9" s="896"/>
      <c r="BW9" s="896"/>
      <c r="BX9" s="896"/>
      <c r="BY9" s="896"/>
      <c r="BZ9" s="896"/>
      <c r="CA9" s="896"/>
      <c r="CB9" s="896"/>
      <c r="CC9" s="896"/>
      <c r="CD9" s="896"/>
      <c r="CE9" s="896"/>
      <c r="CF9" s="896"/>
      <c r="CG9" s="896"/>
      <c r="CH9" s="896"/>
      <c r="CI9" s="896"/>
      <c r="CJ9" s="896"/>
      <c r="CK9" s="896"/>
      <c r="CL9" s="896"/>
      <c r="CM9" s="896"/>
      <c r="CN9" s="896"/>
      <c r="CO9" s="896"/>
      <c r="CP9" s="896"/>
      <c r="CQ9" s="896"/>
      <c r="CR9" s="896"/>
      <c r="CS9" s="896"/>
      <c r="CT9" s="896"/>
      <c r="CU9" s="896"/>
      <c r="CV9" s="896"/>
      <c r="CW9" s="896"/>
      <c r="CX9" s="896"/>
      <c r="CY9" s="896"/>
      <c r="CZ9" s="896"/>
      <c r="DA9" s="896"/>
      <c r="DB9" s="896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21" t="s">
        <v>507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67" t="s">
        <v>12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Z14" s="767"/>
      <c r="AA14" s="767"/>
      <c r="AB14" s="767"/>
      <c r="AC14" s="767"/>
      <c r="AD14" s="767"/>
      <c r="AE14" s="762" t="str">
        <f>ПОДПИСИ!B5</f>
        <v>Начальник мастерского участка №1 Курортного РЭС ПАО «Россети Ленэнерго» «СЭС»</v>
      </c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  <c r="CJ14" s="762"/>
      <c r="CK14" s="762"/>
      <c r="CL14" s="762"/>
      <c r="CM14" s="762"/>
      <c r="CN14" s="762"/>
      <c r="CO14" s="762"/>
      <c r="CP14" s="762"/>
      <c r="CQ14" s="762"/>
      <c r="CR14" s="762"/>
      <c r="CS14" s="762"/>
      <c r="CT14" s="762"/>
      <c r="CU14" s="762"/>
      <c r="CV14" s="762"/>
      <c r="CW14" s="762"/>
      <c r="CX14" s="762"/>
      <c r="CY14" s="762"/>
      <c r="CZ14" s="762"/>
      <c r="DA14" s="762"/>
      <c r="DB14" s="762"/>
    </row>
    <row r="15" spans="1:158" ht="11.1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97" t="s">
        <v>78</v>
      </c>
      <c r="AB15" s="897"/>
      <c r="AC15" s="897"/>
      <c r="AD15" s="897"/>
      <c r="AE15" s="897"/>
      <c r="AF15" s="897"/>
      <c r="AG15" s="897"/>
      <c r="AH15" s="897"/>
      <c r="AI15" s="897"/>
      <c r="AJ15" s="897"/>
      <c r="AK15" s="897"/>
      <c r="AL15" s="897"/>
      <c r="AM15" s="897"/>
      <c r="AN15" s="897"/>
      <c r="AO15" s="897"/>
      <c r="AP15" s="897"/>
      <c r="AQ15" s="897"/>
      <c r="AR15" s="897"/>
      <c r="AS15" s="897"/>
      <c r="AT15" s="897"/>
      <c r="AU15" s="897"/>
      <c r="AV15" s="897"/>
      <c r="AW15" s="897"/>
      <c r="AX15" s="897"/>
      <c r="AY15" s="897"/>
      <c r="AZ15" s="897"/>
      <c r="BA15" s="897"/>
      <c r="BB15" s="897"/>
      <c r="BC15" s="897"/>
      <c r="BD15" s="897"/>
      <c r="BE15" s="897"/>
      <c r="BF15" s="897"/>
      <c r="BG15" s="897"/>
      <c r="BH15" s="897"/>
      <c r="BI15" s="897"/>
      <c r="BJ15" s="897"/>
      <c r="BK15" s="897"/>
      <c r="BL15" s="897"/>
      <c r="BM15" s="897"/>
      <c r="BN15" s="897"/>
      <c r="BO15" s="897"/>
      <c r="BP15" s="897"/>
      <c r="BQ15" s="897"/>
      <c r="BR15" s="897"/>
      <c r="BS15" s="897"/>
      <c r="BT15" s="897"/>
      <c r="BU15" s="897"/>
      <c r="BV15" s="897"/>
      <c r="BW15" s="897"/>
      <c r="BX15" s="897"/>
      <c r="BY15" s="897"/>
      <c r="BZ15" s="897"/>
      <c r="CA15" s="897"/>
      <c r="CB15" s="897"/>
      <c r="CC15" s="897"/>
      <c r="CD15" s="897"/>
      <c r="CE15" s="897"/>
      <c r="CF15" s="897"/>
      <c r="CG15" s="897"/>
      <c r="CH15" s="897"/>
      <c r="CI15" s="897"/>
      <c r="CJ15" s="897"/>
      <c r="CK15" s="897"/>
      <c r="CL15" s="897"/>
      <c r="CM15" s="897"/>
      <c r="CN15" s="897"/>
      <c r="CO15" s="897"/>
      <c r="CP15" s="897"/>
      <c r="CQ15" s="897"/>
      <c r="CR15" s="897"/>
      <c r="CS15" s="897"/>
      <c r="CT15" s="897"/>
      <c r="CU15" s="897"/>
      <c r="CV15" s="897"/>
      <c r="CW15" s="897"/>
      <c r="CX15" s="897"/>
      <c r="CY15" s="897"/>
      <c r="CZ15" s="897"/>
      <c r="DA15" s="897"/>
      <c r="DB15" s="897"/>
    </row>
    <row r="16" spans="1:158">
      <c r="A16" s="759" t="str">
        <f>ПОДПИСИ!C5</f>
        <v>Чечин Д.М.</v>
      </c>
      <c r="B16" s="759"/>
      <c r="C16" s="759"/>
      <c r="D16" s="759"/>
      <c r="E16" s="759"/>
      <c r="F16" s="759"/>
      <c r="G16" s="759"/>
      <c r="H16" s="759"/>
      <c r="I16" s="759"/>
      <c r="J16" s="759"/>
      <c r="K16" s="759"/>
      <c r="L16" s="759"/>
      <c r="M16" s="759"/>
      <c r="N16" s="759"/>
      <c r="O16" s="759"/>
      <c r="P16" s="759"/>
      <c r="Q16" s="759"/>
      <c r="R16" s="759"/>
      <c r="S16" s="759"/>
      <c r="T16" s="759"/>
      <c r="U16" s="759"/>
      <c r="V16" s="759"/>
      <c r="W16" s="759"/>
      <c r="X16" s="759"/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759"/>
      <c r="AQ16" s="759"/>
      <c r="AR16" s="759"/>
      <c r="AS16" s="759"/>
      <c r="AT16" s="759"/>
      <c r="AU16" s="759"/>
      <c r="AV16" s="759"/>
      <c r="AW16" s="759"/>
      <c r="AX16" s="759"/>
      <c r="AY16" s="759"/>
      <c r="AZ16" s="759"/>
      <c r="BA16" s="759"/>
      <c r="BB16" s="759"/>
      <c r="BC16" s="759"/>
      <c r="BD16" s="759"/>
      <c r="BE16" s="759"/>
      <c r="BF16" s="759"/>
      <c r="BG16" s="759"/>
      <c r="BH16" s="759"/>
      <c r="BI16" s="759"/>
      <c r="BJ16" s="759"/>
      <c r="BK16" s="759"/>
      <c r="BL16" s="759"/>
      <c r="BM16" s="759"/>
      <c r="BN16" s="759"/>
      <c r="BO16" s="759"/>
      <c r="BP16" s="759"/>
      <c r="BQ16" s="759"/>
      <c r="BR16" s="759"/>
      <c r="BS16" s="759"/>
      <c r="BT16" s="759"/>
      <c r="BU16" s="759"/>
      <c r="BV16" s="759"/>
      <c r="BW16" s="759"/>
      <c r="BX16" s="759"/>
      <c r="BY16" s="759"/>
      <c r="BZ16" s="759"/>
      <c r="CA16" s="759"/>
      <c r="CB16" s="759"/>
      <c r="CC16" s="759"/>
      <c r="CD16" s="759"/>
      <c r="CE16" s="759"/>
      <c r="CF16" s="759"/>
      <c r="CG16" s="759"/>
      <c r="CH16" s="759"/>
      <c r="CI16" s="759"/>
      <c r="CJ16" s="759"/>
      <c r="CK16" s="759"/>
      <c r="CL16" s="759"/>
      <c r="CM16" s="759"/>
      <c r="CN16" s="759"/>
      <c r="CO16" s="759"/>
      <c r="CP16" s="759"/>
      <c r="CQ16" s="759"/>
      <c r="CR16" s="759"/>
      <c r="CS16" s="759"/>
      <c r="CT16" s="759"/>
      <c r="CU16" s="759"/>
      <c r="CV16" s="759"/>
      <c r="CW16" s="759"/>
      <c r="CX16" s="759"/>
      <c r="CY16" s="759"/>
      <c r="CZ16" s="759"/>
      <c r="DA16" s="759"/>
      <c r="DB16" s="759"/>
    </row>
    <row r="17" spans="1:158" ht="11.15" customHeight="1">
      <c r="A17" s="736"/>
      <c r="B17" s="736"/>
      <c r="C17" s="736"/>
      <c r="D17" s="736"/>
      <c r="E17" s="736"/>
      <c r="F17" s="736"/>
      <c r="G17" s="736"/>
      <c r="H17" s="736"/>
      <c r="I17" s="736"/>
      <c r="J17" s="736"/>
      <c r="K17" s="736"/>
      <c r="L17" s="736"/>
      <c r="M17" s="736"/>
      <c r="N17" s="736"/>
      <c r="O17" s="736"/>
      <c r="P17" s="736"/>
      <c r="Q17" s="736"/>
      <c r="R17" s="736"/>
      <c r="S17" s="736"/>
      <c r="T17" s="736"/>
      <c r="U17" s="736"/>
      <c r="V17" s="736"/>
      <c r="W17" s="736"/>
      <c r="X17" s="736"/>
      <c r="Y17" s="736"/>
      <c r="Z17" s="736"/>
      <c r="AA17" s="736"/>
      <c r="AB17" s="736"/>
      <c r="AC17" s="736"/>
      <c r="AD17" s="736"/>
      <c r="AE17" s="736"/>
      <c r="AF17" s="736"/>
      <c r="AG17" s="736"/>
      <c r="AH17" s="736"/>
      <c r="AI17" s="736"/>
      <c r="AJ17" s="736"/>
      <c r="AK17" s="736"/>
      <c r="AL17" s="736"/>
      <c r="AM17" s="736"/>
      <c r="AN17" s="736"/>
      <c r="AO17" s="736"/>
      <c r="AP17" s="736"/>
      <c r="AQ17" s="736"/>
      <c r="AR17" s="736"/>
      <c r="AS17" s="736"/>
      <c r="AT17" s="736"/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58" ht="15.65" customHeight="1">
      <c r="A18" s="30" t="s">
        <v>736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62" t="str">
        <f>ПОДПИСИ!B15</f>
        <v xml:space="preserve">Заместитель генерального директора ООО «БЭСК» </v>
      </c>
      <c r="AX18" s="762"/>
      <c r="AY18" s="762"/>
      <c r="AZ18" s="762"/>
      <c r="BA18" s="762"/>
      <c r="BB18" s="762"/>
      <c r="BC18" s="762"/>
      <c r="BD18" s="762"/>
      <c r="BE18" s="762"/>
      <c r="BF18" s="762"/>
      <c r="BG18" s="762"/>
      <c r="BH18" s="762"/>
      <c r="BI18" s="762"/>
      <c r="BJ18" s="762"/>
      <c r="BK18" s="762"/>
      <c r="BL18" s="762"/>
      <c r="BM18" s="762"/>
      <c r="BN18" s="762"/>
      <c r="BO18" s="762"/>
      <c r="BP18" s="762"/>
      <c r="BQ18" s="762"/>
      <c r="BR18" s="762"/>
      <c r="BS18" s="762"/>
      <c r="BT18" s="762"/>
      <c r="BU18" s="762"/>
      <c r="BV18" s="762"/>
      <c r="BW18" s="762"/>
      <c r="BX18" s="762"/>
      <c r="BY18" s="762"/>
      <c r="BZ18" s="762"/>
      <c r="CA18" s="762"/>
      <c r="CB18" s="762"/>
      <c r="CC18" s="762"/>
      <c r="CD18" s="762"/>
      <c r="CE18" s="762"/>
      <c r="CF18" s="762"/>
      <c r="CG18" s="762"/>
      <c r="CH18" s="762"/>
      <c r="CI18" s="762"/>
      <c r="CJ18" s="762"/>
      <c r="CK18" s="762"/>
      <c r="CL18" s="762"/>
      <c r="CM18" s="762"/>
      <c r="CN18" s="762"/>
      <c r="CO18" s="762"/>
      <c r="CP18" s="762"/>
      <c r="CQ18" s="762"/>
      <c r="CR18" s="762"/>
      <c r="CS18" s="762"/>
      <c r="CT18" s="762"/>
      <c r="CU18" s="762"/>
      <c r="CV18" s="762"/>
      <c r="CW18" s="762"/>
      <c r="CX18" s="762"/>
      <c r="CY18" s="762"/>
      <c r="CZ18" s="762"/>
      <c r="DA18" s="762"/>
      <c r="DB18" s="762"/>
    </row>
    <row r="19" spans="1:158" ht="11.1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97" t="str">
        <f>AA15</f>
        <v>(должность, фамилия, инициалы, реквизиты документа о представительстве)</v>
      </c>
      <c r="AS19" s="897"/>
      <c r="AT19" s="897"/>
      <c r="AU19" s="897"/>
      <c r="AV19" s="897"/>
      <c r="AW19" s="897"/>
      <c r="AX19" s="897"/>
      <c r="AY19" s="897"/>
      <c r="AZ19" s="897"/>
      <c r="BA19" s="897"/>
      <c r="BB19" s="897"/>
      <c r="BC19" s="897"/>
      <c r="BD19" s="897"/>
      <c r="BE19" s="897"/>
      <c r="BF19" s="897"/>
      <c r="BG19" s="897"/>
      <c r="BH19" s="897"/>
      <c r="BI19" s="897"/>
      <c r="BJ19" s="897"/>
      <c r="BK19" s="897"/>
      <c r="BL19" s="897"/>
      <c r="BM19" s="897"/>
      <c r="BN19" s="897"/>
      <c r="BO19" s="897"/>
      <c r="BP19" s="897"/>
      <c r="BQ19" s="897"/>
      <c r="BR19" s="897"/>
      <c r="BS19" s="897"/>
      <c r="BT19" s="897"/>
      <c r="BU19" s="897"/>
      <c r="BV19" s="897"/>
      <c r="BW19" s="897"/>
      <c r="BX19" s="897"/>
      <c r="BY19" s="897"/>
      <c r="BZ19" s="897"/>
      <c r="CA19" s="897"/>
      <c r="CB19" s="897"/>
      <c r="CC19" s="897"/>
      <c r="CD19" s="897"/>
      <c r="CE19" s="897"/>
      <c r="CF19" s="897"/>
      <c r="CG19" s="897"/>
      <c r="CH19" s="897"/>
      <c r="CI19" s="897"/>
      <c r="CJ19" s="897"/>
      <c r="CK19" s="897"/>
      <c r="CL19" s="897"/>
      <c r="CM19" s="897"/>
      <c r="CN19" s="897"/>
      <c r="CO19" s="897"/>
      <c r="CP19" s="897"/>
      <c r="CQ19" s="897"/>
      <c r="CR19" s="897"/>
      <c r="CS19" s="897"/>
      <c r="CT19" s="897"/>
      <c r="CU19" s="897"/>
      <c r="CV19" s="897"/>
      <c r="CW19" s="897"/>
      <c r="CX19" s="897"/>
      <c r="CY19" s="897"/>
      <c r="CZ19" s="897"/>
      <c r="DA19" s="897"/>
      <c r="DB19" s="897"/>
    </row>
    <row r="20" spans="1:158" ht="15" customHeight="1">
      <c r="A20" s="762" t="str">
        <f>ПОДПИСИ!C15</f>
        <v>Матвеев А.С.</v>
      </c>
      <c r="B20" s="762"/>
      <c r="C20" s="762"/>
      <c r="D20" s="762"/>
      <c r="E20" s="762"/>
      <c r="F20" s="762"/>
      <c r="G20" s="762"/>
      <c r="H20" s="762"/>
      <c r="I20" s="762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2"/>
      <c r="AQ20" s="762"/>
      <c r="AR20" s="762"/>
      <c r="AS20" s="762"/>
      <c r="AT20" s="762"/>
      <c r="AU20" s="762"/>
      <c r="AV20" s="762"/>
      <c r="AW20" s="762"/>
      <c r="AX20" s="762"/>
      <c r="AY20" s="762"/>
      <c r="AZ20" s="762"/>
      <c r="BA20" s="762"/>
      <c r="BB20" s="762"/>
      <c r="BC20" s="762"/>
      <c r="BD20" s="762"/>
      <c r="BE20" s="762"/>
      <c r="BF20" s="762"/>
      <c r="BG20" s="762"/>
      <c r="BH20" s="762"/>
      <c r="BI20" s="762"/>
      <c r="BJ20" s="762"/>
      <c r="BK20" s="762"/>
      <c r="BL20" s="762"/>
      <c r="BM20" s="762"/>
      <c r="BN20" s="762"/>
      <c r="BO20" s="762"/>
      <c r="BP20" s="762"/>
      <c r="BQ20" s="762"/>
      <c r="BR20" s="762"/>
      <c r="BS20" s="762"/>
      <c r="BT20" s="762"/>
      <c r="BU20" s="762"/>
      <c r="BV20" s="762"/>
      <c r="BW20" s="762"/>
      <c r="BX20" s="762"/>
      <c r="BY20" s="762"/>
      <c r="BZ20" s="762"/>
      <c r="CA20" s="762"/>
      <c r="CB20" s="762"/>
      <c r="CC20" s="762"/>
      <c r="CD20" s="762"/>
      <c r="CE20" s="762"/>
      <c r="CF20" s="762"/>
      <c r="CG20" s="762"/>
      <c r="CH20" s="762"/>
      <c r="CI20" s="762"/>
      <c r="CJ20" s="762"/>
      <c r="CK20" s="762"/>
      <c r="CL20" s="762"/>
      <c r="CM20" s="762"/>
      <c r="CN20" s="762"/>
      <c r="CO20" s="762"/>
      <c r="CP20" s="762"/>
      <c r="CQ20" s="762"/>
      <c r="CR20" s="762"/>
      <c r="CS20" s="762"/>
      <c r="CT20" s="762"/>
      <c r="CU20" s="762"/>
      <c r="CV20" s="762"/>
      <c r="CW20" s="762"/>
      <c r="CX20" s="762"/>
      <c r="CY20" s="762"/>
      <c r="CZ20" s="762"/>
      <c r="DA20" s="762"/>
      <c r="DB20" s="762"/>
    </row>
    <row r="21" spans="1:158" ht="11.15" customHeight="1">
      <c r="A21" s="736"/>
      <c r="B21" s="736"/>
      <c r="C21" s="736"/>
      <c r="D21" s="736"/>
      <c r="E21" s="736"/>
      <c r="F21" s="736"/>
      <c r="G21" s="736"/>
      <c r="H21" s="736"/>
      <c r="I21" s="736"/>
      <c r="J21" s="736"/>
      <c r="K21" s="736"/>
      <c r="L21" s="736"/>
      <c r="M21" s="736"/>
      <c r="N21" s="736"/>
      <c r="O21" s="736"/>
      <c r="P21" s="736"/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  <c r="AI21" s="736"/>
      <c r="AJ21" s="736"/>
      <c r="AK21" s="736"/>
      <c r="AL21" s="736"/>
      <c r="AM21" s="736"/>
      <c r="AN21" s="736"/>
      <c r="AO21" s="736"/>
      <c r="AP21" s="736"/>
      <c r="AQ21" s="736"/>
      <c r="AR21" s="736"/>
      <c r="AS21" s="736"/>
      <c r="AT21" s="736"/>
      <c r="AU21" s="736"/>
      <c r="AV21" s="736"/>
      <c r="AW21" s="736"/>
      <c r="AX21" s="736"/>
      <c r="AY21" s="736"/>
      <c r="AZ21" s="736"/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58">
      <c r="A22" s="767" t="s">
        <v>13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59" t="str">
        <f>ПОДПИСИ!B12</f>
        <v xml:space="preserve">Производитель работ ООО«БЭСК» </v>
      </c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  <c r="BT22" s="759"/>
      <c r="BU22" s="759"/>
      <c r="BV22" s="759"/>
      <c r="BW22" s="759"/>
      <c r="BX22" s="759"/>
      <c r="BY22" s="759"/>
      <c r="BZ22" s="759"/>
      <c r="CA22" s="759"/>
      <c r="CB22" s="759"/>
      <c r="CC22" s="759"/>
      <c r="CD22" s="759"/>
      <c r="CE22" s="759"/>
      <c r="CF22" s="759"/>
      <c r="CG22" s="759"/>
      <c r="CH22" s="759"/>
      <c r="CI22" s="759"/>
      <c r="CJ22" s="759"/>
      <c r="CK22" s="759"/>
      <c r="CL22" s="759"/>
      <c r="CM22" s="759"/>
      <c r="CN22" s="759"/>
      <c r="CO22" s="759"/>
      <c r="CP22" s="759"/>
      <c r="CQ22" s="759"/>
      <c r="CR22" s="759"/>
      <c r="CS22" s="759"/>
      <c r="CT22" s="759"/>
      <c r="CU22" s="759"/>
      <c r="CV22" s="759"/>
      <c r="CW22" s="759"/>
      <c r="CX22" s="759"/>
      <c r="CY22" s="759"/>
      <c r="CZ22" s="759"/>
      <c r="DA22" s="759"/>
      <c r="DB22" s="759"/>
    </row>
    <row r="23" spans="1:158" ht="11.1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903" t="str">
        <f>AA15</f>
        <v>(должность, фамилия, инициалы, реквизиты документа о представительстве)</v>
      </c>
      <c r="AX23" s="903"/>
      <c r="AY23" s="903"/>
      <c r="AZ23" s="903"/>
      <c r="BA23" s="903"/>
      <c r="BB23" s="903"/>
      <c r="BC23" s="903"/>
      <c r="BD23" s="903"/>
      <c r="BE23" s="903"/>
      <c r="BF23" s="903"/>
      <c r="BG23" s="903"/>
      <c r="BH23" s="903"/>
      <c r="BI23" s="903"/>
      <c r="BJ23" s="903"/>
      <c r="BK23" s="903"/>
      <c r="BL23" s="903"/>
      <c r="BM23" s="903"/>
      <c r="BN23" s="903"/>
      <c r="BO23" s="903"/>
      <c r="BP23" s="903"/>
      <c r="BQ23" s="903"/>
      <c r="BR23" s="903"/>
      <c r="BS23" s="903"/>
      <c r="BT23" s="903"/>
      <c r="BU23" s="903"/>
      <c r="BV23" s="903"/>
      <c r="BW23" s="903"/>
      <c r="BX23" s="903"/>
      <c r="BY23" s="903"/>
      <c r="BZ23" s="903"/>
      <c r="CA23" s="903"/>
      <c r="CB23" s="903"/>
      <c r="CC23" s="903"/>
      <c r="CD23" s="903"/>
      <c r="CE23" s="903"/>
      <c r="CF23" s="903"/>
      <c r="CG23" s="903"/>
      <c r="CH23" s="903"/>
      <c r="CI23" s="903"/>
      <c r="CJ23" s="903"/>
      <c r="CK23" s="903"/>
      <c r="CL23" s="903"/>
      <c r="CM23" s="903"/>
      <c r="CN23" s="903"/>
      <c r="CO23" s="903"/>
      <c r="CP23" s="903"/>
      <c r="CQ23" s="903"/>
      <c r="CR23" s="903"/>
      <c r="CS23" s="903"/>
      <c r="CT23" s="903"/>
      <c r="CU23" s="903"/>
      <c r="CV23" s="903"/>
      <c r="CW23" s="903"/>
      <c r="CX23" s="903"/>
      <c r="CY23" s="903"/>
      <c r="CZ23" s="903"/>
      <c r="DA23" s="903"/>
      <c r="DB23" s="903"/>
    </row>
    <row r="24" spans="1:158">
      <c r="A24" s="759" t="str">
        <f>ПОДПИСИ!C12</f>
        <v>Махмадов А.Р.</v>
      </c>
      <c r="B24" s="759"/>
      <c r="C24" s="759"/>
      <c r="D24" s="759"/>
      <c r="E24" s="759"/>
      <c r="F24" s="759"/>
      <c r="G24" s="759"/>
      <c r="H24" s="759"/>
      <c r="I24" s="759"/>
      <c r="J24" s="759"/>
      <c r="K24" s="759"/>
      <c r="L24" s="759"/>
      <c r="M24" s="759"/>
      <c r="N24" s="759"/>
      <c r="O24" s="759"/>
      <c r="P24" s="759"/>
      <c r="Q24" s="759"/>
      <c r="R24" s="759"/>
      <c r="S24" s="759"/>
      <c r="T24" s="759"/>
      <c r="U24" s="759"/>
      <c r="V24" s="759"/>
      <c r="W24" s="759"/>
      <c r="X24" s="759"/>
      <c r="Y24" s="759"/>
      <c r="Z24" s="759"/>
      <c r="AA24" s="759"/>
      <c r="AB24" s="759"/>
      <c r="AC24" s="759"/>
      <c r="AD24" s="759"/>
      <c r="AE24" s="759"/>
      <c r="AF24" s="759"/>
      <c r="AG24" s="759"/>
      <c r="AH24" s="759"/>
      <c r="AI24" s="759"/>
      <c r="AJ24" s="759"/>
      <c r="AK24" s="759"/>
      <c r="AL24" s="759"/>
      <c r="AM24" s="759"/>
      <c r="AN24" s="759"/>
      <c r="AO24" s="759"/>
      <c r="AP24" s="759"/>
      <c r="AQ24" s="759"/>
      <c r="AR24" s="759"/>
      <c r="AS24" s="759"/>
      <c r="AT24" s="759"/>
      <c r="AU24" s="759"/>
      <c r="AV24" s="759"/>
      <c r="AW24" s="759"/>
      <c r="AX24" s="759"/>
      <c r="AY24" s="759"/>
      <c r="AZ24" s="759"/>
      <c r="BA24" s="759"/>
      <c r="BB24" s="759"/>
      <c r="BC24" s="759"/>
      <c r="BD24" s="759"/>
      <c r="BE24" s="759"/>
      <c r="BF24" s="759"/>
      <c r="BG24" s="759"/>
      <c r="BH24" s="759"/>
      <c r="BI24" s="759"/>
      <c r="BJ24" s="759"/>
      <c r="BK24" s="759"/>
      <c r="BL24" s="759"/>
      <c r="BM24" s="759"/>
      <c r="BN24" s="759"/>
      <c r="BO24" s="759"/>
      <c r="BP24" s="759"/>
      <c r="BQ24" s="759"/>
      <c r="BR24" s="759"/>
      <c r="BS24" s="759"/>
      <c r="BT24" s="759"/>
      <c r="BU24" s="759"/>
      <c r="BV24" s="759"/>
      <c r="BW24" s="759"/>
      <c r="BX24" s="759"/>
      <c r="BY24" s="759"/>
      <c r="BZ24" s="759"/>
      <c r="CA24" s="759"/>
      <c r="CB24" s="759"/>
      <c r="CC24" s="759"/>
      <c r="CD24" s="759"/>
      <c r="CE24" s="759"/>
      <c r="CF24" s="759"/>
      <c r="CG24" s="759"/>
      <c r="CH24" s="759"/>
      <c r="CI24" s="759"/>
      <c r="CJ24" s="759"/>
      <c r="CK24" s="759"/>
      <c r="CL24" s="759"/>
      <c r="CM24" s="759"/>
      <c r="CN24" s="759"/>
      <c r="CO24" s="759"/>
      <c r="CP24" s="759"/>
      <c r="CQ24" s="759"/>
      <c r="CR24" s="759"/>
      <c r="CS24" s="759"/>
      <c r="CT24" s="759"/>
      <c r="CU24" s="759"/>
      <c r="CV24" s="759"/>
      <c r="CW24" s="759"/>
      <c r="CX24" s="759"/>
      <c r="CY24" s="759"/>
      <c r="CZ24" s="759"/>
      <c r="DA24" s="759"/>
      <c r="DB24" s="759"/>
    </row>
    <row r="25" spans="1:158" ht="11.15" customHeight="1">
      <c r="A25" s="736"/>
      <c r="B25" s="736"/>
      <c r="C25" s="736"/>
      <c r="D25" s="736"/>
      <c r="E25" s="736"/>
      <c r="F25" s="736"/>
      <c r="G25" s="736"/>
      <c r="H25" s="736"/>
      <c r="I25" s="736"/>
      <c r="J25" s="736"/>
      <c r="K25" s="736"/>
      <c r="L25" s="736"/>
      <c r="M25" s="736"/>
      <c r="N25" s="736"/>
      <c r="O25" s="736"/>
      <c r="P25" s="736"/>
      <c r="Q25" s="736"/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736"/>
      <c r="BA25" s="736"/>
      <c r="BB25" s="736"/>
      <c r="BC25" s="736"/>
      <c r="BD25" s="736"/>
      <c r="BE25" s="736"/>
      <c r="BF25" s="736"/>
      <c r="BG25" s="736"/>
      <c r="BH25" s="736"/>
      <c r="BI25" s="736"/>
      <c r="BJ25" s="736"/>
      <c r="BK25" s="736"/>
      <c r="BL25" s="736"/>
      <c r="BM25" s="736"/>
      <c r="BN25" s="736"/>
      <c r="BO25" s="736"/>
      <c r="BP25" s="736"/>
      <c r="BQ25" s="736"/>
      <c r="BR25" s="736"/>
      <c r="BS25" s="736"/>
      <c r="BT25" s="736"/>
      <c r="BU25" s="736"/>
      <c r="BV25" s="736"/>
      <c r="BW25" s="736"/>
      <c r="BX25" s="736"/>
      <c r="BY25" s="736"/>
      <c r="BZ25" s="736"/>
      <c r="CA25" s="736"/>
      <c r="CB25" s="736"/>
      <c r="CC25" s="736"/>
      <c r="CD25" s="736"/>
      <c r="CE25" s="736"/>
      <c r="CF25" s="736"/>
      <c r="CG25" s="736"/>
      <c r="CH25" s="736"/>
      <c r="CI25" s="736"/>
      <c r="CJ25" s="736"/>
      <c r="CK25" s="736"/>
      <c r="CL25" s="736"/>
      <c r="CM25" s="736"/>
      <c r="CN25" s="736"/>
      <c r="CO25" s="736"/>
      <c r="CP25" s="736"/>
      <c r="CQ25" s="736"/>
      <c r="CR25" s="736"/>
      <c r="CS25" s="736"/>
      <c r="CT25" s="736"/>
      <c r="CU25" s="736"/>
      <c r="CV25" s="736"/>
      <c r="CW25" s="736"/>
      <c r="CX25" s="736"/>
      <c r="CY25" s="736"/>
      <c r="CZ25" s="736"/>
      <c r="DA25" s="736"/>
      <c r="DB25" s="736"/>
    </row>
    <row r="26" spans="1:158">
      <c r="A26" s="764" t="s">
        <v>454</v>
      </c>
      <c r="B26" s="764"/>
      <c r="C26" s="764"/>
      <c r="D26" s="764"/>
      <c r="E26" s="764"/>
      <c r="F26" s="764"/>
      <c r="G26" s="764"/>
      <c r="H26" s="764"/>
      <c r="I26" s="764"/>
      <c r="J26" s="764"/>
      <c r="K26" s="764"/>
      <c r="L26" s="764"/>
      <c r="M26" s="764"/>
      <c r="N26" s="764"/>
      <c r="O26" s="764"/>
      <c r="P26" s="764"/>
      <c r="Q26" s="764"/>
      <c r="R26" s="764"/>
      <c r="S26" s="764"/>
      <c r="T26" s="764"/>
      <c r="U26" s="764"/>
      <c r="V26" s="764"/>
      <c r="W26" s="764"/>
      <c r="X26" s="764"/>
      <c r="Y26" s="764"/>
      <c r="Z26" s="764"/>
      <c r="AA26" s="764"/>
      <c r="AB26" s="764"/>
      <c r="AC26" s="764"/>
      <c r="AD26" s="764"/>
      <c r="AE26" s="764"/>
      <c r="AF26" s="764"/>
      <c r="AG26" s="764"/>
      <c r="AH26" s="764"/>
      <c r="AI26" s="764"/>
      <c r="AJ26" s="764"/>
      <c r="AK26" s="764"/>
      <c r="AL26" s="764"/>
      <c r="AM26" s="764"/>
      <c r="AN26" s="764"/>
      <c r="AO26" s="764"/>
      <c r="AP26" s="764"/>
      <c r="AQ26" s="764"/>
      <c r="AR26" s="764"/>
      <c r="AS26" s="764"/>
      <c r="AT26" s="764"/>
      <c r="AU26" s="764"/>
      <c r="AV26" s="764"/>
      <c r="AW26" s="764"/>
      <c r="AX26" s="764"/>
      <c r="AY26" s="764"/>
      <c r="AZ26" s="764"/>
      <c r="BA26" s="764"/>
      <c r="BB26" s="764"/>
      <c r="BC26" s="764"/>
      <c r="BD26" s="764"/>
      <c r="BE26" s="764"/>
      <c r="BF26" s="764"/>
      <c r="BG26" s="764"/>
      <c r="BH26" s="764"/>
      <c r="BI26" s="764"/>
      <c r="BJ26" s="764"/>
      <c r="BK26" s="764"/>
      <c r="BL26" s="764"/>
      <c r="BM26" s="764"/>
      <c r="BN26" s="764"/>
      <c r="BO26" s="764"/>
      <c r="BP26" s="764"/>
      <c r="BQ26" s="764"/>
      <c r="BR26" s="764"/>
      <c r="BS26" s="764"/>
      <c r="BT26" s="764"/>
      <c r="BU26" s="764"/>
      <c r="BV26" s="764"/>
      <c r="BW26" s="764"/>
      <c r="BX26" s="764"/>
      <c r="BY26" s="764"/>
      <c r="BZ26" s="764"/>
      <c r="CA26" s="764"/>
      <c r="CB26" s="764"/>
      <c r="CC26" s="764"/>
      <c r="CD26" s="764"/>
      <c r="CE26" s="764"/>
      <c r="CF26" s="764"/>
      <c r="CG26" s="764"/>
      <c r="CH26" s="764"/>
      <c r="CI26" s="764"/>
      <c r="CJ26" s="764"/>
      <c r="CK26" s="764"/>
      <c r="CL26" s="764"/>
      <c r="CM26" s="764"/>
      <c r="CN26" s="764"/>
      <c r="CO26" s="764"/>
      <c r="CP26" s="764"/>
      <c r="CQ26" s="764"/>
      <c r="CR26" s="764"/>
      <c r="CS26" s="764"/>
      <c r="CT26" s="764"/>
      <c r="CU26" s="764"/>
      <c r="CV26" s="764"/>
      <c r="CW26" s="764"/>
      <c r="CX26" s="764"/>
      <c r="CY26" s="764"/>
      <c r="CZ26" s="764"/>
      <c r="DA26" s="764"/>
      <c r="DB26" s="764"/>
      <c r="DD26" s="18"/>
      <c r="DE26" s="17"/>
      <c r="DF26" s="17"/>
    </row>
    <row r="27" spans="1:158" s="1" customFormat="1" ht="11.1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64" t="s">
        <v>455</v>
      </c>
      <c r="B28" s="764"/>
      <c r="C28" s="764"/>
      <c r="D28" s="764"/>
      <c r="E28" s="764"/>
      <c r="F28" s="764"/>
      <c r="G28" s="764"/>
      <c r="H28" s="764"/>
      <c r="I28" s="764"/>
      <c r="J28" s="764"/>
      <c r="K28" s="764"/>
      <c r="L28" s="764"/>
      <c r="M28" s="764"/>
      <c r="N28" s="764"/>
      <c r="O28" s="764"/>
      <c r="P28" s="764"/>
      <c r="Q28" s="764"/>
      <c r="R28" s="764"/>
      <c r="S28" s="764"/>
      <c r="T28" s="764"/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64"/>
      <c r="AI28" s="764"/>
      <c r="AJ28" s="764"/>
      <c r="AK28" s="764"/>
      <c r="AL28" s="764"/>
      <c r="AM28" s="764"/>
      <c r="AN28" s="764"/>
      <c r="AO28" s="764"/>
      <c r="AP28" s="764"/>
      <c r="AQ28" s="764"/>
      <c r="AR28" s="764"/>
      <c r="AS28" s="764"/>
      <c r="AT28" s="764"/>
      <c r="AU28" s="764"/>
      <c r="AV28" s="764"/>
      <c r="AW28" s="764"/>
      <c r="AX28" s="764"/>
      <c r="AY28" s="764"/>
      <c r="AZ28" s="764"/>
      <c r="BA28" s="764"/>
      <c r="BB28" s="764"/>
      <c r="BC28" s="764"/>
      <c r="BD28" s="764"/>
      <c r="BE28" s="764"/>
      <c r="BF28" s="764"/>
      <c r="BG28" s="764"/>
      <c r="BH28" s="764"/>
      <c r="BI28" s="764"/>
      <c r="BJ28" s="764"/>
      <c r="BK28" s="764"/>
      <c r="BL28" s="764"/>
      <c r="BM28" s="764"/>
      <c r="BN28" s="764"/>
      <c r="BO28" s="764"/>
      <c r="BP28" s="764"/>
      <c r="BQ28" s="764"/>
      <c r="BR28" s="764"/>
      <c r="BS28" s="764"/>
      <c r="BT28" s="764"/>
      <c r="BU28" s="764"/>
      <c r="BV28" s="764"/>
      <c r="BW28" s="764"/>
      <c r="BX28" s="764"/>
      <c r="BY28" s="764"/>
      <c r="BZ28" s="764"/>
      <c r="CA28" s="764"/>
      <c r="CB28" s="764"/>
      <c r="CC28" s="764"/>
      <c r="CD28" s="764"/>
      <c r="CE28" s="764"/>
      <c r="CF28" s="764"/>
      <c r="CG28" s="764"/>
      <c r="CH28" s="764"/>
      <c r="CI28" s="764"/>
      <c r="CJ28" s="764"/>
      <c r="CK28" s="764"/>
      <c r="CL28" s="764"/>
      <c r="CM28" s="764"/>
      <c r="CN28" s="764"/>
      <c r="CO28" s="764"/>
      <c r="CP28" s="764"/>
      <c r="CQ28" s="764"/>
      <c r="CR28" s="764"/>
      <c r="CS28" s="764"/>
      <c r="CT28" s="764"/>
      <c r="CU28" s="764"/>
      <c r="CV28" s="764"/>
      <c r="CW28" s="764"/>
      <c r="CX28" s="764"/>
      <c r="CY28" s="764"/>
      <c r="CZ28" s="764"/>
      <c r="DA28" s="764"/>
      <c r="DB28" s="764"/>
    </row>
    <row r="29" spans="1:158">
      <c r="A29" s="899" t="s">
        <v>723</v>
      </c>
      <c r="B29" s="899"/>
      <c r="C29" s="899"/>
      <c r="D29" s="899"/>
      <c r="E29" s="899"/>
      <c r="F29" s="899"/>
      <c r="G29" s="899"/>
      <c r="H29" s="899"/>
      <c r="I29" s="899"/>
      <c r="J29" s="899"/>
      <c r="K29" s="899"/>
      <c r="L29" s="899"/>
      <c r="M29" s="899"/>
      <c r="N29" s="899"/>
      <c r="O29" s="899"/>
      <c r="P29" s="899"/>
      <c r="Q29" s="899"/>
      <c r="R29" s="899"/>
      <c r="S29" s="899"/>
      <c r="T29" s="899"/>
      <c r="U29" s="899"/>
      <c r="V29" s="899"/>
      <c r="W29" s="899"/>
      <c r="X29" s="899"/>
      <c r="Y29" s="899"/>
      <c r="Z29" s="899"/>
      <c r="AA29" s="899"/>
      <c r="AB29" s="899"/>
      <c r="AC29" s="899"/>
      <c r="AD29" s="899"/>
      <c r="AE29" s="899"/>
      <c r="AF29" s="899"/>
      <c r="AG29" s="899"/>
      <c r="AH29" s="899"/>
      <c r="AI29" s="899"/>
      <c r="AJ29" s="899"/>
      <c r="AK29" s="899"/>
      <c r="AL29" s="899"/>
      <c r="AM29" s="899"/>
      <c r="AN29" s="899"/>
      <c r="AO29" s="899"/>
      <c r="AP29" s="899"/>
      <c r="AQ29" s="899"/>
      <c r="AR29" s="899"/>
      <c r="AS29" s="899"/>
      <c r="AT29" s="899"/>
      <c r="AU29" s="899"/>
      <c r="AV29" s="899"/>
      <c r="AW29" s="899"/>
      <c r="AX29" s="899"/>
      <c r="AY29" s="899"/>
      <c r="AZ29" s="899"/>
      <c r="BA29" s="899"/>
      <c r="BB29" s="899"/>
      <c r="BC29" s="899"/>
      <c r="BD29" s="899"/>
      <c r="BE29" s="899"/>
      <c r="BF29" s="899"/>
      <c r="BG29" s="899"/>
      <c r="BH29" s="899"/>
      <c r="BI29" s="899"/>
      <c r="BJ29" s="899"/>
      <c r="BK29" s="899"/>
      <c r="BL29" s="899"/>
      <c r="BM29" s="899"/>
      <c r="BN29" s="899"/>
      <c r="BO29" s="899"/>
      <c r="BP29" s="899"/>
      <c r="BQ29" s="899"/>
      <c r="BR29" s="899"/>
      <c r="BS29" s="899"/>
      <c r="BT29" s="899"/>
      <c r="BU29" s="899"/>
      <c r="BV29" s="899"/>
      <c r="BW29" s="899"/>
      <c r="BX29" s="899"/>
      <c r="BY29" s="899"/>
      <c r="BZ29" s="899"/>
      <c r="CA29" s="899"/>
      <c r="CB29" s="899"/>
      <c r="CC29" s="899"/>
      <c r="CD29" s="899"/>
      <c r="CE29" s="899"/>
      <c r="CF29" s="899"/>
      <c r="CG29" s="899"/>
      <c r="CH29" s="899"/>
      <c r="CI29" s="899"/>
      <c r="CJ29" s="899"/>
      <c r="CK29" s="899"/>
      <c r="CL29" s="899"/>
      <c r="CM29" s="899"/>
      <c r="CN29" s="899"/>
      <c r="CO29" s="899"/>
      <c r="CP29" s="899"/>
      <c r="CQ29" s="899"/>
      <c r="CR29" s="899"/>
      <c r="CS29" s="899"/>
      <c r="CT29" s="899"/>
      <c r="CU29" s="899"/>
      <c r="CV29" s="899"/>
      <c r="CW29" s="899"/>
      <c r="CX29" s="899"/>
      <c r="CY29" s="899"/>
      <c r="CZ29" s="899"/>
      <c r="DA29" s="899"/>
      <c r="DB29" s="899"/>
    </row>
    <row r="30" spans="1:158" ht="11.15" customHeight="1">
      <c r="A30" s="900" t="s">
        <v>456</v>
      </c>
      <c r="B30" s="900"/>
      <c r="C30" s="900"/>
      <c r="D30" s="900"/>
      <c r="E30" s="900"/>
      <c r="F30" s="900"/>
      <c r="G30" s="900"/>
      <c r="H30" s="900"/>
      <c r="I30" s="900"/>
      <c r="J30" s="900"/>
      <c r="K30" s="900"/>
      <c r="L30" s="900"/>
      <c r="M30" s="900"/>
      <c r="N30" s="900"/>
      <c r="O30" s="900"/>
      <c r="P30" s="900"/>
      <c r="Q30" s="900"/>
      <c r="R30" s="900"/>
      <c r="S30" s="900"/>
      <c r="T30" s="900"/>
      <c r="U30" s="900"/>
      <c r="V30" s="900"/>
      <c r="W30" s="900"/>
      <c r="X30" s="900"/>
      <c r="Y30" s="900"/>
      <c r="Z30" s="900"/>
      <c r="AA30" s="900"/>
      <c r="AB30" s="900"/>
      <c r="AC30" s="900"/>
      <c r="AD30" s="900"/>
      <c r="AE30" s="900"/>
      <c r="AF30" s="900"/>
      <c r="AG30" s="900"/>
      <c r="AH30" s="900"/>
      <c r="AI30" s="900"/>
      <c r="AJ30" s="900"/>
      <c r="AK30" s="900"/>
      <c r="AL30" s="900"/>
      <c r="AM30" s="900"/>
      <c r="AN30" s="900"/>
      <c r="AO30" s="900"/>
      <c r="AP30" s="900"/>
      <c r="AQ30" s="900"/>
      <c r="AR30" s="900"/>
      <c r="AS30" s="900"/>
      <c r="AT30" s="900"/>
      <c r="AU30" s="900"/>
      <c r="AV30" s="900"/>
      <c r="AW30" s="900"/>
      <c r="AX30" s="900"/>
      <c r="AY30" s="900"/>
      <c r="AZ30" s="900"/>
      <c r="BA30" s="900"/>
      <c r="BB30" s="900"/>
      <c r="BC30" s="900"/>
      <c r="BD30" s="900"/>
      <c r="BE30" s="900"/>
      <c r="BF30" s="900"/>
      <c r="BG30" s="900"/>
      <c r="BH30" s="900"/>
      <c r="BI30" s="900"/>
      <c r="BJ30" s="900"/>
      <c r="BK30" s="900"/>
      <c r="BL30" s="900"/>
      <c r="BM30" s="900"/>
      <c r="BN30" s="900"/>
      <c r="BO30" s="900"/>
      <c r="BP30" s="900"/>
      <c r="BQ30" s="900"/>
      <c r="BR30" s="900"/>
      <c r="BS30" s="900"/>
      <c r="BT30" s="900"/>
      <c r="BU30" s="900"/>
      <c r="BV30" s="900"/>
      <c r="BW30" s="900"/>
      <c r="BX30" s="900"/>
      <c r="BY30" s="900"/>
      <c r="BZ30" s="900"/>
      <c r="CA30" s="900"/>
      <c r="CB30" s="900"/>
      <c r="CC30" s="900"/>
      <c r="CD30" s="900"/>
      <c r="CE30" s="900"/>
      <c r="CF30" s="900"/>
      <c r="CG30" s="900"/>
      <c r="CH30" s="900"/>
      <c r="CI30" s="900"/>
      <c r="CJ30" s="900"/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</row>
    <row r="31" spans="1:158" ht="6.65" customHeight="1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898" t="s">
        <v>457</v>
      </c>
      <c r="B32" s="898"/>
      <c r="C32" s="898"/>
      <c r="D32" s="898"/>
      <c r="E32" s="898"/>
      <c r="F32" s="898"/>
      <c r="G32" s="898"/>
      <c r="H32" s="898"/>
      <c r="I32" s="898"/>
      <c r="J32" s="898"/>
      <c r="K32" s="898"/>
      <c r="L32" s="898"/>
      <c r="M32" s="898"/>
      <c r="N32" s="898"/>
      <c r="O32" s="898"/>
      <c r="P32" s="898"/>
      <c r="Q32" s="898"/>
      <c r="R32" s="898"/>
      <c r="S32" s="898"/>
      <c r="T32" s="898"/>
      <c r="U32" s="898"/>
      <c r="V32" s="898"/>
      <c r="W32" s="898"/>
      <c r="X32" s="898"/>
      <c r="Y32" s="898"/>
      <c r="Z32" s="898"/>
      <c r="AA32" s="898"/>
      <c r="AB32" s="898"/>
      <c r="AC32" s="898"/>
      <c r="AD32" s="898"/>
      <c r="AE32" s="898"/>
      <c r="AF32" s="898"/>
      <c r="AG32" s="898"/>
      <c r="AH32" s="898"/>
      <c r="AI32" s="898"/>
      <c r="AJ32" s="898"/>
      <c r="AK32" s="898"/>
      <c r="AL32" s="898"/>
      <c r="AM32" s="898"/>
      <c r="AN32" s="898"/>
      <c r="AO32" s="898"/>
      <c r="AP32" s="898"/>
      <c r="AQ32" s="898"/>
      <c r="AR32" s="898"/>
      <c r="AS32" s="898"/>
      <c r="AT32" s="898"/>
      <c r="AU32" s="898"/>
      <c r="AV32" s="898"/>
      <c r="AW32" s="898"/>
      <c r="AX32" s="898"/>
      <c r="AY32" s="898"/>
      <c r="AZ32" s="898"/>
      <c r="BA32" s="898"/>
      <c r="BB32" s="898"/>
      <c r="BC32" s="898"/>
      <c r="BD32" s="898"/>
      <c r="BE32" s="898"/>
      <c r="BF32" s="898"/>
      <c r="BG32" s="898"/>
      <c r="BH32" s="898"/>
      <c r="BI32" s="898"/>
      <c r="BJ32" s="898"/>
      <c r="BK32" s="898"/>
      <c r="BL32" s="898"/>
      <c r="BM32" s="898"/>
      <c r="BN32" s="898"/>
      <c r="BO32" s="898"/>
      <c r="BP32" s="898"/>
      <c r="BQ32" s="898"/>
      <c r="BR32" s="898"/>
      <c r="BS32" s="898"/>
      <c r="BT32" s="898"/>
      <c r="BU32" s="898"/>
      <c r="BV32" s="898"/>
      <c r="BW32" s="898"/>
      <c r="BX32" s="898"/>
      <c r="BY32" s="898"/>
      <c r="BZ32" s="898"/>
      <c r="CA32" s="898"/>
      <c r="CB32" s="898"/>
      <c r="CC32" s="898"/>
      <c r="CD32" s="898"/>
      <c r="CE32" s="898"/>
      <c r="CF32" s="898"/>
      <c r="CG32" s="898"/>
      <c r="CH32" s="898"/>
      <c r="CI32" s="898"/>
      <c r="CJ32" s="898"/>
      <c r="CK32" s="898"/>
      <c r="CL32" s="898"/>
      <c r="CM32" s="898"/>
      <c r="CN32" s="898"/>
      <c r="CO32" s="898"/>
      <c r="CP32" s="898"/>
      <c r="CQ32" s="898"/>
      <c r="CR32" s="898"/>
      <c r="CS32" s="898"/>
      <c r="CT32" s="898"/>
      <c r="CU32" s="898"/>
      <c r="CV32" s="898"/>
      <c r="CW32" s="898"/>
      <c r="CX32" s="898"/>
      <c r="CY32" s="898"/>
      <c r="CZ32" s="898"/>
      <c r="DA32" s="898"/>
      <c r="DB32" s="898"/>
    </row>
    <row r="33" spans="1:158">
      <c r="A33" s="902" t="str">
        <f>CONCATENATE(ФОРМА!B9)</f>
        <v>СЭС-23-32939-ЭС-ТКР2</v>
      </c>
      <c r="B33" s="902"/>
      <c r="C33" s="902"/>
      <c r="D33" s="902"/>
      <c r="E33" s="902"/>
      <c r="F33" s="902"/>
      <c r="G33" s="902"/>
      <c r="H33" s="902"/>
      <c r="I33" s="902"/>
      <c r="J33" s="902"/>
      <c r="K33" s="902"/>
      <c r="L33" s="902"/>
      <c r="M33" s="902"/>
      <c r="N33" s="902"/>
      <c r="O33" s="902"/>
      <c r="P33" s="902"/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902"/>
      <c r="BB33" s="902"/>
      <c r="BC33" s="902"/>
      <c r="BD33" s="902"/>
      <c r="BE33" s="902"/>
      <c r="BF33" s="902"/>
      <c r="BG33" s="902"/>
      <c r="BH33" s="902"/>
      <c r="BI33" s="902"/>
      <c r="BJ33" s="902"/>
      <c r="BK33" s="902"/>
      <c r="BL33" s="902"/>
      <c r="BM33" s="902"/>
      <c r="BN33" s="902"/>
      <c r="BO33" s="902"/>
      <c r="BP33" s="902"/>
      <c r="BQ33" s="902"/>
      <c r="BR33" s="902"/>
      <c r="BS33" s="902"/>
      <c r="BT33" s="902"/>
      <c r="BU33" s="902"/>
      <c r="BV33" s="902"/>
      <c r="BW33" s="902"/>
      <c r="BX33" s="902"/>
      <c r="BY33" s="902"/>
      <c r="BZ33" s="902"/>
      <c r="CA33" s="902"/>
      <c r="CB33" s="902"/>
      <c r="CC33" s="902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2"/>
      <c r="CU33" s="902"/>
      <c r="CV33" s="902"/>
      <c r="CW33" s="902"/>
      <c r="CX33" s="902"/>
      <c r="CY33" s="902"/>
      <c r="CZ33" s="902"/>
      <c r="DA33" s="902"/>
      <c r="DB33" s="902"/>
    </row>
    <row r="34" spans="1:158" ht="11.15" customHeight="1">
      <c r="A34" s="901" t="s">
        <v>458</v>
      </c>
      <c r="B34" s="901"/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  <c r="Q34" s="901"/>
      <c r="R34" s="901"/>
      <c r="S34" s="901"/>
      <c r="T34" s="901"/>
      <c r="U34" s="901"/>
      <c r="V34" s="901"/>
      <c r="W34" s="901"/>
      <c r="X34" s="901"/>
      <c r="Y34" s="901"/>
      <c r="Z34" s="901"/>
      <c r="AA34" s="901"/>
      <c r="AB34" s="901"/>
      <c r="AC34" s="901"/>
      <c r="AD34" s="901"/>
      <c r="AE34" s="901"/>
      <c r="AF34" s="901"/>
      <c r="AG34" s="901"/>
      <c r="AH34" s="901"/>
      <c r="AI34" s="901"/>
      <c r="AJ34" s="901"/>
      <c r="AK34" s="901"/>
      <c r="AL34" s="901"/>
      <c r="AM34" s="901"/>
      <c r="AN34" s="901"/>
      <c r="AO34" s="901"/>
      <c r="AP34" s="901"/>
      <c r="AQ34" s="901"/>
      <c r="AR34" s="901"/>
      <c r="AS34" s="901"/>
      <c r="AT34" s="901"/>
      <c r="AU34" s="901"/>
      <c r="AV34" s="901"/>
      <c r="AW34" s="901"/>
      <c r="AX34" s="901"/>
      <c r="AY34" s="901"/>
      <c r="AZ34" s="901"/>
      <c r="BA34" s="901"/>
      <c r="BB34" s="901"/>
      <c r="BC34" s="901"/>
      <c r="BD34" s="901"/>
      <c r="BE34" s="901"/>
      <c r="BF34" s="901"/>
      <c r="BG34" s="901"/>
      <c r="BH34" s="901"/>
      <c r="BI34" s="901"/>
      <c r="BJ34" s="901"/>
      <c r="BK34" s="901"/>
      <c r="BL34" s="901"/>
      <c r="BM34" s="901"/>
      <c r="BN34" s="901"/>
      <c r="BO34" s="901"/>
      <c r="BP34" s="901"/>
      <c r="BQ34" s="901"/>
      <c r="BR34" s="901"/>
      <c r="BS34" s="901"/>
      <c r="BT34" s="901"/>
      <c r="BU34" s="901"/>
      <c r="BV34" s="901"/>
      <c r="BW34" s="901"/>
      <c r="BX34" s="901"/>
      <c r="BY34" s="901"/>
      <c r="BZ34" s="901"/>
      <c r="CA34" s="901"/>
      <c r="CB34" s="901"/>
      <c r="CC34" s="901"/>
      <c r="CD34" s="901"/>
      <c r="CE34" s="901"/>
      <c r="CF34" s="901"/>
      <c r="CG34" s="901"/>
      <c r="CH34" s="901"/>
      <c r="CI34" s="901"/>
      <c r="CJ34" s="901"/>
      <c r="CK34" s="901"/>
      <c r="CL34" s="901"/>
      <c r="CM34" s="901"/>
      <c r="CN34" s="901"/>
      <c r="CO34" s="901"/>
      <c r="CP34" s="901"/>
      <c r="CQ34" s="901"/>
      <c r="CR34" s="901"/>
      <c r="CS34" s="901"/>
      <c r="CT34" s="901"/>
      <c r="CU34" s="901"/>
      <c r="CV34" s="901"/>
      <c r="CW34" s="901"/>
      <c r="CX34" s="901"/>
      <c r="CY34" s="901"/>
      <c r="CZ34" s="901"/>
      <c r="DA34" s="901"/>
      <c r="DB34" s="901"/>
    </row>
    <row r="35" spans="1:158" ht="17.5" customHeight="1">
      <c r="A35" s="898" t="s">
        <v>459</v>
      </c>
      <c r="B35" s="898"/>
      <c r="C35" s="898"/>
      <c r="D35" s="898"/>
      <c r="E35" s="898"/>
      <c r="F35" s="898"/>
      <c r="G35" s="898"/>
      <c r="H35" s="898"/>
      <c r="I35" s="898"/>
      <c r="J35" s="898"/>
      <c r="K35" s="898"/>
      <c r="L35" s="898"/>
      <c r="M35" s="898"/>
      <c r="N35" s="898"/>
      <c r="O35" s="898"/>
      <c r="P35" s="898"/>
      <c r="Q35" s="898"/>
      <c r="R35" s="898"/>
      <c r="S35" s="898"/>
      <c r="T35" s="898"/>
      <c r="U35" s="898"/>
      <c r="V35" s="898"/>
      <c r="W35" s="898"/>
      <c r="X35" s="898"/>
      <c r="Y35" s="898"/>
      <c r="Z35" s="898"/>
      <c r="AA35" s="898"/>
      <c r="AB35" s="898"/>
      <c r="AC35" s="898"/>
      <c r="AD35" s="898"/>
      <c r="AE35" s="898"/>
      <c r="AF35" s="898"/>
      <c r="AG35" s="898"/>
      <c r="AH35" s="898"/>
      <c r="AI35" s="898"/>
      <c r="AJ35" s="898"/>
      <c r="AK35" s="898"/>
      <c r="AL35" s="898"/>
      <c r="AM35" s="898"/>
      <c r="AN35" s="898"/>
      <c r="AO35" s="898"/>
      <c r="AP35" s="902" t="str">
        <f>IF(DC35="Здание",CONCATENATE(ФОРМА!B8,)," ")</f>
        <v>ООО «Строительные энергетические технологии»</v>
      </c>
      <c r="AQ35" s="902"/>
      <c r="AR35" s="902"/>
      <c r="AS35" s="902"/>
      <c r="AT35" s="902"/>
      <c r="AU35" s="902"/>
      <c r="AV35" s="902"/>
      <c r="AW35" s="902"/>
      <c r="AX35" s="902"/>
      <c r="AY35" s="902"/>
      <c r="AZ35" s="902"/>
      <c r="BA35" s="902"/>
      <c r="BB35" s="902"/>
      <c r="BC35" s="902"/>
      <c r="BD35" s="902"/>
      <c r="BE35" s="902"/>
      <c r="BF35" s="902"/>
      <c r="BG35" s="902"/>
      <c r="BH35" s="902"/>
      <c r="BI35" s="902"/>
      <c r="BJ35" s="902"/>
      <c r="BK35" s="902"/>
      <c r="BL35" s="902"/>
      <c r="BM35" s="902"/>
      <c r="BN35" s="902"/>
      <c r="BO35" s="902"/>
      <c r="BP35" s="902"/>
      <c r="BQ35" s="902"/>
      <c r="BR35" s="902"/>
      <c r="BS35" s="902"/>
      <c r="BT35" s="902"/>
      <c r="BU35" s="902"/>
      <c r="BV35" s="902"/>
      <c r="BW35" s="902"/>
      <c r="BX35" s="902"/>
      <c r="BY35" s="902"/>
      <c r="BZ35" s="902"/>
      <c r="CA35" s="902"/>
      <c r="CB35" s="902"/>
      <c r="CC35" s="902"/>
      <c r="CD35" s="902"/>
      <c r="CE35" s="902"/>
      <c r="CF35" s="902"/>
      <c r="CG35" s="902"/>
      <c r="CH35" s="902"/>
      <c r="CI35" s="902"/>
      <c r="CJ35" s="902"/>
      <c r="CK35" s="902"/>
      <c r="CL35" s="902"/>
      <c r="CM35" s="902"/>
      <c r="CN35" s="902"/>
      <c r="CO35" s="902"/>
      <c r="CP35" s="902"/>
      <c r="CQ35" s="902"/>
      <c r="CR35" s="902"/>
      <c r="CS35" s="902"/>
      <c r="CT35" s="902"/>
      <c r="CU35" s="902"/>
      <c r="CV35" s="902"/>
      <c r="CW35" s="902"/>
      <c r="CX35" s="902"/>
      <c r="CY35" s="902"/>
      <c r="CZ35" s="902"/>
      <c r="DA35" s="902"/>
      <c r="DB35" s="902"/>
      <c r="DC35" t="s">
        <v>604</v>
      </c>
    </row>
    <row r="36" spans="1:158" ht="11.15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904" t="s">
        <v>460</v>
      </c>
      <c r="AQ36" s="904"/>
      <c r="AR36" s="904"/>
      <c r="AS36" s="904"/>
      <c r="AT36" s="904"/>
      <c r="AU36" s="904"/>
      <c r="AV36" s="904"/>
      <c r="AW36" s="904"/>
      <c r="AX36" s="904"/>
      <c r="AY36" s="904"/>
      <c r="AZ36" s="904"/>
      <c r="BA36" s="904"/>
      <c r="BB36" s="904"/>
      <c r="BC36" s="904"/>
      <c r="BD36" s="904"/>
      <c r="BE36" s="904"/>
      <c r="BF36" s="904"/>
      <c r="BG36" s="904"/>
      <c r="BH36" s="904"/>
      <c r="BI36" s="904"/>
      <c r="BJ36" s="904"/>
      <c r="BK36" s="904"/>
      <c r="BL36" s="904"/>
      <c r="BM36" s="904"/>
      <c r="BN36" s="904"/>
      <c r="BO36" s="904"/>
      <c r="BP36" s="904"/>
      <c r="BQ36" s="904"/>
      <c r="BR36" s="904"/>
      <c r="BS36" s="904"/>
      <c r="BT36" s="904"/>
      <c r="BU36" s="904"/>
      <c r="BV36" s="904"/>
      <c r="BW36" s="904"/>
      <c r="BX36" s="904"/>
      <c r="BY36" s="904"/>
      <c r="BZ36" s="904"/>
      <c r="CA36" s="904"/>
      <c r="CB36" s="904"/>
      <c r="CC36" s="904"/>
      <c r="CD36" s="904"/>
      <c r="CE36" s="904"/>
      <c r="CF36" s="904"/>
      <c r="CG36" s="904"/>
      <c r="CH36" s="904"/>
      <c r="CI36" s="904"/>
      <c r="CJ36" s="904"/>
      <c r="CK36" s="904"/>
      <c r="CL36" s="904"/>
      <c r="CM36" s="904"/>
      <c r="CN36" s="904"/>
      <c r="CO36" s="904"/>
      <c r="CP36" s="904"/>
      <c r="CQ36" s="904"/>
      <c r="CR36" s="904"/>
      <c r="CS36" s="904"/>
      <c r="CT36" s="904"/>
      <c r="CU36" s="904"/>
      <c r="CV36" s="904"/>
      <c r="CW36" s="904"/>
      <c r="CX36" s="904"/>
      <c r="CY36" s="904"/>
      <c r="CZ36" s="904"/>
      <c r="DA36" s="904"/>
      <c r="DB36" s="904"/>
    </row>
    <row r="37" spans="1:158" ht="11.1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74" t="s">
        <v>461</v>
      </c>
      <c r="B38" s="774"/>
      <c r="C38" s="774"/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  <c r="X38" s="774"/>
      <c r="Y38" s="774"/>
      <c r="Z38" s="774"/>
      <c r="AA38" s="774"/>
      <c r="AB38" s="774"/>
      <c r="AC38" s="774"/>
      <c r="AD38" s="774"/>
      <c r="AE38" s="774"/>
      <c r="AF38" s="774"/>
      <c r="AG38" s="774"/>
      <c r="AH38" s="774"/>
      <c r="AI38" s="774"/>
      <c r="AJ38" s="774"/>
      <c r="AK38" s="774"/>
      <c r="AL38" s="774"/>
      <c r="AM38" s="774"/>
      <c r="AN38" s="774"/>
      <c r="AO38" s="774"/>
      <c r="AP38" s="774"/>
      <c r="AQ38" s="774"/>
      <c r="AR38" s="774"/>
      <c r="AS38" s="774"/>
      <c r="AT38" s="774"/>
      <c r="AU38" s="774"/>
      <c r="AV38" s="774"/>
      <c r="AW38" s="774"/>
      <c r="AX38" s="774"/>
      <c r="AY38" s="774"/>
      <c r="AZ38" s="774"/>
      <c r="BA38" s="774"/>
      <c r="BB38" s="774"/>
      <c r="BC38" s="774"/>
      <c r="BD38" s="774"/>
      <c r="BE38" s="774"/>
      <c r="BF38" s="774"/>
      <c r="BG38" s="774"/>
      <c r="BH38" s="774"/>
      <c r="BI38" s="774"/>
      <c r="BJ38" s="774"/>
      <c r="BK38" s="774"/>
      <c r="BL38" s="774"/>
      <c r="BM38" s="774"/>
      <c r="BN38" s="774"/>
      <c r="BO38" s="774"/>
      <c r="BP38" s="774"/>
      <c r="BQ38" s="774"/>
      <c r="BR38" s="774"/>
      <c r="BS38" s="774"/>
      <c r="BT38" s="774"/>
      <c r="BU38" s="774"/>
      <c r="BV38" s="774"/>
      <c r="BW38" s="774"/>
      <c r="BX38" s="774"/>
      <c r="BY38" s="774"/>
      <c r="BZ38" s="774"/>
      <c r="CA38" s="774"/>
      <c r="CB38" s="774"/>
      <c r="CC38" s="774"/>
      <c r="CD38" s="774"/>
      <c r="CE38" s="774"/>
      <c r="CF38" s="774"/>
      <c r="CG38" s="774"/>
      <c r="CH38" s="774"/>
      <c r="CI38" s="774"/>
      <c r="CJ38" s="774"/>
      <c r="CK38" s="774"/>
      <c r="CL38" s="774"/>
      <c r="CM38" s="774"/>
      <c r="CN38" s="774"/>
      <c r="CO38" s="774"/>
      <c r="CP38" s="774"/>
      <c r="CQ38" s="774"/>
      <c r="CR38" s="774"/>
      <c r="CS38" s="774"/>
      <c r="CT38" s="774"/>
      <c r="CU38" s="774"/>
      <c r="CV38" s="774"/>
      <c r="CW38" s="774"/>
      <c r="CX38" s="774"/>
      <c r="CY38" s="774"/>
      <c r="CZ38" s="774"/>
      <c r="DA38" s="774"/>
      <c r="DB38" s="774"/>
    </row>
    <row r="39" spans="1:158">
      <c r="A39" s="764" t="s">
        <v>462</v>
      </c>
      <c r="B39" s="764"/>
      <c r="C39" s="764"/>
      <c r="D39" s="764"/>
      <c r="E39" s="764"/>
      <c r="F39" s="764"/>
      <c r="G39" s="764"/>
      <c r="H39" s="764"/>
      <c r="I39" s="764"/>
      <c r="J39" s="764"/>
      <c r="K39" s="764"/>
      <c r="L39" s="764"/>
      <c r="M39" s="764"/>
      <c r="N39" s="764"/>
      <c r="O39" s="764"/>
      <c r="P39" s="764"/>
      <c r="Q39" s="764"/>
      <c r="R39" s="764"/>
      <c r="S39" s="764"/>
      <c r="T39" s="764"/>
      <c r="U39" s="764"/>
      <c r="V39" s="764"/>
      <c r="W39" s="764"/>
      <c r="X39" s="764"/>
      <c r="Y39" s="764"/>
      <c r="Z39" s="764"/>
      <c r="AA39" s="764"/>
      <c r="AB39" s="764"/>
      <c r="AC39" s="764"/>
      <c r="AD39" s="764"/>
      <c r="AE39" s="764"/>
      <c r="AF39" s="764"/>
      <c r="AG39" s="764"/>
      <c r="AH39" s="764"/>
      <c r="AI39" s="764"/>
      <c r="AJ39" s="764"/>
      <c r="AK39" s="764"/>
      <c r="AL39" s="764"/>
      <c r="AM39" s="764"/>
      <c r="AN39" s="764"/>
      <c r="AO39" s="764"/>
      <c r="AP39" s="764"/>
      <c r="AQ39" s="764"/>
      <c r="AR39" s="764"/>
      <c r="AS39" s="764"/>
      <c r="AT39" s="764"/>
      <c r="AU39" s="764"/>
      <c r="AV39" s="764"/>
      <c r="AW39" s="764"/>
      <c r="AX39" s="764"/>
      <c r="AY39" s="764"/>
      <c r="AZ39" s="764"/>
      <c r="BA39" s="764"/>
      <c r="BB39" s="764"/>
      <c r="BC39" s="764"/>
      <c r="BD39" s="764"/>
      <c r="BE39" s="764"/>
      <c r="BF39" s="764"/>
      <c r="BG39" s="764"/>
      <c r="BH39" s="764"/>
      <c r="BI39" s="764"/>
      <c r="BJ39" s="764"/>
      <c r="BK39" s="764"/>
      <c r="BL39" s="764"/>
      <c r="BM39" s="764"/>
      <c r="BN39" s="764"/>
      <c r="BO39" s="764"/>
      <c r="BP39" s="764"/>
      <c r="BQ39" s="764"/>
      <c r="BR39" s="764"/>
      <c r="BS39" s="764"/>
      <c r="BT39" s="764"/>
      <c r="BU39" s="764"/>
      <c r="BV39" s="764"/>
      <c r="BW39" s="764"/>
      <c r="BX39" s="764"/>
      <c r="BY39" s="764"/>
      <c r="BZ39" s="764"/>
      <c r="CA39" s="764"/>
      <c r="CB39" s="764"/>
      <c r="CC39" s="764"/>
      <c r="CD39" s="764"/>
      <c r="CE39" s="764"/>
      <c r="CF39" s="764"/>
      <c r="CG39" s="764"/>
      <c r="CH39" s="764"/>
      <c r="CI39" s="764"/>
      <c r="CJ39" s="764"/>
      <c r="CK39" s="764"/>
      <c r="CL39" s="764"/>
      <c r="CM39" s="764"/>
      <c r="CN39" s="764"/>
      <c r="CO39" s="764"/>
      <c r="CP39" s="764"/>
      <c r="CQ39" s="764"/>
      <c r="CR39" s="764"/>
      <c r="CS39" s="764"/>
      <c r="CT39" s="764"/>
      <c r="CU39" s="764"/>
      <c r="CV39" s="764"/>
      <c r="CW39" s="764"/>
      <c r="CX39" s="764"/>
      <c r="CY39" s="764"/>
      <c r="CZ39" s="764"/>
      <c r="DA39" s="764"/>
      <c r="DB39" s="764"/>
    </row>
    <row r="40" spans="1:158" ht="11.1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64" t="s">
        <v>508</v>
      </c>
      <c r="B41" s="764"/>
      <c r="C41" s="764"/>
      <c r="D41" s="764"/>
      <c r="E41" s="764"/>
      <c r="F41" s="764"/>
      <c r="G41" s="764"/>
      <c r="H41" s="764"/>
      <c r="I41" s="764"/>
      <c r="J41" s="764"/>
      <c r="K41" s="764"/>
      <c r="L41" s="764"/>
      <c r="M41" s="764"/>
      <c r="N41" s="764"/>
      <c r="O41" s="764"/>
      <c r="P41" s="764"/>
      <c r="Q41" s="764"/>
      <c r="R41" s="764"/>
      <c r="S41" s="764"/>
      <c r="T41" s="764"/>
      <c r="U41" s="764"/>
      <c r="V41" s="764"/>
      <c r="W41" s="764"/>
      <c r="X41" s="764"/>
      <c r="Y41" s="764"/>
      <c r="Z41" s="764"/>
      <c r="AA41" s="764"/>
      <c r="AB41" s="764"/>
      <c r="AC41" s="764"/>
      <c r="AD41" s="764"/>
      <c r="AE41" s="764"/>
      <c r="AF41" s="764"/>
      <c r="AG41" s="764"/>
      <c r="AH41" s="764"/>
      <c r="AI41" s="764"/>
      <c r="AJ41" s="764"/>
      <c r="AK41" s="764"/>
      <c r="AL41" s="764"/>
      <c r="AM41" s="764"/>
      <c r="AN41" s="764"/>
      <c r="AO41" s="764"/>
      <c r="AP41" s="764"/>
      <c r="AQ41" s="764"/>
      <c r="AR41" s="764"/>
      <c r="AS41" s="764"/>
      <c r="AT41" s="764"/>
      <c r="AU41" s="764"/>
      <c r="AV41" s="764"/>
      <c r="AW41" s="764"/>
      <c r="AX41" s="764"/>
      <c r="AY41" s="764"/>
      <c r="AZ41" s="764"/>
      <c r="BA41" s="764"/>
      <c r="BB41" s="764"/>
      <c r="BC41" s="764"/>
      <c r="BD41" s="764"/>
      <c r="BE41" s="764"/>
      <c r="BF41" s="764"/>
      <c r="BG41" s="764"/>
      <c r="BH41" s="764"/>
      <c r="BI41" s="764"/>
      <c r="BJ41" s="764"/>
      <c r="BK41" s="764"/>
      <c r="BL41" s="764"/>
      <c r="BM41" s="764"/>
      <c r="BN41" s="764"/>
      <c r="BO41" s="764"/>
      <c r="BP41" s="764"/>
      <c r="BQ41" s="764"/>
      <c r="BR41" s="764"/>
      <c r="BS41" s="764"/>
      <c r="BT41" s="764"/>
      <c r="BU41" s="764"/>
      <c r="BV41" s="764"/>
      <c r="BW41" s="764"/>
      <c r="BX41" s="764"/>
      <c r="BY41" s="764"/>
      <c r="BZ41" s="764"/>
      <c r="CA41" s="764"/>
      <c r="CB41" s="764"/>
      <c r="CC41" s="764"/>
      <c r="CD41" s="764"/>
      <c r="CE41" s="764"/>
      <c r="CF41" s="764"/>
      <c r="CG41" s="764"/>
      <c r="CH41" s="764"/>
      <c r="CI41" s="764"/>
      <c r="CJ41" s="764"/>
      <c r="CK41" s="764"/>
      <c r="CL41" s="764"/>
      <c r="CM41" s="764"/>
      <c r="CN41" s="764"/>
      <c r="CO41" s="764"/>
      <c r="CP41" s="764"/>
      <c r="CQ41" s="764"/>
      <c r="CR41" s="764"/>
      <c r="CS41" s="764"/>
      <c r="CT41" s="764"/>
      <c r="CU41" s="764"/>
      <c r="CV41" s="764"/>
      <c r="CW41" s="764"/>
      <c r="CX41" s="764"/>
      <c r="CY41" s="764"/>
      <c r="CZ41" s="764"/>
      <c r="DA41" s="764"/>
      <c r="DB41" s="764"/>
    </row>
    <row r="42" spans="1:158" ht="15" customHeight="1">
      <c r="A42" s="764" t="s">
        <v>509</v>
      </c>
      <c r="B42" s="764"/>
      <c r="C42" s="764"/>
      <c r="D42" s="764"/>
      <c r="E42" s="764"/>
      <c r="F42" s="764"/>
      <c r="G42" s="764"/>
      <c r="H42" s="764"/>
      <c r="I42" s="764"/>
      <c r="J42" s="764"/>
      <c r="K42" s="764"/>
      <c r="L42" s="764"/>
      <c r="M42" s="764"/>
      <c r="N42" s="764"/>
      <c r="O42" s="764"/>
      <c r="P42" s="764"/>
      <c r="Q42" s="764"/>
      <c r="R42" s="764"/>
      <c r="S42" s="764"/>
      <c r="T42" s="764"/>
      <c r="U42" s="764"/>
      <c r="V42" s="764"/>
      <c r="W42" s="764"/>
      <c r="X42" s="764"/>
      <c r="Y42" s="764"/>
      <c r="Z42" s="764"/>
      <c r="AA42" s="764"/>
      <c r="AB42" s="764"/>
      <c r="AC42" s="764"/>
      <c r="AD42" s="911"/>
      <c r="AE42" s="911"/>
      <c r="AF42" s="911"/>
      <c r="AG42" s="911"/>
      <c r="AH42" s="911"/>
      <c r="AI42" s="911"/>
      <c r="AJ42" s="911"/>
      <c r="AK42" s="911"/>
      <c r="AL42" s="911"/>
      <c r="AM42" s="911"/>
      <c r="AN42" s="911"/>
      <c r="AO42" s="911"/>
      <c r="AP42" s="911"/>
      <c r="AQ42" s="911"/>
      <c r="AR42" s="911"/>
      <c r="AS42" s="911"/>
      <c r="AT42" s="911"/>
      <c r="AU42" s="911"/>
      <c r="AV42" s="911"/>
      <c r="AW42" s="906">
        <v>20</v>
      </c>
      <c r="AX42" s="906"/>
      <c r="AY42" s="906"/>
      <c r="AZ42" s="906"/>
      <c r="BA42" s="905"/>
      <c r="BB42" s="905"/>
      <c r="BC42" s="905"/>
      <c r="BD42" s="905"/>
      <c r="BE42" s="898" t="s">
        <v>510</v>
      </c>
      <c r="BF42" s="898"/>
      <c r="BG42" s="898"/>
      <c r="BH42" s="898"/>
      <c r="BI42" s="898"/>
      <c r="BJ42" s="898"/>
      <c r="BK42" s="898"/>
      <c r="BL42" s="898"/>
      <c r="BM42" s="898"/>
      <c r="BN42" s="898"/>
      <c r="BO42" s="898"/>
      <c r="BP42" s="898"/>
      <c r="BQ42" s="898"/>
      <c r="BR42" s="898"/>
      <c r="BS42" s="898"/>
      <c r="BT42" s="898"/>
      <c r="BU42" s="898"/>
      <c r="BV42" s="898"/>
      <c r="BW42" s="898"/>
      <c r="BX42" s="898"/>
      <c r="BY42" s="898"/>
      <c r="BZ42" s="898"/>
      <c r="CA42" s="898"/>
      <c r="CB42" s="898"/>
      <c r="CC42" s="898"/>
      <c r="CD42" s="898"/>
      <c r="CE42" s="898"/>
      <c r="CF42" s="898"/>
      <c r="CG42" s="898"/>
      <c r="CH42" s="898"/>
      <c r="CI42" s="898"/>
      <c r="CJ42" s="898"/>
      <c r="CK42" s="898"/>
      <c r="CL42" s="898"/>
      <c r="CM42" s="898"/>
      <c r="CN42" s="898"/>
      <c r="CO42" s="898"/>
      <c r="CP42" s="898"/>
      <c r="CQ42" s="898"/>
      <c r="CR42" s="898"/>
      <c r="CS42" s="898"/>
      <c r="CT42" s="898"/>
      <c r="CU42" s="898"/>
      <c r="CV42" s="898"/>
      <c r="CW42" s="898"/>
      <c r="CX42" s="898"/>
      <c r="CY42" s="898"/>
      <c r="CZ42" s="898"/>
      <c r="DA42" s="898"/>
      <c r="DB42" s="898"/>
    </row>
    <row r="43" spans="1:158" ht="28.5" customHeight="1">
      <c r="A43" s="912" t="s">
        <v>511</v>
      </c>
      <c r="B43" s="912"/>
      <c r="C43" s="912"/>
      <c r="D43" s="912"/>
      <c r="E43" s="912"/>
      <c r="F43" s="912"/>
      <c r="G43" s="912"/>
      <c r="H43" s="912"/>
      <c r="I43" s="912"/>
      <c r="J43" s="912"/>
      <c r="K43" s="912"/>
      <c r="L43" s="912"/>
      <c r="M43" s="912"/>
      <c r="N43" s="912"/>
      <c r="O43" s="912"/>
      <c r="P43" s="912"/>
      <c r="Q43" s="912"/>
      <c r="R43" s="912"/>
      <c r="S43" s="912"/>
      <c r="T43" s="912"/>
      <c r="U43" s="912"/>
      <c r="V43" s="912"/>
      <c r="W43" s="912"/>
      <c r="X43" s="912"/>
      <c r="Y43" s="912"/>
      <c r="Z43" s="912"/>
      <c r="AA43" s="912"/>
      <c r="AB43" s="912"/>
      <c r="AC43" s="912"/>
      <c r="AD43" s="912"/>
      <c r="AE43" s="912"/>
      <c r="AF43" s="912"/>
      <c r="AG43" s="912"/>
      <c r="AH43" s="912"/>
      <c r="AI43" s="912"/>
      <c r="AJ43" s="912"/>
      <c r="AK43" s="912"/>
      <c r="AL43" s="912"/>
      <c r="AM43" s="912"/>
      <c r="AN43" s="912"/>
      <c r="AO43" s="912"/>
      <c r="AP43" s="912"/>
      <c r="AQ43" s="912"/>
      <c r="AR43" s="912"/>
      <c r="AS43" s="912"/>
      <c r="AT43" s="912"/>
      <c r="AU43" s="912"/>
      <c r="AV43" s="912"/>
      <c r="AW43" s="912"/>
      <c r="AX43" s="912"/>
      <c r="AY43" s="912"/>
      <c r="AZ43" s="912"/>
      <c r="BA43" s="912"/>
      <c r="BB43" s="912"/>
      <c r="BC43" s="912"/>
      <c r="BD43" s="912"/>
      <c r="BE43" s="912"/>
      <c r="BF43" s="912"/>
      <c r="BG43" s="912"/>
      <c r="BH43" s="912"/>
      <c r="BI43" s="912"/>
      <c r="BJ43" s="912"/>
      <c r="BK43" s="912"/>
      <c r="BL43" s="912"/>
      <c r="BM43" s="912"/>
      <c r="BN43" s="912"/>
      <c r="BO43" s="912"/>
      <c r="BP43" s="912"/>
      <c r="BQ43" s="912"/>
      <c r="BR43" s="912"/>
      <c r="BS43" s="912"/>
      <c r="BT43" s="912"/>
      <c r="BU43" s="912"/>
      <c r="BV43" s="912"/>
      <c r="BW43" s="912"/>
      <c r="BX43" s="912"/>
      <c r="BY43" s="912"/>
      <c r="BZ43" s="912"/>
      <c r="CA43" s="912"/>
      <c r="CB43" s="912"/>
      <c r="CC43" s="912"/>
      <c r="CD43" s="912"/>
      <c r="CE43" s="912"/>
      <c r="CF43" s="912"/>
      <c r="CG43" s="912"/>
      <c r="CH43" s="912"/>
      <c r="CI43" s="912"/>
      <c r="CJ43" s="912"/>
      <c r="CK43" s="912"/>
      <c r="CL43" s="912"/>
      <c r="CM43" s="912"/>
      <c r="CN43" s="912"/>
      <c r="CO43" s="912"/>
      <c r="CP43" s="912"/>
      <c r="CQ43" s="912"/>
      <c r="CR43" s="912"/>
      <c r="CS43" s="912"/>
      <c r="CT43" s="912"/>
      <c r="CU43" s="912"/>
      <c r="CV43" s="912"/>
      <c r="CW43" s="912"/>
      <c r="CX43" s="912"/>
      <c r="CY43" s="912"/>
      <c r="CZ43" s="912"/>
      <c r="DA43" s="912"/>
      <c r="DB43" s="912"/>
    </row>
    <row r="44" spans="1:158" ht="11.1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34" t="s">
        <v>398</v>
      </c>
      <c r="B45" s="834"/>
      <c r="C45" s="834"/>
      <c r="D45" s="834"/>
      <c r="E45" s="834"/>
      <c r="F45" s="834"/>
      <c r="G45" s="834" t="s">
        <v>463</v>
      </c>
      <c r="H45" s="834"/>
      <c r="I45" s="834"/>
      <c r="J45" s="834"/>
      <c r="K45" s="834"/>
      <c r="L45" s="834"/>
      <c r="M45" s="834"/>
      <c r="N45" s="834"/>
      <c r="O45" s="834"/>
      <c r="P45" s="834"/>
      <c r="Q45" s="834"/>
      <c r="R45" s="834"/>
      <c r="S45" s="834"/>
      <c r="T45" s="834"/>
      <c r="U45" s="834"/>
      <c r="V45" s="834"/>
      <c r="W45" s="834"/>
      <c r="X45" s="834"/>
      <c r="Y45" s="834"/>
      <c r="Z45" s="834"/>
      <c r="AA45" s="834"/>
      <c r="AB45" s="834"/>
      <c r="AC45" s="834"/>
      <c r="AD45" s="834"/>
      <c r="AE45" s="834"/>
      <c r="AF45" s="834"/>
      <c r="AG45" s="834"/>
      <c r="AH45" s="834"/>
      <c r="AI45" s="834"/>
      <c r="AJ45" s="834"/>
      <c r="AK45" s="834" t="s">
        <v>32</v>
      </c>
      <c r="AL45" s="834"/>
      <c r="AM45" s="834"/>
      <c r="AN45" s="834"/>
      <c r="AO45" s="834"/>
      <c r="AP45" s="834"/>
      <c r="AQ45" s="834"/>
      <c r="AR45" s="834"/>
      <c r="AS45" s="834"/>
      <c r="AT45" s="834"/>
      <c r="AU45" s="834"/>
      <c r="AV45" s="834"/>
      <c r="AW45" s="834"/>
      <c r="AX45" s="834"/>
      <c r="AY45" s="834"/>
      <c r="AZ45" s="834"/>
      <c r="BA45" s="834"/>
      <c r="BB45" s="834"/>
      <c r="BC45" s="834"/>
      <c r="BD45" s="834"/>
      <c r="BE45" s="834"/>
      <c r="BF45" s="834"/>
      <c r="BG45" s="834"/>
      <c r="BH45" s="834"/>
      <c r="BI45" s="834"/>
      <c r="BJ45" s="834"/>
      <c r="BK45" s="834" t="s">
        <v>464</v>
      </c>
      <c r="BL45" s="834"/>
      <c r="BM45" s="834"/>
      <c r="BN45" s="834"/>
      <c r="BO45" s="834"/>
      <c r="BP45" s="834"/>
      <c r="BQ45" s="834"/>
      <c r="BR45" s="834"/>
      <c r="BS45" s="834"/>
      <c r="BT45" s="834"/>
      <c r="BU45" s="834"/>
      <c r="BV45" s="834"/>
      <c r="BW45" s="834"/>
      <c r="BX45" s="834"/>
      <c r="BY45" s="834"/>
      <c r="BZ45" s="834"/>
      <c r="CA45" s="834"/>
      <c r="CB45" s="834"/>
      <c r="CC45" s="834"/>
      <c r="CD45" s="834"/>
      <c r="CE45" s="834" t="s">
        <v>34</v>
      </c>
      <c r="CF45" s="834"/>
      <c r="CG45" s="834"/>
      <c r="CH45" s="834"/>
      <c r="CI45" s="834"/>
      <c r="CJ45" s="834"/>
      <c r="CK45" s="834"/>
      <c r="CL45" s="834"/>
      <c r="CM45" s="834"/>
      <c r="CN45" s="834"/>
      <c r="CO45" s="834"/>
      <c r="CP45" s="834"/>
      <c r="CQ45" s="834"/>
      <c r="CR45" s="834"/>
      <c r="CS45" s="834"/>
      <c r="CT45" s="834"/>
      <c r="CU45" s="834"/>
      <c r="CV45" s="834"/>
      <c r="CW45" s="834"/>
      <c r="CX45" s="834"/>
      <c r="CY45" s="834"/>
      <c r="CZ45" s="834"/>
      <c r="DA45" s="834"/>
      <c r="DB45" s="834"/>
      <c r="DK45" s="910"/>
      <c r="DL45" s="910"/>
      <c r="DM45" s="910"/>
      <c r="DN45" s="910"/>
      <c r="DO45" s="910"/>
      <c r="DP45" s="910"/>
      <c r="DQ45" s="910"/>
      <c r="DR45" s="910"/>
      <c r="DS45" s="910"/>
      <c r="DT45" s="910"/>
      <c r="DU45" s="910"/>
      <c r="DV45" s="910"/>
      <c r="DW45" s="910"/>
      <c r="DX45" s="910"/>
      <c r="DY45" s="910"/>
      <c r="DZ45" s="910"/>
      <c r="EA45" s="910"/>
      <c r="EB45" s="910"/>
      <c r="EC45" s="910"/>
      <c r="ED45" s="910"/>
      <c r="EE45" s="910"/>
      <c r="EF45" s="910"/>
      <c r="EG45" s="910"/>
      <c r="EH45" s="910"/>
      <c r="EI45" s="910"/>
      <c r="EJ45" s="910"/>
      <c r="EK45" s="910"/>
      <c r="EL45" s="910"/>
      <c r="EM45" s="910"/>
      <c r="EN45" s="910"/>
      <c r="EO45" s="910"/>
      <c r="EP45" s="910"/>
      <c r="EQ45" s="910"/>
      <c r="ER45" s="910"/>
      <c r="ES45" s="910"/>
      <c r="ET45" s="910"/>
      <c r="EU45" s="910"/>
      <c r="EV45" s="910"/>
      <c r="EW45" s="910"/>
      <c r="EX45" s="910"/>
      <c r="EY45" s="910"/>
      <c r="EZ45" s="910"/>
      <c r="FA45" s="910"/>
      <c r="FB45" s="910"/>
    </row>
    <row r="46" spans="1:158">
      <c r="A46" s="834"/>
      <c r="B46" s="834"/>
      <c r="C46" s="834"/>
      <c r="D46" s="834"/>
      <c r="E46" s="834"/>
      <c r="F46" s="834"/>
      <c r="G46" s="834" t="s">
        <v>392</v>
      </c>
      <c r="H46" s="834"/>
      <c r="I46" s="834"/>
      <c r="J46" s="834"/>
      <c r="K46" s="834"/>
      <c r="L46" s="834"/>
      <c r="M46" s="834"/>
      <c r="N46" s="834"/>
      <c r="O46" s="834"/>
      <c r="P46" s="834"/>
      <c r="Q46" s="834"/>
      <c r="R46" s="834"/>
      <c r="S46" s="834"/>
      <c r="T46" s="834"/>
      <c r="U46" s="834"/>
      <c r="V46" s="834"/>
      <c r="W46" s="834"/>
      <c r="X46" s="834"/>
      <c r="Y46" s="834"/>
      <c r="Z46" s="834"/>
      <c r="AA46" s="834"/>
      <c r="AB46" s="834"/>
      <c r="AC46" s="834"/>
      <c r="AD46" s="834"/>
      <c r="AE46" s="834"/>
      <c r="AF46" s="834"/>
      <c r="AG46" s="834"/>
      <c r="AH46" s="834"/>
      <c r="AI46" s="834"/>
      <c r="AJ46" s="834"/>
      <c r="AK46" s="834"/>
      <c r="AL46" s="834"/>
      <c r="AM46" s="834"/>
      <c r="AN46" s="834"/>
      <c r="AO46" s="834"/>
      <c r="AP46" s="834"/>
      <c r="AQ46" s="834"/>
      <c r="AR46" s="834"/>
      <c r="AS46" s="834"/>
      <c r="AT46" s="834"/>
      <c r="AU46" s="834"/>
      <c r="AV46" s="834"/>
      <c r="AW46" s="834"/>
      <c r="AX46" s="834"/>
      <c r="AY46" s="834"/>
      <c r="AZ46" s="834"/>
      <c r="BA46" s="834"/>
      <c r="BB46" s="834"/>
      <c r="BC46" s="834"/>
      <c r="BD46" s="834"/>
      <c r="BE46" s="834"/>
      <c r="BF46" s="834"/>
      <c r="BG46" s="834"/>
      <c r="BH46" s="834"/>
      <c r="BI46" s="834"/>
      <c r="BJ46" s="834"/>
      <c r="BK46" s="834"/>
      <c r="BL46" s="834"/>
      <c r="BM46" s="834"/>
      <c r="BN46" s="834"/>
      <c r="BO46" s="834"/>
      <c r="BP46" s="834"/>
      <c r="BQ46" s="834"/>
      <c r="BR46" s="834"/>
      <c r="BS46" s="834"/>
      <c r="BT46" s="834"/>
      <c r="BU46" s="834"/>
      <c r="BV46" s="834"/>
      <c r="BW46" s="834"/>
      <c r="BX46" s="834"/>
      <c r="BY46" s="834"/>
      <c r="BZ46" s="834"/>
      <c r="CA46" s="834"/>
      <c r="CB46" s="834"/>
      <c r="CC46" s="834"/>
      <c r="CD46" s="834"/>
      <c r="CE46" s="834"/>
      <c r="CF46" s="834"/>
      <c r="CG46" s="834"/>
      <c r="CH46" s="834"/>
      <c r="CI46" s="834"/>
      <c r="CJ46" s="834"/>
      <c r="CK46" s="834"/>
      <c r="CL46" s="834"/>
      <c r="CM46" s="834"/>
      <c r="CN46" s="834"/>
      <c r="CO46" s="834"/>
      <c r="CP46" s="834"/>
      <c r="CQ46" s="834"/>
      <c r="CR46" s="834"/>
      <c r="CS46" s="834"/>
      <c r="CT46" s="834"/>
      <c r="CU46" s="834"/>
      <c r="CV46" s="834"/>
      <c r="CW46" s="834"/>
      <c r="CX46" s="834"/>
      <c r="CY46" s="834"/>
      <c r="CZ46" s="834"/>
      <c r="DA46" s="834"/>
      <c r="DB46" s="834"/>
      <c r="DK46" s="910"/>
      <c r="DL46" s="910"/>
      <c r="DM46" s="910"/>
      <c r="DN46" s="910"/>
      <c r="DO46" s="910"/>
      <c r="DP46" s="910"/>
      <c r="DQ46" s="910"/>
      <c r="DR46" s="910"/>
      <c r="DS46" s="910"/>
      <c r="DT46" s="910"/>
      <c r="DU46" s="910"/>
      <c r="DV46" s="910"/>
      <c r="DW46" s="910"/>
      <c r="DX46" s="910"/>
      <c r="DY46" s="910"/>
      <c r="DZ46" s="910"/>
      <c r="EA46" s="910"/>
      <c r="EB46" s="910"/>
      <c r="EC46" s="910"/>
      <c r="ED46" s="910"/>
      <c r="EE46" s="910"/>
      <c r="EF46" s="910"/>
      <c r="EG46" s="910"/>
      <c r="EH46" s="910"/>
      <c r="EI46" s="910"/>
      <c r="EJ46" s="910"/>
      <c r="EK46" s="910"/>
      <c r="EL46" s="910"/>
      <c r="EM46" s="910"/>
      <c r="EN46" s="910"/>
      <c r="EO46" s="910"/>
      <c r="EP46" s="910"/>
      <c r="EQ46" s="910"/>
      <c r="ER46" s="910"/>
      <c r="ES46" s="910"/>
      <c r="ET46" s="910"/>
      <c r="EU46" s="910"/>
      <c r="EV46" s="910"/>
      <c r="EW46" s="910"/>
      <c r="EX46" s="910"/>
      <c r="EY46" s="910"/>
      <c r="EZ46" s="910"/>
      <c r="FA46" s="910"/>
      <c r="FB46" s="910"/>
    </row>
    <row r="47" spans="1:158" ht="11.15" customHeight="1">
      <c r="A47" s="834"/>
      <c r="B47" s="834"/>
      <c r="C47" s="834"/>
      <c r="D47" s="834"/>
      <c r="E47" s="834"/>
      <c r="F47" s="834"/>
      <c r="G47" s="834"/>
      <c r="H47" s="834"/>
      <c r="I47" s="834"/>
      <c r="J47" s="834"/>
      <c r="K47" s="834"/>
      <c r="L47" s="834"/>
      <c r="M47" s="834"/>
      <c r="N47" s="834"/>
      <c r="O47" s="834"/>
      <c r="P47" s="834"/>
      <c r="Q47" s="834"/>
      <c r="R47" s="834"/>
      <c r="S47" s="834"/>
      <c r="T47" s="834"/>
      <c r="U47" s="834"/>
      <c r="V47" s="834"/>
      <c r="W47" s="834"/>
      <c r="X47" s="834"/>
      <c r="Y47" s="834"/>
      <c r="Z47" s="834"/>
      <c r="AA47" s="834"/>
      <c r="AB47" s="834"/>
      <c r="AC47" s="834"/>
      <c r="AD47" s="834"/>
      <c r="AE47" s="834"/>
      <c r="AF47" s="834"/>
      <c r="AG47" s="834"/>
      <c r="AH47" s="834"/>
      <c r="AI47" s="834"/>
      <c r="AJ47" s="834"/>
      <c r="AK47" s="834"/>
      <c r="AL47" s="834"/>
      <c r="AM47" s="834"/>
      <c r="AN47" s="834"/>
      <c r="AO47" s="834"/>
      <c r="AP47" s="834"/>
      <c r="AQ47" s="834"/>
      <c r="AR47" s="834"/>
      <c r="AS47" s="834"/>
      <c r="AT47" s="834"/>
      <c r="AU47" s="834"/>
      <c r="AV47" s="834"/>
      <c r="AW47" s="834"/>
      <c r="AX47" s="834"/>
      <c r="AY47" s="834"/>
      <c r="AZ47" s="834"/>
      <c r="BA47" s="834"/>
      <c r="BB47" s="834"/>
      <c r="BC47" s="834"/>
      <c r="BD47" s="834"/>
      <c r="BE47" s="834"/>
      <c r="BF47" s="834"/>
      <c r="BG47" s="834"/>
      <c r="BH47" s="834"/>
      <c r="BI47" s="834"/>
      <c r="BJ47" s="834"/>
      <c r="BK47" s="834"/>
      <c r="BL47" s="834"/>
      <c r="BM47" s="834"/>
      <c r="BN47" s="834"/>
      <c r="BO47" s="834"/>
      <c r="BP47" s="834"/>
      <c r="BQ47" s="834"/>
      <c r="BR47" s="834"/>
      <c r="BS47" s="834"/>
      <c r="BT47" s="834"/>
      <c r="BU47" s="834"/>
      <c r="BV47" s="834"/>
      <c r="BW47" s="834"/>
      <c r="BX47" s="834"/>
      <c r="BY47" s="834"/>
      <c r="BZ47" s="834"/>
      <c r="CA47" s="834"/>
      <c r="CB47" s="834"/>
      <c r="CC47" s="834"/>
      <c r="CD47" s="834"/>
      <c r="CE47" s="834"/>
      <c r="CF47" s="834"/>
      <c r="CG47" s="834"/>
      <c r="CH47" s="834"/>
      <c r="CI47" s="834"/>
      <c r="CJ47" s="834"/>
      <c r="CK47" s="834"/>
      <c r="CL47" s="834"/>
      <c r="CM47" s="834"/>
      <c r="CN47" s="834"/>
      <c r="CO47" s="834"/>
      <c r="CP47" s="834"/>
      <c r="CQ47" s="834"/>
      <c r="CR47" s="834"/>
      <c r="CS47" s="834"/>
      <c r="CT47" s="834"/>
      <c r="CU47" s="834"/>
      <c r="CV47" s="834"/>
      <c r="CW47" s="834"/>
      <c r="CX47" s="834"/>
      <c r="CY47" s="834"/>
      <c r="CZ47" s="834"/>
      <c r="DA47" s="834"/>
      <c r="DB47" s="834"/>
      <c r="DK47" s="910"/>
      <c r="DL47" s="910"/>
      <c r="DM47" s="910"/>
      <c r="DN47" s="910"/>
      <c r="DO47" s="910"/>
      <c r="DP47" s="910"/>
      <c r="DQ47" s="910"/>
      <c r="DR47" s="910"/>
      <c r="DS47" s="910"/>
      <c r="DT47" s="910"/>
      <c r="DU47" s="910"/>
      <c r="DV47" s="910"/>
      <c r="DW47" s="910"/>
      <c r="DX47" s="910"/>
      <c r="DY47" s="910"/>
      <c r="DZ47" s="910"/>
      <c r="EA47" s="910"/>
      <c r="EB47" s="910"/>
      <c r="EC47" s="910"/>
      <c r="ED47" s="910"/>
      <c r="EE47" s="910"/>
      <c r="EF47" s="910"/>
      <c r="EG47" s="910"/>
      <c r="EH47" s="910"/>
      <c r="EI47" s="910"/>
      <c r="EJ47" s="910"/>
      <c r="EK47" s="910"/>
      <c r="EL47" s="910"/>
      <c r="EM47" s="910"/>
      <c r="EN47" s="910"/>
      <c r="EO47" s="910"/>
      <c r="EP47" s="910"/>
      <c r="EQ47" s="910"/>
      <c r="ER47" s="910"/>
      <c r="ES47" s="910"/>
      <c r="ET47" s="910"/>
      <c r="EU47" s="910"/>
      <c r="EV47" s="910"/>
      <c r="EW47" s="910"/>
      <c r="EX47" s="910"/>
      <c r="EY47" s="910"/>
      <c r="EZ47" s="910"/>
      <c r="FA47" s="910"/>
      <c r="FB47" s="910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5" customHeight="1">
      <c r="A49" s="843" t="s">
        <v>740</v>
      </c>
      <c r="B49" s="843"/>
      <c r="C49" s="843"/>
      <c r="D49" s="843"/>
      <c r="E49" s="843"/>
      <c r="F49" s="843"/>
      <c r="G49" s="843"/>
      <c r="H49" s="843"/>
      <c r="I49" s="843"/>
      <c r="J49" s="843"/>
      <c r="K49" s="843"/>
      <c r="L49" s="843"/>
      <c r="M49" s="843"/>
      <c r="N49" s="843"/>
      <c r="O49" s="843"/>
      <c r="P49" s="843"/>
      <c r="Q49" s="843"/>
      <c r="R49" s="843"/>
      <c r="S49" s="843"/>
      <c r="T49" s="843"/>
      <c r="U49" s="843"/>
      <c r="V49" s="843"/>
      <c r="W49" s="843"/>
      <c r="X49" s="843"/>
      <c r="Y49" s="843"/>
      <c r="Z49" s="843"/>
      <c r="AA49" s="843"/>
      <c r="AB49" s="19"/>
      <c r="AC49" s="19"/>
      <c r="AD49" s="19"/>
      <c r="AE49" s="19"/>
      <c r="AF49" s="772" t="str">
        <f>ПОДПИСИ!B5</f>
        <v>Начальник мастерского участка №1 Курортного РЭС ПАО «Россети Ленэнерго» «СЭС»</v>
      </c>
      <c r="AG49" s="772"/>
      <c r="AH49" s="772"/>
      <c r="AI49" s="772"/>
      <c r="AJ49" s="772"/>
      <c r="AK49" s="772"/>
      <c r="AL49" s="772"/>
      <c r="AM49" s="772"/>
      <c r="AN49" s="772"/>
      <c r="AO49" s="772"/>
      <c r="AP49" s="772"/>
      <c r="AQ49" s="772"/>
      <c r="AR49" s="772"/>
      <c r="AS49" s="772"/>
      <c r="AT49" s="772"/>
      <c r="AU49" s="772"/>
      <c r="AV49" s="772"/>
      <c r="AW49" s="772"/>
      <c r="AX49" s="772"/>
      <c r="AY49" s="772"/>
      <c r="AZ49" s="772"/>
      <c r="BA49" s="772"/>
      <c r="BB49" s="772"/>
      <c r="BC49" s="772"/>
      <c r="BD49" s="772"/>
      <c r="BE49" s="772"/>
      <c r="BF49" s="772"/>
      <c r="BG49" s="772"/>
      <c r="BH49" s="772"/>
      <c r="BI49" s="772"/>
      <c r="BJ49" s="772"/>
      <c r="BK49" s="23"/>
      <c r="BL49" s="23"/>
      <c r="BM49" s="23"/>
      <c r="BN49" s="23"/>
      <c r="BO49" s="758"/>
      <c r="BP49" s="758"/>
      <c r="BQ49" s="758"/>
      <c r="BR49" s="758"/>
      <c r="BS49" s="758"/>
      <c r="BT49" s="758"/>
      <c r="BU49" s="758"/>
      <c r="BV49" s="758"/>
      <c r="BW49" s="758"/>
      <c r="BX49" s="758"/>
      <c r="BY49" s="758"/>
      <c r="BZ49" s="758"/>
      <c r="CA49" s="758"/>
      <c r="CB49" s="758"/>
      <c r="CC49" s="758"/>
      <c r="CD49" s="758"/>
      <c r="CE49" s="23"/>
      <c r="CF49" s="23"/>
      <c r="CG49" s="23"/>
      <c r="CH49" s="23"/>
      <c r="CI49" s="758" t="str">
        <f>ПОДПИСИ!E5</f>
        <v>Д.М. Чечин</v>
      </c>
      <c r="CJ49" s="758"/>
      <c r="CK49" s="758"/>
      <c r="CL49" s="758"/>
      <c r="CM49" s="758"/>
      <c r="CN49" s="758"/>
      <c r="CO49" s="758"/>
      <c r="CP49" s="758"/>
      <c r="CQ49" s="758"/>
      <c r="CR49" s="758"/>
      <c r="CS49" s="758"/>
      <c r="CT49" s="758"/>
      <c r="CU49" s="758"/>
      <c r="CV49" s="758"/>
      <c r="CW49" s="758"/>
      <c r="CX49" s="758"/>
      <c r="CY49" s="758"/>
      <c r="CZ49" s="758"/>
      <c r="DA49" s="758"/>
      <c r="DB49" s="758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36" t="s">
        <v>48</v>
      </c>
      <c r="AG50" s="736"/>
      <c r="AH50" s="736"/>
      <c r="AI50" s="736"/>
      <c r="AJ50" s="736"/>
      <c r="AK50" s="736"/>
      <c r="AL50" s="736"/>
      <c r="AM50" s="736"/>
      <c r="AN50" s="736"/>
      <c r="AO50" s="736"/>
      <c r="AP50" s="736"/>
      <c r="AQ50" s="736"/>
      <c r="AR50" s="736"/>
      <c r="AS50" s="736"/>
      <c r="AT50" s="736"/>
      <c r="AU50" s="736"/>
      <c r="AV50" s="736"/>
      <c r="AW50" s="736"/>
      <c r="AX50" s="736"/>
      <c r="AY50" s="736"/>
      <c r="AZ50" s="736"/>
      <c r="BA50" s="736"/>
      <c r="BB50" s="736"/>
      <c r="BC50" s="736"/>
      <c r="BD50" s="736"/>
      <c r="BE50" s="736"/>
      <c r="BF50" s="736"/>
      <c r="BG50" s="736"/>
      <c r="BH50" s="736"/>
      <c r="BI50" s="736"/>
      <c r="BJ50" s="736"/>
      <c r="BK50" s="21"/>
      <c r="BL50" s="21"/>
      <c r="BM50" s="21"/>
      <c r="BN50" s="21"/>
      <c r="BO50" s="736" t="s">
        <v>49</v>
      </c>
      <c r="BP50" s="736"/>
      <c r="BQ50" s="736"/>
      <c r="BR50" s="736"/>
      <c r="BS50" s="736"/>
      <c r="BT50" s="736"/>
      <c r="BU50" s="736"/>
      <c r="BV50" s="736"/>
      <c r="BW50" s="736"/>
      <c r="BX50" s="736"/>
      <c r="BY50" s="736"/>
      <c r="BZ50" s="736"/>
      <c r="CA50" s="736"/>
      <c r="CB50" s="736"/>
      <c r="CC50" s="736"/>
      <c r="CD50" s="736"/>
      <c r="CE50" s="21"/>
      <c r="CF50" s="21"/>
      <c r="CG50" s="21"/>
      <c r="CH50" s="21"/>
      <c r="CI50" s="770" t="s">
        <v>50</v>
      </c>
      <c r="CJ50" s="770"/>
      <c r="CK50" s="770"/>
      <c r="CL50" s="770"/>
      <c r="CM50" s="770"/>
      <c r="CN50" s="770"/>
      <c r="CO50" s="770"/>
      <c r="CP50" s="770"/>
      <c r="CQ50" s="770"/>
      <c r="CR50" s="770"/>
      <c r="CS50" s="770"/>
      <c r="CT50" s="770"/>
      <c r="CU50" s="770"/>
      <c r="CV50" s="770"/>
      <c r="CW50" s="770"/>
      <c r="CX50" s="770"/>
      <c r="CY50" s="770"/>
      <c r="CZ50" s="770"/>
      <c r="DA50" s="770"/>
      <c r="DB50" s="770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43" t="s">
        <v>251</v>
      </c>
      <c r="B52" s="843"/>
      <c r="C52" s="843"/>
      <c r="D52" s="843"/>
      <c r="E52" s="843"/>
      <c r="F52" s="843"/>
      <c r="G52" s="843"/>
      <c r="H52" s="843"/>
      <c r="I52" s="843"/>
      <c r="J52" s="843"/>
      <c r="K52" s="843"/>
      <c r="L52" s="843"/>
      <c r="M52" s="843"/>
      <c r="N52" s="843"/>
      <c r="O52" s="843"/>
      <c r="P52" s="843"/>
      <c r="Q52" s="843"/>
      <c r="R52" s="843"/>
      <c r="S52" s="843"/>
      <c r="T52" s="843"/>
      <c r="U52" s="843"/>
      <c r="V52" s="843"/>
      <c r="W52" s="843"/>
      <c r="X52" s="843"/>
      <c r="Y52" s="843"/>
      <c r="Z52" s="843"/>
      <c r="AA52" s="843"/>
      <c r="AB52" s="19"/>
      <c r="AC52" s="19"/>
      <c r="AD52" s="19"/>
      <c r="AE52" s="19"/>
      <c r="AF52" s="772" t="str">
        <f>ПОДПИСИ!B15</f>
        <v xml:space="preserve">Заместитель генерального директора ООО «БЭСК» </v>
      </c>
      <c r="AG52" s="772"/>
      <c r="AH52" s="772"/>
      <c r="AI52" s="772"/>
      <c r="AJ52" s="772"/>
      <c r="AK52" s="772"/>
      <c r="AL52" s="772"/>
      <c r="AM52" s="772"/>
      <c r="AN52" s="772"/>
      <c r="AO52" s="772"/>
      <c r="AP52" s="772"/>
      <c r="AQ52" s="772"/>
      <c r="AR52" s="772"/>
      <c r="AS52" s="772"/>
      <c r="AT52" s="772"/>
      <c r="AU52" s="772"/>
      <c r="AV52" s="772"/>
      <c r="AW52" s="772"/>
      <c r="AX52" s="772"/>
      <c r="AY52" s="772"/>
      <c r="AZ52" s="772"/>
      <c r="BA52" s="772"/>
      <c r="BB52" s="772"/>
      <c r="BC52" s="772"/>
      <c r="BD52" s="772"/>
      <c r="BE52" s="772"/>
      <c r="BF52" s="772"/>
      <c r="BG52" s="772"/>
      <c r="BH52" s="772"/>
      <c r="BI52" s="772"/>
      <c r="BJ52" s="772"/>
      <c r="BK52" s="23"/>
      <c r="BL52" s="23"/>
      <c r="BM52" s="23"/>
      <c r="BN52" s="23"/>
      <c r="BO52" s="758"/>
      <c r="BP52" s="758"/>
      <c r="BQ52" s="758"/>
      <c r="BR52" s="758"/>
      <c r="BS52" s="758"/>
      <c r="BT52" s="758"/>
      <c r="BU52" s="758"/>
      <c r="BV52" s="758"/>
      <c r="BW52" s="758"/>
      <c r="BX52" s="758"/>
      <c r="BY52" s="758"/>
      <c r="BZ52" s="758"/>
      <c r="CA52" s="758"/>
      <c r="CB52" s="758"/>
      <c r="CC52" s="758"/>
      <c r="CD52" s="758"/>
      <c r="CE52" s="23"/>
      <c r="CF52" s="23"/>
      <c r="CG52" s="23"/>
      <c r="CH52" s="23"/>
      <c r="CI52" s="758" t="str">
        <f>ПОДПИСИ!E15</f>
        <v>А.С. Матвеев</v>
      </c>
      <c r="CJ52" s="758"/>
      <c r="CK52" s="758"/>
      <c r="CL52" s="758"/>
      <c r="CM52" s="758"/>
      <c r="CN52" s="758"/>
      <c r="CO52" s="758"/>
      <c r="CP52" s="758"/>
      <c r="CQ52" s="758"/>
      <c r="CR52" s="758"/>
      <c r="CS52" s="758"/>
      <c r="CT52" s="758"/>
      <c r="CU52" s="758"/>
      <c r="CV52" s="758"/>
      <c r="CW52" s="758"/>
      <c r="CX52" s="758"/>
      <c r="CY52" s="758"/>
      <c r="CZ52" s="758"/>
      <c r="DA52" s="758"/>
      <c r="DB52" s="758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36" t="s">
        <v>48</v>
      </c>
      <c r="AG53" s="736"/>
      <c r="AH53" s="736"/>
      <c r="AI53" s="736"/>
      <c r="AJ53" s="736"/>
      <c r="AK53" s="736"/>
      <c r="AL53" s="736"/>
      <c r="AM53" s="736"/>
      <c r="AN53" s="736"/>
      <c r="AO53" s="736"/>
      <c r="AP53" s="736"/>
      <c r="AQ53" s="736"/>
      <c r="AR53" s="736"/>
      <c r="AS53" s="736"/>
      <c r="AT53" s="736"/>
      <c r="AU53" s="736"/>
      <c r="AV53" s="736"/>
      <c r="AW53" s="736"/>
      <c r="AX53" s="736"/>
      <c r="AY53" s="736"/>
      <c r="AZ53" s="736"/>
      <c r="BA53" s="736"/>
      <c r="BB53" s="736"/>
      <c r="BC53" s="736"/>
      <c r="BD53" s="736"/>
      <c r="BE53" s="736"/>
      <c r="BF53" s="736"/>
      <c r="BG53" s="736"/>
      <c r="BH53" s="736"/>
      <c r="BI53" s="736"/>
      <c r="BJ53" s="736"/>
      <c r="BK53" s="21"/>
      <c r="BL53" s="21"/>
      <c r="BM53" s="21"/>
      <c r="BN53" s="21"/>
      <c r="BO53" s="736" t="s">
        <v>49</v>
      </c>
      <c r="BP53" s="736"/>
      <c r="BQ53" s="736"/>
      <c r="BR53" s="736"/>
      <c r="BS53" s="736"/>
      <c r="BT53" s="736"/>
      <c r="BU53" s="736"/>
      <c r="BV53" s="736"/>
      <c r="BW53" s="736"/>
      <c r="BX53" s="736"/>
      <c r="BY53" s="736"/>
      <c r="BZ53" s="736"/>
      <c r="CA53" s="736"/>
      <c r="CB53" s="736"/>
      <c r="CC53" s="736"/>
      <c r="CD53" s="736"/>
      <c r="CE53" s="21"/>
      <c r="CF53" s="21"/>
      <c r="CG53" s="21"/>
      <c r="CH53" s="21"/>
      <c r="CI53" s="770" t="s">
        <v>50</v>
      </c>
      <c r="CJ53" s="770"/>
      <c r="CK53" s="770"/>
      <c r="CL53" s="770"/>
      <c r="CM53" s="770"/>
      <c r="CN53" s="770"/>
      <c r="CO53" s="770"/>
      <c r="CP53" s="770"/>
      <c r="CQ53" s="770"/>
      <c r="CR53" s="770"/>
      <c r="CS53" s="770"/>
      <c r="CT53" s="770"/>
      <c r="CU53" s="770"/>
      <c r="CV53" s="770"/>
      <c r="CW53" s="770"/>
      <c r="CX53" s="770"/>
      <c r="CY53" s="770"/>
      <c r="CZ53" s="770"/>
      <c r="DA53" s="770"/>
      <c r="DB53" s="770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5" customHeight="1">
      <c r="A55" s="843" t="s">
        <v>709</v>
      </c>
      <c r="B55" s="843"/>
      <c r="C55" s="843"/>
      <c r="D55" s="843"/>
      <c r="E55" s="843"/>
      <c r="F55" s="843"/>
      <c r="G55" s="843"/>
      <c r="H55" s="843"/>
      <c r="I55" s="843"/>
      <c r="J55" s="843"/>
      <c r="K55" s="843"/>
      <c r="L55" s="843"/>
      <c r="M55" s="843"/>
      <c r="N55" s="843"/>
      <c r="O55" s="843"/>
      <c r="P55" s="843"/>
      <c r="Q55" s="843"/>
      <c r="R55" s="843"/>
      <c r="S55" s="843"/>
      <c r="T55" s="843"/>
      <c r="U55" s="843"/>
      <c r="V55" s="843"/>
      <c r="W55" s="843"/>
      <c r="X55" s="843"/>
      <c r="Y55" s="843"/>
      <c r="Z55" s="843"/>
      <c r="AA55" s="843"/>
      <c r="AB55" s="19"/>
      <c r="AC55" s="19"/>
      <c r="AD55" s="19"/>
      <c r="AE55" s="19"/>
      <c r="AF55" s="772" t="str">
        <f>IF(ПОДПИСИ!B12=0," ",ПОДПИСИ!B12)</f>
        <v xml:space="preserve">Производитель работ ООО«БЭСК» </v>
      </c>
      <c r="AG55" s="772"/>
      <c r="AH55" s="772"/>
      <c r="AI55" s="772"/>
      <c r="AJ55" s="772"/>
      <c r="AK55" s="772"/>
      <c r="AL55" s="772"/>
      <c r="AM55" s="772"/>
      <c r="AN55" s="772"/>
      <c r="AO55" s="772"/>
      <c r="AP55" s="772"/>
      <c r="AQ55" s="772"/>
      <c r="AR55" s="772"/>
      <c r="AS55" s="772"/>
      <c r="AT55" s="772"/>
      <c r="AU55" s="772"/>
      <c r="AV55" s="772"/>
      <c r="AW55" s="772"/>
      <c r="AX55" s="772"/>
      <c r="AY55" s="772"/>
      <c r="AZ55" s="772"/>
      <c r="BA55" s="772"/>
      <c r="BB55" s="772"/>
      <c r="BC55" s="772"/>
      <c r="BD55" s="772"/>
      <c r="BE55" s="772"/>
      <c r="BF55" s="772"/>
      <c r="BG55" s="772"/>
      <c r="BH55" s="772"/>
      <c r="BI55" s="772"/>
      <c r="BJ55" s="772"/>
      <c r="BK55" s="23"/>
      <c r="BL55" s="23"/>
      <c r="BM55" s="23"/>
      <c r="BN55" s="23"/>
      <c r="BO55" s="758"/>
      <c r="BP55" s="758"/>
      <c r="BQ55" s="758"/>
      <c r="BR55" s="758"/>
      <c r="BS55" s="758"/>
      <c r="BT55" s="758"/>
      <c r="BU55" s="758"/>
      <c r="BV55" s="758"/>
      <c r="BW55" s="758"/>
      <c r="BX55" s="758"/>
      <c r="BY55" s="758"/>
      <c r="BZ55" s="758"/>
      <c r="CA55" s="758"/>
      <c r="CB55" s="758"/>
      <c r="CC55" s="758"/>
      <c r="CD55" s="758"/>
      <c r="CE55" s="23"/>
      <c r="CF55" s="23"/>
      <c r="CG55" s="23"/>
      <c r="CH55" s="23"/>
      <c r="CI55" s="758" t="str">
        <f>IF(ПОДПИСИ!E12=0," ",ПОДПИСИ!E12)</f>
        <v>А.Р. Махмадов</v>
      </c>
      <c r="CJ55" s="758"/>
      <c r="CK55" s="758"/>
      <c r="CL55" s="758"/>
      <c r="CM55" s="758"/>
      <c r="CN55" s="758"/>
      <c r="CO55" s="758"/>
      <c r="CP55" s="758"/>
      <c r="CQ55" s="758"/>
      <c r="CR55" s="758"/>
      <c r="CS55" s="758"/>
      <c r="CT55" s="758"/>
      <c r="CU55" s="758"/>
      <c r="CV55" s="758"/>
      <c r="CW55" s="758"/>
      <c r="CX55" s="758"/>
      <c r="CY55" s="758"/>
      <c r="CZ55" s="758"/>
      <c r="DA55" s="758"/>
      <c r="DB55" s="758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36" t="s">
        <v>48</v>
      </c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21"/>
      <c r="BL56" s="21"/>
      <c r="BM56" s="21"/>
      <c r="BN56" s="21"/>
      <c r="BO56" s="736" t="s">
        <v>49</v>
      </c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21"/>
      <c r="CF56" s="21"/>
      <c r="CG56" s="21"/>
      <c r="CH56" s="21"/>
      <c r="CI56" s="770" t="s">
        <v>50</v>
      </c>
      <c r="CJ56" s="770"/>
      <c r="CK56" s="770"/>
      <c r="CL56" s="770"/>
      <c r="CM56" s="770"/>
      <c r="CN56" s="770"/>
      <c r="CO56" s="770"/>
      <c r="CP56" s="770"/>
      <c r="CQ56" s="770"/>
      <c r="CR56" s="770"/>
      <c r="CS56" s="770"/>
      <c r="CT56" s="770"/>
      <c r="CU56" s="770"/>
      <c r="CV56" s="770"/>
      <c r="CW56" s="770"/>
      <c r="CX56" s="770"/>
      <c r="CY56" s="770"/>
      <c r="CZ56" s="770"/>
      <c r="DA56" s="770"/>
      <c r="DB56" s="770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128" priority="7" operator="equal">
      <formula>0</formula>
    </cfRule>
  </conditionalFormatting>
  <conditionalFormatting sqref="BC2:BC7 BC9 A10:DB10">
    <cfRule type="cellIs" dxfId="127" priority="6" operator="equal">
      <formula>0</formula>
    </cfRule>
  </conditionalFormatting>
  <conditionalFormatting sqref="CI49:DB49">
    <cfRule type="cellIs" dxfId="126" priority="3" operator="equal">
      <formula>0</formula>
    </cfRule>
  </conditionalFormatting>
  <conditionalFormatting sqref="CI52:DB52">
    <cfRule type="cellIs" dxfId="125" priority="2" operator="equal">
      <formula>0</formula>
    </cfRule>
  </conditionalFormatting>
  <conditionalFormatting sqref="CI55:DB55">
    <cfRule type="cellIs" dxfId="124" priority="1" operator="equal">
      <formula>0</formula>
    </cfRule>
  </conditionalFormatting>
  <conditionalFormatting sqref="DH2:DH7 DH9">
    <cfRule type="cellIs" dxfId="123" priority="5" operator="equal">
      <formula>0</formula>
    </cfRule>
  </conditionalFormatting>
  <conditionalFormatting sqref="DH10:FB10">
    <cfRule type="cellIs" dxfId="12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C1"/>
    </sheetView>
  </sheetViews>
  <sheetFormatPr defaultColWidth="9.1796875" defaultRowHeight="14"/>
  <cols>
    <col min="1" max="1" width="18.7265625" style="63" customWidth="1"/>
    <col min="2" max="2" width="5" style="63" customWidth="1"/>
    <col min="3" max="3" width="14" style="63" customWidth="1"/>
    <col min="4" max="4" width="4.7265625" style="63" customWidth="1"/>
    <col min="5" max="5" width="7" style="63" customWidth="1"/>
    <col min="6" max="6" width="15" style="63" customWidth="1"/>
    <col min="7" max="7" width="3.7265625" style="63" customWidth="1"/>
    <col min="8" max="8" width="23.81640625" style="63" customWidth="1"/>
    <col min="9" max="9" width="9.1796875" style="63"/>
    <col min="10" max="12" width="15.7265625" style="63" customWidth="1"/>
    <col min="13" max="13" width="9.1796875" style="63"/>
    <col min="14" max="14" width="46.7265625" style="241" customWidth="1"/>
    <col min="15" max="16384" width="9.1796875" style="63"/>
  </cols>
  <sheetData>
    <row r="1" spans="1:14" ht="14.5">
      <c r="A1" s="925"/>
      <c r="B1" s="925"/>
      <c r="C1" s="925"/>
      <c r="D1" s="925"/>
      <c r="H1" s="64" t="s">
        <v>168</v>
      </c>
      <c r="I1"/>
      <c r="J1"/>
      <c r="K1"/>
      <c r="L1"/>
      <c r="M1"/>
    </row>
    <row r="2" spans="1:14" ht="15" customHeight="1">
      <c r="A2" s="925"/>
      <c r="B2" s="925"/>
      <c r="C2" s="925"/>
      <c r="D2" s="925"/>
      <c r="F2" s="924" t="s">
        <v>71</v>
      </c>
      <c r="G2" s="924"/>
      <c r="H2" s="924"/>
      <c r="I2"/>
      <c r="J2"/>
      <c r="K2"/>
      <c r="L2"/>
      <c r="M2"/>
    </row>
    <row r="3" spans="1:14" ht="15" customHeight="1">
      <c r="A3" s="925"/>
      <c r="B3" s="925"/>
      <c r="C3" s="925"/>
      <c r="D3" s="925"/>
      <c r="F3" s="923" t="s">
        <v>0</v>
      </c>
      <c r="G3" s="923"/>
      <c r="H3" s="923"/>
    </row>
    <row r="4" spans="1:14" ht="15" customHeight="1">
      <c r="A4" s="924" t="str">
        <f>ФОРМА!B4</f>
        <v>ООО «БЭСК»</v>
      </c>
      <c r="B4" s="924"/>
      <c r="C4" s="924"/>
      <c r="D4" s="924"/>
      <c r="F4" s="926" t="str">
        <f>ФОРМА!B2</f>
        <v>ПАО "Россети Ленэнерго"</v>
      </c>
      <c r="G4" s="926"/>
      <c r="H4" s="926"/>
      <c r="N4" s="241" t="str">
        <f>F4</f>
        <v>ПАО "Россети Ленэнерго"</v>
      </c>
    </row>
    <row r="5" spans="1:14" ht="15" customHeight="1">
      <c r="A5" s="923" t="s">
        <v>44</v>
      </c>
      <c r="B5" s="923"/>
      <c r="C5" s="923"/>
      <c r="D5" s="923"/>
      <c r="F5" s="919" t="s">
        <v>2</v>
      </c>
      <c r="G5" s="927"/>
      <c r="H5" s="927"/>
    </row>
    <row r="6" spans="1:14" ht="126">
      <c r="A6" s="922"/>
      <c r="B6" s="922"/>
      <c r="C6" s="922"/>
      <c r="D6" s="922"/>
      <c r="F6" s="9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8"/>
      <c r="H6" s="928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23" t="s">
        <v>45</v>
      </c>
      <c r="B7" s="923"/>
      <c r="C7" s="923"/>
      <c r="D7" s="923"/>
      <c r="F7" s="929" t="s">
        <v>38</v>
      </c>
      <c r="G7" s="929"/>
      <c r="H7" s="929"/>
    </row>
    <row r="8" spans="1:14" ht="15" customHeight="1">
      <c r="A8" s="922"/>
      <c r="B8" s="922"/>
      <c r="C8" s="922"/>
      <c r="D8" s="922"/>
      <c r="F8" s="930">
        <f>ФОРМА!B13</f>
        <v>45625</v>
      </c>
      <c r="G8" s="926"/>
      <c r="H8" s="926"/>
    </row>
    <row r="9" spans="1:14" ht="15" customHeight="1">
      <c r="A9" s="923" t="s">
        <v>1</v>
      </c>
      <c r="B9" s="923"/>
      <c r="C9" s="923"/>
      <c r="D9" s="923"/>
      <c r="F9" s="919" t="s">
        <v>3</v>
      </c>
      <c r="G9" s="919"/>
      <c r="H9" s="919"/>
    </row>
    <row r="11" spans="1:14" ht="42" customHeight="1">
      <c r="A11" s="931" t="s">
        <v>169</v>
      </c>
      <c r="B11" s="931"/>
      <c r="C11" s="931"/>
      <c r="D11" s="931"/>
      <c r="E11" s="931"/>
      <c r="F11" s="931"/>
      <c r="G11" s="931"/>
      <c r="H11" s="931"/>
    </row>
    <row r="12" spans="1:14">
      <c r="A12" s="915" t="s">
        <v>4</v>
      </c>
      <c r="B12" s="915"/>
      <c r="C12" s="915"/>
      <c r="D12" s="915"/>
      <c r="E12" s="915"/>
      <c r="F12" s="915"/>
      <c r="G12" s="915"/>
      <c r="H12" s="915"/>
    </row>
    <row r="13" spans="1:14" ht="29.25" customHeight="1">
      <c r="A13" s="915" t="s">
        <v>115</v>
      </c>
      <c r="B13" s="915"/>
      <c r="C13" s="932" t="str">
        <f>ПОДПИСИ!B5</f>
        <v>Начальник мастерского участка №1 Курортного РЭС ПАО «Россети Ленэнерго» «СЭС»</v>
      </c>
      <c r="D13" s="932"/>
      <c r="E13" s="932"/>
      <c r="F13" s="932"/>
      <c r="G13" s="932"/>
      <c r="H13" s="932"/>
    </row>
    <row r="14" spans="1:14">
      <c r="A14" s="921" t="str">
        <f>ПОДПИСИ!C6</f>
        <v>Чечин Д.М.</v>
      </c>
      <c r="B14" s="921"/>
      <c r="C14" s="921"/>
      <c r="D14" s="921"/>
      <c r="E14" s="921"/>
      <c r="F14" s="921"/>
      <c r="G14" s="921"/>
      <c r="H14" s="921"/>
    </row>
    <row r="15" spans="1:14">
      <c r="A15" s="919" t="s">
        <v>166</v>
      </c>
      <c r="B15" s="919"/>
      <c r="C15" s="919"/>
      <c r="D15" s="919"/>
      <c r="E15" s="919"/>
      <c r="F15" s="919"/>
      <c r="G15" s="919"/>
      <c r="H15" s="919"/>
    </row>
    <row r="16" spans="1:14">
      <c r="A16" s="915" t="s">
        <v>114</v>
      </c>
      <c r="B16" s="915"/>
      <c r="C16" s="915"/>
      <c r="D16" s="915"/>
      <c r="E16" s="921" t="str">
        <f>ПОДПИСИ!B12</f>
        <v xml:space="preserve">Производитель работ ООО«БЭСК» </v>
      </c>
      <c r="F16" s="921"/>
      <c r="G16" s="921"/>
      <c r="H16" s="921"/>
    </row>
    <row r="17" spans="1:8">
      <c r="A17" s="921" t="str">
        <f>ПОДПИСИ!C12</f>
        <v>Махмадов А.Р.</v>
      </c>
      <c r="B17" s="921"/>
      <c r="C17" s="921"/>
      <c r="D17" s="921"/>
      <c r="E17" s="921"/>
      <c r="F17" s="921"/>
      <c r="G17" s="921"/>
      <c r="H17" s="921"/>
    </row>
    <row r="18" spans="1:8">
      <c r="A18" s="919" t="s">
        <v>166</v>
      </c>
      <c r="B18" s="919"/>
      <c r="C18" s="919"/>
      <c r="D18" s="919"/>
      <c r="E18" s="919"/>
      <c r="F18" s="919"/>
      <c r="G18" s="919"/>
      <c r="H18" s="919"/>
    </row>
    <row r="19" spans="1:8">
      <c r="A19" s="920" t="s">
        <v>512</v>
      </c>
      <c r="B19" s="920"/>
      <c r="C19" s="920"/>
      <c r="D19" s="920"/>
      <c r="E19" s="920"/>
      <c r="F19" s="920"/>
      <c r="G19" s="920"/>
      <c r="H19" s="920"/>
    </row>
    <row r="20" spans="1:8">
      <c r="A20" s="915" t="s">
        <v>170</v>
      </c>
      <c r="B20" s="915"/>
      <c r="C20" s="915"/>
      <c r="D20" s="915"/>
      <c r="E20" s="915"/>
      <c r="F20" s="916">
        <f>ФОРМА!B13</f>
        <v>45625</v>
      </c>
      <c r="G20" s="916"/>
      <c r="H20" s="916"/>
    </row>
    <row r="21" spans="1:8">
      <c r="A21" s="917"/>
      <c r="B21" s="917"/>
      <c r="C21" s="917"/>
      <c r="D21" s="917"/>
      <c r="E21" s="917"/>
      <c r="F21" s="917"/>
      <c r="G21" s="917"/>
      <c r="H21" s="917"/>
    </row>
    <row r="22" spans="1:8">
      <c r="A22" s="915" t="s">
        <v>171</v>
      </c>
      <c r="B22" s="915"/>
      <c r="C22" s="915"/>
      <c r="D22" s="924" t="s">
        <v>172</v>
      </c>
      <c r="E22" s="924"/>
      <c r="F22" s="924"/>
      <c r="G22" s="924"/>
      <c r="H22" s="924"/>
    </row>
    <row r="23" spans="1:8" ht="15" customHeight="1">
      <c r="A23" s="918"/>
      <c r="B23" s="918"/>
      <c r="C23" s="918"/>
      <c r="D23" s="918"/>
      <c r="E23" s="918"/>
      <c r="F23" s="918"/>
      <c r="G23" s="918"/>
      <c r="H23" s="918"/>
    </row>
    <row r="24" spans="1:8">
      <c r="A24" s="917"/>
      <c r="B24" s="917"/>
      <c r="C24" s="917"/>
      <c r="D24" s="917"/>
      <c r="E24" s="917"/>
      <c r="F24" s="917"/>
      <c r="G24" s="917"/>
      <c r="H24" s="917"/>
    </row>
    <row r="25" spans="1:8" ht="30" customHeight="1">
      <c r="A25" s="914" t="s">
        <v>15</v>
      </c>
      <c r="B25" s="914"/>
      <c r="C25" s="914"/>
      <c r="D25" s="914"/>
      <c r="F25" s="67"/>
      <c r="H25" s="445" t="str">
        <f>ПОДПИСИ!E5</f>
        <v>Д.М. Чечин</v>
      </c>
    </row>
    <row r="26" spans="1:8">
      <c r="A26" s="919" t="s">
        <v>48</v>
      </c>
      <c r="B26" s="919"/>
      <c r="C26" s="919"/>
      <c r="D26" s="919"/>
      <c r="F26" s="68" t="s">
        <v>49</v>
      </c>
      <c r="H26" s="68" t="s">
        <v>50</v>
      </c>
    </row>
    <row r="27" spans="1:8" ht="39" customHeight="1">
      <c r="A27" s="913" t="s">
        <v>477</v>
      </c>
      <c r="B27" s="914"/>
      <c r="C27" s="914"/>
      <c r="D27" s="914"/>
      <c r="F27" s="67"/>
      <c r="H27" s="445" t="str">
        <f>ПОДПИСИ!E12</f>
        <v>А.Р. Махмадов</v>
      </c>
    </row>
    <row r="28" spans="1:8">
      <c r="A28" s="919" t="s">
        <v>48</v>
      </c>
      <c r="B28" s="919"/>
      <c r="C28" s="919"/>
      <c r="D28" s="919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view="pageBreakPreview" zoomScale="60" zoomScaleNormal="100" workbookViewId="0">
      <selection activeCell="A28" sqref="A28:DB29"/>
    </sheetView>
  </sheetViews>
  <sheetFormatPr defaultRowHeight="14.5" outlineLevelRow="1"/>
  <cols>
    <col min="1" max="106" width="0.81640625" customWidth="1"/>
    <col min="108" max="108" width="14.26953125" customWidth="1"/>
    <col min="109" max="110" width="15.7265625" customWidth="1"/>
    <col min="111" max="111" width="0" hidden="1" customWidth="1"/>
    <col min="112" max="112" width="47.8164062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19"/>
      <c r="AU2" s="19"/>
      <c r="AV2" s="19"/>
      <c r="AW2" s="19"/>
      <c r="AX2" s="19"/>
      <c r="AY2" s="19"/>
      <c r="AZ2" s="19"/>
      <c r="BA2" s="19"/>
      <c r="BB2" s="758" t="str">
        <f>ФОРМА!G2</f>
        <v>Санкт-Петербург</v>
      </c>
      <c r="BC2" s="758"/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H2" s="142"/>
    </row>
    <row r="3" spans="1:112" s="2" customFormat="1" ht="12" customHeight="1" outlineLevel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21"/>
      <c r="AU3" s="21"/>
      <c r="AV3" s="21"/>
      <c r="AW3" s="21"/>
      <c r="AX3" s="21"/>
      <c r="AY3" s="21"/>
      <c r="AZ3" s="21"/>
      <c r="BA3" s="21"/>
      <c r="BB3" s="770" t="s">
        <v>0</v>
      </c>
      <c r="BC3" s="770"/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outlineLevel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19"/>
      <c r="AU4" s="19"/>
      <c r="AV4" s="19"/>
      <c r="AW4" s="19"/>
      <c r="AX4" s="19"/>
      <c r="AY4" s="19"/>
      <c r="AZ4" s="19"/>
      <c r="BA4" s="19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 outlineLevel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21"/>
      <c r="AU5" s="21"/>
      <c r="AV5" s="21"/>
      <c r="AW5" s="21"/>
      <c r="AX5" s="21"/>
      <c r="AY5" s="21"/>
      <c r="AZ5" s="21"/>
      <c r="BA5" s="21"/>
      <c r="BB5" s="770" t="s">
        <v>2</v>
      </c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5" customHeight="1" outlineLevel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21"/>
      <c r="AU6" s="21"/>
      <c r="AV6" s="21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21"/>
      <c r="AU7" s="21"/>
      <c r="AV7" s="21"/>
      <c r="AW7" s="21"/>
      <c r="AX7" s="21"/>
      <c r="AY7" s="21"/>
      <c r="AZ7" s="21"/>
      <c r="BA7" s="21"/>
      <c r="BB7" s="770" t="s">
        <v>38</v>
      </c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outlineLevel="1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19"/>
      <c r="AU8" s="19"/>
      <c r="AV8" s="19"/>
      <c r="AW8" s="19"/>
      <c r="AX8" s="19"/>
      <c r="AY8" s="19"/>
      <c r="AZ8" s="19"/>
      <c r="BA8" s="19"/>
      <c r="BB8" s="735">
        <f>ФОРМА!B13</f>
        <v>45625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 outlineLevel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21"/>
      <c r="AU9" s="21"/>
      <c r="AV9" s="21"/>
      <c r="AW9" s="21"/>
      <c r="AX9" s="21"/>
      <c r="AY9" s="21"/>
      <c r="AZ9" s="21"/>
      <c r="BA9" s="21"/>
      <c r="BB9" s="770" t="s">
        <v>3</v>
      </c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37.5" customHeight="1">
      <c r="A10" s="737" t="s">
        <v>1041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38"/>
      <c r="O10" s="738"/>
      <c r="P10" s="738"/>
      <c r="Q10" s="738"/>
      <c r="R10" s="738"/>
      <c r="S10" s="738"/>
      <c r="T10" s="738"/>
      <c r="U10" s="738"/>
      <c r="V10" s="738"/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38"/>
      <c r="AT10" s="738"/>
      <c r="AU10" s="738"/>
      <c r="AV10" s="738"/>
      <c r="AW10" s="738"/>
      <c r="AX10" s="738"/>
      <c r="AY10" s="738"/>
      <c r="AZ10" s="738"/>
      <c r="BA10" s="738"/>
      <c r="BB10" s="738"/>
      <c r="BC10" s="738"/>
      <c r="BD10" s="738"/>
      <c r="BE10" s="738"/>
      <c r="BF10" s="738"/>
      <c r="BG10" s="738"/>
      <c r="BH10" s="738"/>
      <c r="BI10" s="738"/>
      <c r="BJ10" s="738"/>
      <c r="BK10" s="738"/>
      <c r="BL10" s="738"/>
      <c r="BM10" s="738"/>
      <c r="BN10" s="738"/>
      <c r="BO10" s="738"/>
      <c r="BP10" s="738"/>
      <c r="BQ10" s="738"/>
      <c r="BR10" s="738"/>
      <c r="BS10" s="738"/>
      <c r="BT10" s="738"/>
      <c r="BU10" s="738"/>
      <c r="BV10" s="738"/>
      <c r="BW10" s="738"/>
      <c r="BX10" s="738"/>
      <c r="BY10" s="738"/>
      <c r="BZ10" s="738"/>
      <c r="CA10" s="738"/>
      <c r="CB10" s="738"/>
      <c r="CC10" s="738"/>
      <c r="CD10" s="738"/>
      <c r="CE10" s="738"/>
      <c r="CF10" s="738"/>
      <c r="CG10" s="738"/>
      <c r="CH10" s="738"/>
      <c r="CI10" s="738"/>
      <c r="CJ10" s="738"/>
      <c r="CK10" s="738"/>
      <c r="CL10" s="738"/>
      <c r="CM10" s="738"/>
      <c r="CN10" s="738"/>
      <c r="CO10" s="738"/>
      <c r="CP10" s="738"/>
      <c r="CQ10" s="738"/>
      <c r="CR10" s="738"/>
      <c r="CS10" s="738"/>
      <c r="CT10" s="738"/>
      <c r="CU10" s="738"/>
      <c r="CV10" s="738"/>
      <c r="CW10" s="738"/>
      <c r="CX10" s="738"/>
      <c r="CY10" s="738"/>
      <c r="CZ10" s="738"/>
      <c r="DA10" s="738"/>
      <c r="DB10" s="738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18" t="s">
        <v>711</v>
      </c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19"/>
      <c r="AJ12" s="19"/>
      <c r="AK12" s="772" t="str">
        <f>ПОДПИСИ!B21</f>
        <v xml:space="preserve"> </v>
      </c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1.1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0" t="s">
        <v>5</v>
      </c>
      <c r="AL13" s="770"/>
      <c r="AM13" s="770"/>
      <c r="AN13" s="770"/>
      <c r="AO13" s="770"/>
      <c r="AP13" s="770"/>
      <c r="AQ13" s="770"/>
      <c r="AR13" s="770"/>
      <c r="AS13" s="770"/>
      <c r="AT13" s="770"/>
      <c r="AU13" s="770"/>
      <c r="AV13" s="770"/>
      <c r="AW13" s="770"/>
      <c r="AX13" s="770"/>
      <c r="AY13" s="770"/>
      <c r="AZ13" s="770"/>
      <c r="BA13" s="770"/>
      <c r="BB13" s="770"/>
      <c r="BC13" s="770"/>
      <c r="BD13" s="770"/>
      <c r="BE13" s="770"/>
      <c r="BF13" s="770"/>
      <c r="BG13" s="770"/>
      <c r="BH13" s="770"/>
      <c r="BI13" s="770"/>
      <c r="BJ13" s="770"/>
      <c r="BK13" s="770"/>
      <c r="BL13" s="770"/>
      <c r="BM13" s="770"/>
      <c r="BN13" s="770"/>
      <c r="BO13" s="770"/>
      <c r="BP13" s="770"/>
      <c r="BQ13" s="770"/>
      <c r="BR13" s="770"/>
      <c r="BS13" s="770"/>
      <c r="BT13" s="770"/>
      <c r="BU13" s="770"/>
      <c r="BV13" s="770"/>
      <c r="BW13" s="770"/>
      <c r="BX13" s="770"/>
      <c r="BY13" s="770"/>
      <c r="BZ13" s="770"/>
      <c r="CA13" s="770"/>
      <c r="CB13" s="770"/>
      <c r="CC13" s="770"/>
      <c r="CD13" s="770"/>
      <c r="CE13" s="770"/>
      <c r="CF13" s="770"/>
      <c r="CG13" s="770"/>
      <c r="CH13" s="770"/>
      <c r="CI13" s="770"/>
      <c r="CJ13" s="770"/>
      <c r="CK13" s="770"/>
      <c r="CL13" s="770"/>
      <c r="CM13" s="770"/>
      <c r="CN13" s="770"/>
      <c r="CO13" s="770"/>
      <c r="CP13" s="770"/>
      <c r="CQ13" s="770"/>
      <c r="CR13" s="770"/>
      <c r="CS13" s="770"/>
      <c r="CT13" s="770"/>
      <c r="CU13" s="770"/>
      <c r="CV13" s="770"/>
      <c r="CW13" s="770"/>
      <c r="CX13" s="770"/>
      <c r="CY13" s="770"/>
      <c r="CZ13" s="770"/>
      <c r="DA13" s="770"/>
      <c r="DB13" s="770"/>
    </row>
    <row r="14" spans="1:112">
      <c r="A14" s="759" t="str">
        <f>ПОДПИСИ!C21</f>
        <v xml:space="preserve"> </v>
      </c>
      <c r="B14" s="759"/>
      <c r="C14" s="759"/>
      <c r="D14" s="759"/>
      <c r="E14" s="759"/>
      <c r="F14" s="759"/>
      <c r="G14" s="759"/>
      <c r="H14" s="759"/>
      <c r="I14" s="759"/>
      <c r="J14" s="759"/>
      <c r="K14" s="759"/>
      <c r="L14" s="759"/>
      <c r="M14" s="759"/>
      <c r="N14" s="759"/>
      <c r="O14" s="759"/>
      <c r="P14" s="759"/>
      <c r="Q14" s="759"/>
      <c r="R14" s="759"/>
      <c r="S14" s="759"/>
      <c r="T14" s="759"/>
      <c r="U14" s="759"/>
      <c r="V14" s="759"/>
      <c r="W14" s="759"/>
      <c r="X14" s="759"/>
      <c r="Y14" s="759"/>
      <c r="Z14" s="759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11.15" customHeight="1">
      <c r="A15" s="736"/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</row>
    <row r="16" spans="1:112" ht="27" customHeight="1">
      <c r="A16" s="818" t="s">
        <v>13</v>
      </c>
      <c r="B16" s="818"/>
      <c r="C16" s="818"/>
      <c r="D16" s="818"/>
      <c r="E16" s="818"/>
      <c r="F16" s="818"/>
      <c r="G16" s="818"/>
      <c r="H16" s="818"/>
      <c r="I16" s="818"/>
      <c r="J16" s="818"/>
      <c r="K16" s="818"/>
      <c r="L16" s="818"/>
      <c r="M16" s="818"/>
      <c r="N16" s="818"/>
      <c r="O16" s="818"/>
      <c r="P16" s="818"/>
      <c r="Q16" s="818"/>
      <c r="R16" s="818"/>
      <c r="S16" s="818"/>
      <c r="T16" s="818"/>
      <c r="U16" s="818"/>
      <c r="V16" s="818"/>
      <c r="W16" s="818"/>
      <c r="X16" s="818"/>
      <c r="Y16" s="818"/>
      <c r="Z16" s="818"/>
      <c r="AA16" s="818"/>
      <c r="AB16" s="818"/>
      <c r="AC16" s="818"/>
      <c r="AD16" s="818"/>
      <c r="AE16" s="818"/>
      <c r="AF16" s="818"/>
      <c r="AG16" s="818"/>
      <c r="AH16" s="818"/>
      <c r="AI16" s="23"/>
      <c r="AJ16" s="23"/>
      <c r="AK16" s="758" t="str">
        <f>ПОДПИСИ!B12</f>
        <v xml:space="preserve">Производитель работ ООО«БЭСК» </v>
      </c>
      <c r="AL16" s="758"/>
      <c r="AM16" s="758"/>
      <c r="AN16" s="758"/>
      <c r="AO16" s="758"/>
      <c r="AP16" s="758"/>
      <c r="AQ16" s="758"/>
      <c r="AR16" s="758"/>
      <c r="AS16" s="758"/>
      <c r="AT16" s="758"/>
      <c r="AU16" s="758"/>
      <c r="AV16" s="758"/>
      <c r="AW16" s="758"/>
      <c r="AX16" s="758"/>
      <c r="AY16" s="758"/>
      <c r="AZ16" s="758"/>
      <c r="BA16" s="758"/>
      <c r="BB16" s="758"/>
      <c r="BC16" s="758"/>
      <c r="BD16" s="758"/>
      <c r="BE16" s="758"/>
      <c r="BF16" s="758"/>
      <c r="BG16" s="758"/>
      <c r="BH16" s="758"/>
      <c r="BI16" s="758"/>
      <c r="BJ16" s="758"/>
      <c r="BK16" s="758"/>
      <c r="BL16" s="758"/>
      <c r="BM16" s="758"/>
      <c r="BN16" s="758"/>
      <c r="BO16" s="758"/>
      <c r="BP16" s="758"/>
      <c r="BQ16" s="758"/>
      <c r="BR16" s="758"/>
      <c r="BS16" s="758"/>
      <c r="BT16" s="758"/>
      <c r="BU16" s="758"/>
      <c r="BV16" s="758"/>
      <c r="BW16" s="758"/>
      <c r="BX16" s="758"/>
      <c r="BY16" s="758"/>
      <c r="BZ16" s="758"/>
      <c r="CA16" s="758"/>
      <c r="CB16" s="758"/>
      <c r="CC16" s="758"/>
      <c r="CD16" s="758"/>
      <c r="CE16" s="758"/>
      <c r="CF16" s="758"/>
      <c r="CG16" s="758"/>
      <c r="CH16" s="758"/>
      <c r="CI16" s="758"/>
      <c r="CJ16" s="758"/>
      <c r="CK16" s="758"/>
      <c r="CL16" s="758"/>
      <c r="CM16" s="758"/>
      <c r="CN16" s="758"/>
      <c r="CO16" s="758"/>
      <c r="CP16" s="758"/>
      <c r="CQ16" s="758"/>
      <c r="CR16" s="758"/>
      <c r="CS16" s="758"/>
      <c r="CT16" s="758"/>
      <c r="CU16" s="758"/>
      <c r="CV16" s="758"/>
      <c r="CW16" s="758"/>
      <c r="CX16" s="758"/>
      <c r="CY16" s="758"/>
      <c r="CZ16" s="758"/>
      <c r="DA16" s="758"/>
      <c r="DB16" s="758"/>
    </row>
    <row r="17" spans="1:112" ht="11.1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36" t="s">
        <v>5</v>
      </c>
      <c r="AL17" s="736"/>
      <c r="AM17" s="736"/>
      <c r="AN17" s="736"/>
      <c r="AO17" s="736"/>
      <c r="AP17" s="736"/>
      <c r="AQ17" s="736"/>
      <c r="AR17" s="736"/>
      <c r="AS17" s="736"/>
      <c r="AT17" s="736"/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12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3.6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764" t="s">
        <v>175</v>
      </c>
      <c r="B20" s="764"/>
      <c r="C20" s="764"/>
      <c r="D20" s="764"/>
      <c r="E20" s="764"/>
      <c r="F20" s="764"/>
      <c r="G20" s="764"/>
      <c r="H20" s="764"/>
      <c r="I20" s="764"/>
      <c r="J20" s="764"/>
      <c r="K20" s="764"/>
      <c r="L20" s="764"/>
      <c r="M20" s="764"/>
      <c r="N20" s="764"/>
      <c r="O20" s="764"/>
      <c r="P20" s="764"/>
      <c r="Q20" s="764"/>
      <c r="R20" s="764"/>
      <c r="S20" s="764"/>
      <c r="T20" s="764"/>
      <c r="U20" s="764"/>
      <c r="V20" s="764"/>
      <c r="W20" s="764"/>
      <c r="X20" s="764"/>
      <c r="Y20" s="764"/>
      <c r="Z20" s="764"/>
      <c r="AA20" s="764"/>
      <c r="AB20" s="764"/>
      <c r="AC20" s="764"/>
      <c r="AD20" s="764"/>
      <c r="AE20" s="764"/>
      <c r="AF20" s="764"/>
      <c r="AG20" s="764"/>
      <c r="AH20" s="764"/>
      <c r="AI20" s="764"/>
      <c r="AJ20" s="764"/>
      <c r="AK20" s="764"/>
      <c r="AL20" s="764"/>
      <c r="AM20" s="764"/>
      <c r="AN20" s="764"/>
      <c r="AO20" s="764"/>
      <c r="AP20" s="764"/>
      <c r="AQ20" s="764"/>
      <c r="AR20" s="764"/>
      <c r="AS20" s="764"/>
      <c r="AT20" s="764"/>
      <c r="AU20" s="764"/>
      <c r="AV20" s="764"/>
      <c r="AW20" s="764"/>
      <c r="AX20" s="764"/>
      <c r="AY20" s="764"/>
      <c r="AZ20" s="764"/>
      <c r="BA20" s="764"/>
      <c r="BB20" s="764"/>
      <c r="BC20" s="764"/>
      <c r="BD20" s="764"/>
      <c r="BE20" s="764"/>
      <c r="BF20" s="764"/>
      <c r="BG20" s="764"/>
      <c r="BH20" s="764"/>
      <c r="BI20" s="764"/>
      <c r="BJ20" s="764"/>
      <c r="BK20" s="764"/>
      <c r="BL20" s="764"/>
      <c r="BM20" s="764"/>
      <c r="BN20" s="764"/>
      <c r="BO20" s="764"/>
      <c r="BP20" s="764"/>
      <c r="BQ20" s="764"/>
      <c r="BR20" s="764"/>
      <c r="BS20" s="764"/>
      <c r="BT20" s="764"/>
      <c r="BU20" s="764"/>
      <c r="BV20" s="764"/>
      <c r="BW20" s="764"/>
      <c r="BX20" s="764"/>
      <c r="BY20" s="764"/>
      <c r="BZ20" s="764"/>
      <c r="CA20" s="764"/>
      <c r="CB20" s="764"/>
      <c r="CC20" s="764"/>
      <c r="CD20" s="764"/>
      <c r="CE20" s="764"/>
      <c r="CF20" s="764"/>
      <c r="CG20" s="764"/>
      <c r="CH20" s="764"/>
      <c r="CI20" s="764"/>
      <c r="CJ20" s="764"/>
      <c r="CK20" s="764"/>
      <c r="CL20" s="764"/>
      <c r="CM20" s="764"/>
      <c r="CN20" s="764"/>
      <c r="CO20" s="764"/>
      <c r="CP20" s="764"/>
      <c r="CQ20" s="764"/>
      <c r="CR20" s="764"/>
      <c r="CS20" s="764"/>
      <c r="CT20" s="764"/>
      <c r="CU20" s="764"/>
      <c r="CV20" s="764"/>
      <c r="CW20" s="764"/>
      <c r="CX20" s="764"/>
      <c r="CY20" s="764"/>
      <c r="CZ20" s="764"/>
      <c r="DA20" s="764"/>
      <c r="DB20" s="764"/>
      <c r="DD20" s="18"/>
      <c r="DE20" s="17"/>
      <c r="DF20" s="17"/>
    </row>
    <row r="21" spans="1:112" s="1" customFormat="1" ht="3.6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58" t="str">
        <f>ФОРМА!B4</f>
        <v>ООО «БЭСК»</v>
      </c>
      <c r="S22" s="758"/>
      <c r="T22" s="758"/>
      <c r="U22" s="758"/>
      <c r="V22" s="758"/>
      <c r="W22" s="758"/>
      <c r="X22" s="758"/>
      <c r="Y22" s="758"/>
      <c r="Z22" s="758"/>
      <c r="AA22" s="758"/>
      <c r="AB22" s="758"/>
      <c r="AC22" s="758"/>
      <c r="AD22" s="758"/>
      <c r="AE22" s="758"/>
      <c r="AF22" s="758"/>
      <c r="AG22" s="758"/>
      <c r="AH22" s="758"/>
      <c r="AI22" s="758"/>
      <c r="AJ22" s="758"/>
      <c r="AK22" s="758"/>
      <c r="AL22" s="758"/>
      <c r="AM22" s="758"/>
      <c r="AN22" s="758"/>
      <c r="AO22" s="758"/>
      <c r="AP22" s="758"/>
      <c r="AQ22" s="758"/>
      <c r="AR22" s="758"/>
      <c r="AS22" s="758"/>
      <c r="AT22" s="758"/>
      <c r="AU22" s="758"/>
      <c r="AV22" s="758"/>
      <c r="AW22" s="758"/>
      <c r="AX22" s="758"/>
      <c r="AY22" s="758"/>
      <c r="AZ22" s="758"/>
      <c r="BA22" s="758"/>
      <c r="BB22" s="758"/>
      <c r="BC22" s="758"/>
      <c r="BD22" s="758"/>
      <c r="BE22" s="758"/>
      <c r="BF22" s="758"/>
      <c r="BG22" s="758"/>
      <c r="BH22" s="758"/>
      <c r="BI22" s="758"/>
      <c r="BJ22" s="758"/>
      <c r="BK22" s="758"/>
      <c r="BL22" s="758"/>
      <c r="BM22" s="758"/>
      <c r="BN22" s="758"/>
      <c r="BO22" s="758"/>
      <c r="BP22" s="758"/>
      <c r="BQ22" s="758"/>
      <c r="BR22" s="758"/>
      <c r="BS22" s="758"/>
      <c r="BT22" s="758"/>
      <c r="BU22" s="758"/>
      <c r="BV22" s="758"/>
      <c r="BW22" s="758"/>
      <c r="BX22" s="758"/>
      <c r="BY22" s="758"/>
      <c r="BZ22" s="758"/>
      <c r="CA22" s="758"/>
      <c r="CB22" s="758"/>
      <c r="CC22" s="758"/>
      <c r="CD22" s="758"/>
      <c r="CE22" s="758"/>
      <c r="CF22" s="758"/>
      <c r="CG22" s="758"/>
      <c r="CH22" s="758"/>
      <c r="CI22" s="758"/>
      <c r="CJ22" s="758"/>
      <c r="CK22" s="758"/>
      <c r="CL22" s="758"/>
      <c r="CM22" s="758"/>
      <c r="CN22" s="758"/>
      <c r="CO22" s="758"/>
      <c r="CP22" s="758"/>
      <c r="CQ22" s="758"/>
      <c r="CR22" s="758"/>
      <c r="CS22" s="758"/>
      <c r="CT22" s="758"/>
      <c r="CU22" s="758"/>
      <c r="CV22" s="758"/>
      <c r="CW22" s="758"/>
      <c r="CX22" s="758"/>
      <c r="CY22" s="758"/>
      <c r="CZ22" s="758"/>
      <c r="DA22" s="758"/>
      <c r="DB22" s="758"/>
      <c r="DD22" s="18"/>
      <c r="DE22" s="17"/>
      <c r="DF22" s="17"/>
    </row>
    <row r="23" spans="1:112" ht="11.15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36" t="s">
        <v>8</v>
      </c>
      <c r="S23" s="736"/>
      <c r="T23" s="736"/>
      <c r="U23" s="736"/>
      <c r="V23" s="736"/>
      <c r="W23" s="736"/>
      <c r="X23" s="736"/>
      <c r="Y23" s="736"/>
      <c r="Z23" s="736"/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64" t="s">
        <v>98</v>
      </c>
      <c r="B26" s="764"/>
      <c r="C26" s="764"/>
      <c r="D26" s="764"/>
      <c r="E26" s="764"/>
      <c r="F26" s="764"/>
      <c r="G26" s="764"/>
      <c r="H26" s="764"/>
      <c r="I26" s="764"/>
      <c r="J26" s="764"/>
      <c r="K26" s="764"/>
      <c r="L26" s="764"/>
      <c r="M26" s="764"/>
      <c r="N26" s="764"/>
      <c r="O26" s="764"/>
      <c r="P26" s="764"/>
      <c r="Q26" s="764"/>
      <c r="R26" s="764"/>
      <c r="S26" s="764"/>
      <c r="T26" s="764"/>
      <c r="U26" s="764"/>
      <c r="V26" s="764"/>
      <c r="W26" s="764"/>
      <c r="X26" s="764"/>
      <c r="Y26" s="764"/>
      <c r="Z26" s="764"/>
      <c r="AA26" s="764"/>
      <c r="AB26" s="764"/>
      <c r="AC26" s="764"/>
      <c r="AD26" s="764"/>
      <c r="AE26" s="764"/>
      <c r="AF26" s="764"/>
      <c r="AG26" s="764"/>
      <c r="AH26" s="764"/>
      <c r="AI26" s="764"/>
      <c r="AJ26" s="764"/>
      <c r="AK26" s="764"/>
      <c r="AL26" s="764"/>
      <c r="AM26" s="764"/>
      <c r="AN26" s="764"/>
      <c r="AO26" s="764"/>
      <c r="AP26" s="764"/>
      <c r="AQ26" s="764"/>
      <c r="AR26" s="764"/>
      <c r="AS26" s="764"/>
      <c r="AT26" s="764"/>
      <c r="AU26" s="764"/>
      <c r="AV26" s="764"/>
      <c r="AW26" s="764"/>
      <c r="AX26" s="764"/>
      <c r="AY26" s="764"/>
      <c r="AZ26" s="764"/>
      <c r="BA26" s="764"/>
      <c r="BB26" s="764"/>
      <c r="BC26" s="764"/>
      <c r="BD26" s="764"/>
      <c r="BE26" s="764"/>
      <c r="BF26" s="764"/>
      <c r="BG26" s="764"/>
      <c r="BH26" s="764"/>
      <c r="BI26" s="764"/>
      <c r="BJ26" s="764"/>
      <c r="BK26" s="764"/>
      <c r="BL26" s="764"/>
      <c r="BM26" s="764"/>
      <c r="BN26" s="764"/>
      <c r="BO26" s="764"/>
      <c r="BP26" s="764"/>
      <c r="BQ26" s="764"/>
      <c r="BR26" s="764"/>
      <c r="BS26" s="764"/>
      <c r="BT26" s="764"/>
      <c r="BU26" s="764"/>
      <c r="BV26" s="764"/>
      <c r="BW26" s="764"/>
      <c r="BX26" s="764"/>
      <c r="BY26" s="764"/>
      <c r="BZ26" s="764"/>
      <c r="CA26" s="764"/>
      <c r="CB26" s="764"/>
      <c r="CC26" s="764"/>
      <c r="CD26" s="764"/>
      <c r="CE26" s="764"/>
      <c r="CF26" s="764"/>
      <c r="CG26" s="764"/>
      <c r="CH26" s="764"/>
      <c r="CI26" s="764"/>
      <c r="CJ26" s="764"/>
      <c r="CK26" s="764"/>
      <c r="CL26" s="764"/>
      <c r="CM26" s="764"/>
      <c r="CN26" s="764"/>
      <c r="CO26" s="764"/>
      <c r="CP26" s="764"/>
      <c r="CQ26" s="764"/>
      <c r="CR26" s="764"/>
      <c r="CS26" s="764"/>
      <c r="CT26" s="764"/>
      <c r="CU26" s="764"/>
      <c r="CV26" s="764"/>
      <c r="CW26" s="764"/>
      <c r="CX26" s="764"/>
      <c r="CY26" s="764"/>
      <c r="CZ26" s="764"/>
      <c r="DA26" s="764"/>
      <c r="DB26" s="764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5" customHeight="1">
      <c r="A28" s="933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28" s="933"/>
      <c r="C28" s="933"/>
      <c r="D28" s="933"/>
      <c r="E28" s="933"/>
      <c r="F28" s="933"/>
      <c r="G28" s="933"/>
      <c r="H28" s="933"/>
      <c r="I28" s="933"/>
      <c r="J28" s="933"/>
      <c r="K28" s="933"/>
      <c r="L28" s="933"/>
      <c r="M28" s="933"/>
      <c r="N28" s="933"/>
      <c r="O28" s="933"/>
      <c r="P28" s="933"/>
      <c r="Q28" s="933"/>
      <c r="R28" s="933"/>
      <c r="S28" s="933"/>
      <c r="T28" s="933"/>
      <c r="U28" s="933"/>
      <c r="V28" s="933"/>
      <c r="W28" s="933"/>
      <c r="X28" s="933"/>
      <c r="Y28" s="933"/>
      <c r="Z28" s="933"/>
      <c r="AA28" s="933"/>
      <c r="AB28" s="933"/>
      <c r="AC28" s="933"/>
      <c r="AD28" s="933"/>
      <c r="AE28" s="933"/>
      <c r="AF28" s="933"/>
      <c r="AG28" s="933"/>
      <c r="AH28" s="933"/>
      <c r="AI28" s="933"/>
      <c r="AJ28" s="933"/>
      <c r="AK28" s="933"/>
      <c r="AL28" s="933"/>
      <c r="AM28" s="933"/>
      <c r="AN28" s="933"/>
      <c r="AO28" s="933"/>
      <c r="AP28" s="933"/>
      <c r="AQ28" s="933"/>
      <c r="AR28" s="933"/>
      <c r="AS28" s="933"/>
      <c r="AT28" s="933"/>
      <c r="AU28" s="933"/>
      <c r="AV28" s="933"/>
      <c r="AW28" s="933"/>
      <c r="AX28" s="933"/>
      <c r="AY28" s="933"/>
      <c r="AZ28" s="933"/>
      <c r="BA28" s="933"/>
      <c r="BB28" s="933"/>
      <c r="BC28" s="933"/>
      <c r="BD28" s="933"/>
      <c r="BE28" s="933"/>
      <c r="BF28" s="933"/>
      <c r="BG28" s="933"/>
      <c r="BH28" s="933"/>
      <c r="BI28" s="933"/>
      <c r="BJ28" s="933"/>
      <c r="BK28" s="933"/>
      <c r="BL28" s="933"/>
      <c r="BM28" s="933"/>
      <c r="BN28" s="933"/>
      <c r="BO28" s="933"/>
      <c r="BP28" s="933"/>
      <c r="BQ28" s="933"/>
      <c r="BR28" s="933"/>
      <c r="BS28" s="933"/>
      <c r="BT28" s="933"/>
      <c r="BU28" s="933"/>
      <c r="BV28" s="933"/>
      <c r="BW28" s="933"/>
      <c r="BX28" s="933"/>
      <c r="BY28" s="933"/>
      <c r="BZ28" s="933"/>
      <c r="CA28" s="933"/>
      <c r="CB28" s="933"/>
      <c r="CC28" s="933"/>
      <c r="CD28" s="933"/>
      <c r="CE28" s="933"/>
      <c r="CF28" s="933"/>
      <c r="CG28" s="933"/>
      <c r="CH28" s="933"/>
      <c r="CI28" s="933"/>
      <c r="CJ28" s="933"/>
      <c r="CK28" s="933"/>
      <c r="CL28" s="933"/>
      <c r="CM28" s="933"/>
      <c r="CN28" s="933"/>
      <c r="CO28" s="933"/>
      <c r="CP28" s="933"/>
      <c r="CQ28" s="933"/>
      <c r="CR28" s="933"/>
      <c r="CS28" s="933"/>
      <c r="CT28" s="933"/>
      <c r="CU28" s="933"/>
      <c r="CV28" s="933"/>
      <c r="CW28" s="933"/>
      <c r="CX28" s="933"/>
      <c r="CY28" s="933"/>
      <c r="CZ28" s="933"/>
      <c r="DA28" s="933"/>
      <c r="DB28" s="933"/>
    </row>
    <row r="29" spans="1:112" ht="183" customHeight="1">
      <c r="A29" s="933"/>
      <c r="B29" s="933"/>
      <c r="C29" s="933"/>
      <c r="D29" s="933"/>
      <c r="E29" s="933"/>
      <c r="F29" s="933"/>
      <c r="G29" s="933"/>
      <c r="H29" s="933"/>
      <c r="I29" s="933"/>
      <c r="J29" s="933"/>
      <c r="K29" s="933"/>
      <c r="L29" s="933"/>
      <c r="M29" s="933"/>
      <c r="N29" s="933"/>
      <c r="O29" s="933"/>
      <c r="P29" s="933"/>
      <c r="Q29" s="933"/>
      <c r="R29" s="933"/>
      <c r="S29" s="933"/>
      <c r="T29" s="933"/>
      <c r="U29" s="933"/>
      <c r="V29" s="933"/>
      <c r="W29" s="933"/>
      <c r="X29" s="933"/>
      <c r="Y29" s="933"/>
      <c r="Z29" s="933"/>
      <c r="AA29" s="933"/>
      <c r="AB29" s="933"/>
      <c r="AC29" s="933"/>
      <c r="AD29" s="933"/>
      <c r="AE29" s="933"/>
      <c r="AF29" s="933"/>
      <c r="AG29" s="933"/>
      <c r="AH29" s="933"/>
      <c r="AI29" s="933"/>
      <c r="AJ29" s="933"/>
      <c r="AK29" s="933"/>
      <c r="AL29" s="933"/>
      <c r="AM29" s="933"/>
      <c r="AN29" s="933"/>
      <c r="AO29" s="933"/>
      <c r="AP29" s="933"/>
      <c r="AQ29" s="933"/>
      <c r="AR29" s="933"/>
      <c r="AS29" s="933"/>
      <c r="AT29" s="933"/>
      <c r="AU29" s="933"/>
      <c r="AV29" s="933"/>
      <c r="AW29" s="933"/>
      <c r="AX29" s="933"/>
      <c r="AY29" s="933"/>
      <c r="AZ29" s="933"/>
      <c r="BA29" s="933"/>
      <c r="BB29" s="933"/>
      <c r="BC29" s="933"/>
      <c r="BD29" s="933"/>
      <c r="BE29" s="933"/>
      <c r="BF29" s="933"/>
      <c r="BG29" s="933"/>
      <c r="BH29" s="933"/>
      <c r="BI29" s="933"/>
      <c r="BJ29" s="933"/>
      <c r="BK29" s="933"/>
      <c r="BL29" s="933"/>
      <c r="BM29" s="933"/>
      <c r="BN29" s="933"/>
      <c r="BO29" s="933"/>
      <c r="BP29" s="933"/>
      <c r="BQ29" s="933"/>
      <c r="BR29" s="933"/>
      <c r="BS29" s="933"/>
      <c r="BT29" s="933"/>
      <c r="BU29" s="933"/>
      <c r="BV29" s="933"/>
      <c r="BW29" s="933"/>
      <c r="BX29" s="933"/>
      <c r="BY29" s="933"/>
      <c r="BZ29" s="933"/>
      <c r="CA29" s="933"/>
      <c r="CB29" s="933"/>
      <c r="CC29" s="933"/>
      <c r="CD29" s="933"/>
      <c r="CE29" s="933"/>
      <c r="CF29" s="933"/>
      <c r="CG29" s="933"/>
      <c r="CH29" s="933"/>
      <c r="CI29" s="933"/>
      <c r="CJ29" s="933"/>
      <c r="CK29" s="933"/>
      <c r="CL29" s="933"/>
      <c r="CM29" s="933"/>
      <c r="CN29" s="933"/>
      <c r="CO29" s="933"/>
      <c r="CP29" s="933"/>
      <c r="CQ29" s="933"/>
      <c r="CR29" s="933"/>
      <c r="CS29" s="933"/>
      <c r="CT29" s="933"/>
      <c r="CU29" s="933"/>
      <c r="CV29" s="933"/>
      <c r="CW29" s="933"/>
      <c r="CX29" s="933"/>
      <c r="CY29" s="933"/>
      <c r="CZ29" s="933"/>
      <c r="DA29" s="933"/>
      <c r="DB29" s="933"/>
    </row>
    <row r="30" spans="1:112" ht="11" customHeight="1">
      <c r="A30" s="777" t="s">
        <v>176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</row>
    <row r="31" spans="1:112" ht="7.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>
      <c r="A32" s="764" t="s">
        <v>97</v>
      </c>
      <c r="B32" s="764"/>
      <c r="C32" s="764"/>
      <c r="D32" s="764"/>
      <c r="E32" s="764"/>
      <c r="F32" s="764"/>
      <c r="G32" s="764"/>
      <c r="H32" s="764"/>
      <c r="I32" s="764"/>
      <c r="J32" s="764"/>
      <c r="K32" s="764"/>
      <c r="L32" s="764"/>
      <c r="M32" s="764"/>
      <c r="N32" s="764"/>
      <c r="O32" s="764"/>
      <c r="P32" s="764"/>
      <c r="Q32" s="764"/>
      <c r="R32" s="764"/>
      <c r="S32" s="764"/>
      <c r="T32" s="764"/>
      <c r="U32" s="764"/>
      <c r="V32" s="764"/>
      <c r="W32" s="764"/>
      <c r="X32" s="764"/>
      <c r="Y32" s="764"/>
      <c r="Z32" s="764"/>
      <c r="AA32" s="764"/>
      <c r="AB32" s="764"/>
      <c r="AC32" s="764"/>
      <c r="AD32" s="764"/>
      <c r="AE32" s="764"/>
      <c r="AF32" s="764"/>
      <c r="AG32" s="764"/>
      <c r="AH32" s="764"/>
      <c r="AI32" s="764"/>
      <c r="AJ32" s="764"/>
      <c r="AK32" s="764"/>
      <c r="AL32" s="764"/>
      <c r="AM32" s="764"/>
      <c r="AN32" s="764"/>
      <c r="AO32" s="764"/>
      <c r="AP32" s="764"/>
      <c r="AQ32" s="764"/>
      <c r="AR32" s="764"/>
      <c r="AS32" s="764"/>
      <c r="AT32" s="764"/>
      <c r="AU32" s="764"/>
      <c r="AV32" s="764"/>
      <c r="AW32" s="764"/>
      <c r="AX32" s="764"/>
      <c r="AY32" s="764"/>
      <c r="AZ32" s="764"/>
      <c r="BA32" s="764"/>
      <c r="BB32" s="764"/>
      <c r="BC32" s="764"/>
      <c r="BD32" s="764"/>
      <c r="BE32" s="764"/>
      <c r="BF32" s="764"/>
      <c r="BG32" s="764"/>
      <c r="BH32" s="764"/>
      <c r="BI32" s="764"/>
      <c r="BJ32" s="764"/>
      <c r="BK32" s="764"/>
      <c r="BL32" s="764"/>
      <c r="BM32" s="764"/>
      <c r="BN32" s="764"/>
      <c r="BO32" s="764"/>
      <c r="BP32" s="764"/>
      <c r="BQ32" s="764"/>
      <c r="BR32" s="764"/>
      <c r="BS32" s="764"/>
      <c r="BT32" s="764"/>
      <c r="BU32" s="764"/>
      <c r="BV32" s="764"/>
      <c r="BW32" s="764"/>
      <c r="BX32" s="764"/>
      <c r="BY32" s="764"/>
      <c r="BZ32" s="764"/>
      <c r="CA32" s="764"/>
      <c r="CB32" s="764"/>
      <c r="CC32" s="764"/>
      <c r="CD32" s="764"/>
      <c r="CE32" s="764"/>
      <c r="CF32" s="764"/>
      <c r="CG32" s="764"/>
      <c r="CH32" s="764"/>
      <c r="CI32" s="764"/>
      <c r="CJ32" s="764"/>
      <c r="CK32" s="764"/>
      <c r="CL32" s="764"/>
      <c r="CM32" s="764"/>
      <c r="CN32" s="764"/>
      <c r="CO32" s="764"/>
      <c r="CP32" s="764"/>
      <c r="CQ32" s="764"/>
      <c r="CR32" s="764"/>
      <c r="CS32" s="764"/>
      <c r="CT32" s="764"/>
      <c r="CU32" s="764"/>
      <c r="CV32" s="764"/>
      <c r="CW32" s="764"/>
      <c r="CX32" s="764"/>
      <c r="CY32" s="764"/>
      <c r="CZ32" s="764"/>
      <c r="DA32" s="764"/>
      <c r="DB32" s="764"/>
      <c r="DH32" s="141"/>
    </row>
    <row r="33" spans="1:112" ht="6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>
      <c r="A34" s="775" t="str">
        <f>IF(ФОРМА!B9=0," ",CONCATENATE(ФОРМА!B8,", шифр ",ФОРМА!B9))</f>
        <v>ООО «Строительные энергетические технологии», шифр СЭС-23-32939-ЭС-ТКР2</v>
      </c>
      <c r="B34" s="775"/>
      <c r="C34" s="775"/>
      <c r="D34" s="775"/>
      <c r="E34" s="775"/>
      <c r="F34" s="775"/>
      <c r="G34" s="775"/>
      <c r="H34" s="775"/>
      <c r="I34" s="775"/>
      <c r="J34" s="775"/>
      <c r="K34" s="775"/>
      <c r="L34" s="775"/>
      <c r="M34" s="775"/>
      <c r="N34" s="775"/>
      <c r="O34" s="775"/>
      <c r="P34" s="775"/>
      <c r="Q34" s="775"/>
      <c r="R34" s="775"/>
      <c r="S34" s="775"/>
      <c r="T34" s="775"/>
      <c r="U34" s="775"/>
      <c r="V34" s="775"/>
      <c r="W34" s="775"/>
      <c r="X34" s="775"/>
      <c r="Y34" s="775"/>
      <c r="Z34" s="775"/>
      <c r="AA34" s="775"/>
      <c r="AB34" s="775"/>
      <c r="AC34" s="775"/>
      <c r="AD34" s="775"/>
      <c r="AE34" s="775"/>
      <c r="AF34" s="775"/>
      <c r="AG34" s="775"/>
      <c r="AH34" s="775"/>
      <c r="AI34" s="775"/>
      <c r="AJ34" s="775"/>
      <c r="AK34" s="775"/>
      <c r="AL34" s="775"/>
      <c r="AM34" s="775"/>
      <c r="AN34" s="775"/>
      <c r="AO34" s="775"/>
      <c r="AP34" s="775"/>
      <c r="AQ34" s="775"/>
      <c r="AR34" s="775"/>
      <c r="AS34" s="775"/>
      <c r="AT34" s="775"/>
      <c r="AU34" s="775"/>
      <c r="AV34" s="775"/>
      <c r="AW34" s="775"/>
      <c r="AX34" s="775"/>
      <c r="AY34" s="775"/>
      <c r="AZ34" s="775"/>
      <c r="BA34" s="775"/>
      <c r="BB34" s="775"/>
      <c r="BC34" s="775"/>
      <c r="BD34" s="775"/>
      <c r="BE34" s="775"/>
      <c r="BF34" s="775"/>
      <c r="BG34" s="775"/>
      <c r="BH34" s="775"/>
      <c r="BI34" s="775"/>
      <c r="BJ34" s="775"/>
      <c r="BK34" s="775"/>
      <c r="BL34" s="775"/>
      <c r="BM34" s="775"/>
      <c r="BN34" s="775"/>
      <c r="BO34" s="775"/>
      <c r="BP34" s="775"/>
      <c r="BQ34" s="775"/>
      <c r="BR34" s="775"/>
      <c r="BS34" s="775"/>
      <c r="BT34" s="775"/>
      <c r="BU34" s="775"/>
      <c r="BV34" s="775"/>
      <c r="BW34" s="775"/>
      <c r="BX34" s="775"/>
      <c r="BY34" s="775"/>
      <c r="BZ34" s="775"/>
      <c r="CA34" s="775"/>
      <c r="CB34" s="775"/>
      <c r="CC34" s="775"/>
      <c r="CD34" s="775"/>
      <c r="CE34" s="775"/>
      <c r="CF34" s="775"/>
      <c r="CG34" s="775"/>
      <c r="CH34" s="775"/>
      <c r="CI34" s="775"/>
      <c r="CJ34" s="775"/>
      <c r="CK34" s="775"/>
      <c r="CL34" s="775"/>
      <c r="CM34" s="775"/>
      <c r="CN34" s="775"/>
      <c r="CO34" s="775"/>
      <c r="CP34" s="775"/>
      <c r="CQ34" s="775"/>
      <c r="CR34" s="775"/>
      <c r="CS34" s="775"/>
      <c r="CT34" s="775"/>
      <c r="CU34" s="775"/>
      <c r="CV34" s="775"/>
      <c r="CW34" s="775"/>
      <c r="CX34" s="775"/>
      <c r="CY34" s="775"/>
      <c r="CZ34" s="775"/>
      <c r="DA34" s="775"/>
      <c r="DB34" s="775"/>
    </row>
    <row r="35" spans="1:112" ht="11.15" customHeight="1">
      <c r="A35" s="776" t="s">
        <v>10</v>
      </c>
      <c r="B35" s="776"/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  <c r="BF35" s="776"/>
      <c r="BG35" s="776"/>
      <c r="BH35" s="776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776"/>
      <c r="CH35" s="776"/>
      <c r="CI35" s="776"/>
      <c r="CJ35" s="776"/>
      <c r="CK35" s="776"/>
      <c r="CL35" s="776"/>
      <c r="CM35" s="776"/>
      <c r="CN35" s="776"/>
      <c r="CO35" s="776"/>
      <c r="CP35" s="776"/>
      <c r="CQ35" s="776"/>
      <c r="CR35" s="776"/>
      <c r="CS35" s="776"/>
      <c r="CT35" s="776"/>
      <c r="CU35" s="776"/>
      <c r="CV35" s="776"/>
      <c r="CW35" s="776"/>
      <c r="CX35" s="776"/>
      <c r="CY35" s="776"/>
      <c r="CZ35" s="776"/>
      <c r="DA35" s="776"/>
      <c r="DB35" s="776"/>
    </row>
    <row r="36" spans="1:112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74" t="s">
        <v>42</v>
      </c>
      <c r="B37" s="774"/>
      <c r="C37" s="774"/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  <c r="X37" s="774"/>
      <c r="Y37" s="774"/>
      <c r="Z37" s="774"/>
      <c r="AA37" s="774"/>
      <c r="AB37" s="774"/>
      <c r="AC37" s="774"/>
      <c r="AD37" s="774"/>
      <c r="AE37" s="774"/>
      <c r="AF37" s="774"/>
      <c r="AG37" s="774"/>
      <c r="AH37" s="774"/>
      <c r="AI37" s="774"/>
      <c r="AJ37" s="774"/>
      <c r="AK37" s="774"/>
      <c r="AL37" s="774"/>
      <c r="AM37" s="774"/>
      <c r="AN37" s="774"/>
      <c r="AO37" s="774"/>
      <c r="AP37" s="774"/>
      <c r="AQ37" s="774"/>
      <c r="AR37" s="774"/>
      <c r="AS37" s="774"/>
      <c r="AT37" s="774"/>
      <c r="AU37" s="774"/>
      <c r="AV37" s="774"/>
      <c r="AW37" s="774"/>
      <c r="AX37" s="774"/>
      <c r="AY37" s="774"/>
      <c r="AZ37" s="774"/>
      <c r="BA37" s="774"/>
      <c r="BB37" s="774"/>
      <c r="BC37" s="774"/>
      <c r="BD37" s="774"/>
      <c r="BE37" s="774"/>
      <c r="BF37" s="774"/>
      <c r="BG37" s="774"/>
      <c r="BH37" s="774"/>
      <c r="BI37" s="774"/>
      <c r="BJ37" s="774"/>
      <c r="BK37" s="774"/>
      <c r="BL37" s="774"/>
      <c r="BM37" s="774"/>
      <c r="BN37" s="774"/>
      <c r="BO37" s="774"/>
      <c r="BP37" s="774"/>
      <c r="BQ37" s="774"/>
      <c r="BR37" s="774"/>
      <c r="BS37" s="774"/>
      <c r="BT37" s="774"/>
      <c r="BU37" s="774"/>
      <c r="BV37" s="774"/>
      <c r="BW37" s="774"/>
      <c r="BX37" s="774"/>
      <c r="BY37" s="774"/>
      <c r="BZ37" s="774"/>
      <c r="CA37" s="774"/>
      <c r="CB37" s="774"/>
      <c r="CC37" s="774"/>
      <c r="CD37" s="774"/>
      <c r="CE37" s="774"/>
      <c r="CF37" s="774"/>
      <c r="CG37" s="774"/>
      <c r="CH37" s="774"/>
      <c r="CI37" s="774"/>
      <c r="CJ37" s="774"/>
      <c r="CK37" s="774"/>
      <c r="CL37" s="774"/>
      <c r="CM37" s="774"/>
      <c r="CN37" s="774"/>
      <c r="CO37" s="774"/>
      <c r="CP37" s="774"/>
      <c r="CQ37" s="774"/>
      <c r="CR37" s="774"/>
      <c r="CS37" s="774"/>
      <c r="CT37" s="774"/>
      <c r="CU37" s="774"/>
      <c r="CV37" s="774"/>
      <c r="CW37" s="774"/>
      <c r="CX37" s="774"/>
      <c r="CY37" s="774"/>
      <c r="CZ37" s="774"/>
      <c r="DA37" s="774"/>
      <c r="DB37" s="774"/>
    </row>
    <row r="38" spans="1:112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>
      <c r="A42" s="26" t="s">
        <v>1042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>
      <c r="A43" s="19" t="s">
        <v>1043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5" customHeight="1">
      <c r="A45" s="766" t="s">
        <v>66</v>
      </c>
      <c r="B45" s="766"/>
      <c r="C45" s="766"/>
      <c r="D45" s="766"/>
      <c r="E45" s="766"/>
      <c r="F45" s="766"/>
      <c r="G45" s="766"/>
      <c r="H45" s="766"/>
      <c r="I45" s="766"/>
      <c r="J45" s="760"/>
      <c r="K45" s="760"/>
      <c r="L45" s="760"/>
      <c r="M45" s="760"/>
      <c r="N45" s="760"/>
      <c r="O45" s="760"/>
      <c r="P45" s="760"/>
      <c r="Q45" s="760"/>
      <c r="R45" s="760"/>
      <c r="S45" s="760"/>
      <c r="T45" s="760"/>
      <c r="U45" s="760"/>
      <c r="V45" s="760"/>
      <c r="W45" s="760"/>
      <c r="X45" s="760"/>
      <c r="Y45" s="760"/>
      <c r="AB45" s="758" t="str">
        <f>IF(ПОДПИСИ!E12=0," ",ПОДПИСИ!E12)</f>
        <v>А.Р. Махмадов</v>
      </c>
      <c r="AC45" s="758"/>
      <c r="AD45" s="758"/>
      <c r="AE45" s="758"/>
      <c r="AF45" s="758"/>
      <c r="AG45" s="758"/>
      <c r="AH45" s="758"/>
      <c r="AI45" s="758"/>
      <c r="AJ45" s="758"/>
      <c r="AK45" s="758"/>
      <c r="AL45" s="758"/>
      <c r="AM45" s="758"/>
      <c r="AN45" s="758"/>
      <c r="AO45" s="758"/>
      <c r="AP45" s="758"/>
      <c r="AQ45" s="758"/>
      <c r="AR45" s="758"/>
      <c r="AS45" s="758"/>
      <c r="AT45" s="758"/>
      <c r="AU45" s="758"/>
      <c r="AV45" s="758"/>
      <c r="AW45" s="758"/>
      <c r="BF45" s="737" t="s">
        <v>17</v>
      </c>
      <c r="BG45" s="737"/>
      <c r="BH45" s="737"/>
      <c r="BI45" s="737"/>
      <c r="BJ45" s="737"/>
      <c r="BK45" s="737"/>
      <c r="BL45" s="737"/>
      <c r="BM45" s="737"/>
      <c r="BN45" s="737"/>
      <c r="BO45" s="737"/>
      <c r="BP45" s="737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G45" s="758" t="str">
        <f>ПОДПИСИ!E21</f>
        <v xml:space="preserve"> </v>
      </c>
      <c r="CH45" s="758"/>
      <c r="CI45" s="758"/>
      <c r="CJ45" s="758"/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ht="11.5" customHeight="1">
      <c r="A46" s="19"/>
      <c r="B46" s="19"/>
      <c r="C46" s="19"/>
      <c r="D46" s="19"/>
      <c r="E46" s="19"/>
      <c r="F46" s="19"/>
      <c r="G46" s="19"/>
      <c r="H46" s="19"/>
      <c r="I46" s="19"/>
      <c r="J46" s="736" t="s">
        <v>11</v>
      </c>
      <c r="K46" s="736"/>
      <c r="L46" s="736"/>
      <c r="M46" s="736"/>
      <c r="N46" s="736"/>
      <c r="O46" s="736"/>
      <c r="P46" s="736"/>
      <c r="Q46" s="736"/>
      <c r="R46" s="736"/>
      <c r="S46" s="736"/>
      <c r="T46" s="736"/>
      <c r="U46" s="736"/>
      <c r="V46" s="736"/>
      <c r="W46" s="736"/>
      <c r="X46" s="736"/>
      <c r="Y46" s="736"/>
      <c r="Z46" s="21"/>
      <c r="AA46" s="21"/>
      <c r="AB46" s="770" t="s">
        <v>50</v>
      </c>
      <c r="AC46" s="770"/>
      <c r="AD46" s="770"/>
      <c r="AE46" s="770"/>
      <c r="AF46" s="770"/>
      <c r="AG46" s="770"/>
      <c r="AH46" s="770"/>
      <c r="AI46" s="770"/>
      <c r="AJ46" s="770"/>
      <c r="AK46" s="770"/>
      <c r="AL46" s="770"/>
      <c r="AM46" s="770"/>
      <c r="AN46" s="770"/>
      <c r="AO46" s="770"/>
      <c r="AP46" s="770"/>
      <c r="AQ46" s="770"/>
      <c r="AR46" s="770"/>
      <c r="AS46" s="770"/>
      <c r="AT46" s="770"/>
      <c r="AU46" s="770"/>
      <c r="AV46" s="770"/>
      <c r="AW46" s="770"/>
      <c r="BC46" s="19"/>
      <c r="BD46" s="19"/>
      <c r="BE46" s="19"/>
      <c r="BF46" s="19"/>
      <c r="BG46" s="19"/>
      <c r="BQ46" s="736" t="s">
        <v>11</v>
      </c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G46" s="736" t="s">
        <v>50</v>
      </c>
      <c r="CH46" s="736"/>
      <c r="CI46" s="736"/>
      <c r="CJ46" s="736"/>
      <c r="CK46" s="736"/>
      <c r="CL46" s="736"/>
      <c r="CM46" s="736"/>
      <c r="CN46" s="736"/>
      <c r="CO46" s="736"/>
      <c r="CP46" s="736"/>
      <c r="CQ46" s="736"/>
      <c r="CR46" s="736"/>
      <c r="CS46" s="736"/>
      <c r="CT46" s="736"/>
      <c r="CU46" s="736"/>
      <c r="CV46" s="736"/>
      <c r="CW46" s="736"/>
      <c r="CX46" s="736"/>
      <c r="CY46" s="736"/>
      <c r="CZ46" s="736"/>
      <c r="DA46" s="736"/>
      <c r="DB46" s="736"/>
    </row>
    <row r="47" spans="1:112">
      <c r="A47" s="818" t="s">
        <v>92</v>
      </c>
      <c r="B47" s="818"/>
      <c r="C47" s="818"/>
      <c r="D47" s="818"/>
      <c r="E47" s="818"/>
      <c r="F47" s="818"/>
      <c r="G47" s="818"/>
      <c r="H47" s="818"/>
      <c r="I47" s="818"/>
      <c r="J47" s="818"/>
      <c r="K47" s="818"/>
      <c r="BF47" s="818" t="s">
        <v>92</v>
      </c>
      <c r="BG47" s="818"/>
      <c r="BH47" s="818"/>
      <c r="BI47" s="818"/>
      <c r="BJ47" s="818"/>
      <c r="BK47" s="818"/>
      <c r="BL47" s="818"/>
      <c r="BM47" s="818"/>
      <c r="BN47" s="818"/>
      <c r="BO47" s="818"/>
      <c r="BP47" s="818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</mergeCells>
  <conditionalFormatting sqref="AT2:BB7 A2:A9 AT8:BA9 BB9">
    <cfRule type="cellIs" dxfId="121" priority="3" operator="equal">
      <formula>0</formula>
    </cfRule>
  </conditionalFormatting>
  <conditionalFormatting sqref="DH2:DH7">
    <cfRule type="cellIs" dxfId="120" priority="2" operator="equal">
      <formula>0</formula>
    </cfRule>
  </conditionalFormatting>
  <conditionalFormatting sqref="DH9">
    <cfRule type="cellIs" dxfId="11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topLeftCell="A11" zoomScale="60" zoomScaleNormal="100" workbookViewId="0">
      <selection sqref="A1:J1"/>
    </sheetView>
  </sheetViews>
  <sheetFormatPr defaultRowHeight="14.5" outlineLevelRow="1"/>
  <cols>
    <col min="1" max="106" width="0.81640625" customWidth="1"/>
    <col min="108" max="108" width="14.26953125" customWidth="1"/>
    <col min="109" max="110" width="15.7265625" customWidth="1"/>
    <col min="111" max="111" width="0" hidden="1" customWidth="1"/>
    <col min="112" max="112" width="47.8164062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19"/>
      <c r="AU2" s="19"/>
      <c r="AV2" s="19"/>
      <c r="AW2" s="19"/>
      <c r="AX2" s="19"/>
      <c r="AY2" s="19"/>
      <c r="AZ2" s="19"/>
      <c r="BA2" s="19"/>
      <c r="BB2" s="758" t="str">
        <f>ФОРМА!G2</f>
        <v>Санкт-Петербург</v>
      </c>
      <c r="BC2" s="758"/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H2" s="142"/>
    </row>
    <row r="3" spans="1:112" s="2" customFormat="1" ht="12" customHeight="1" outlineLevel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21"/>
      <c r="AU3" s="21"/>
      <c r="AV3" s="21"/>
      <c r="AW3" s="21"/>
      <c r="AX3" s="21"/>
      <c r="AY3" s="21"/>
      <c r="AZ3" s="21"/>
      <c r="BA3" s="21"/>
      <c r="BB3" s="770" t="s">
        <v>0</v>
      </c>
      <c r="BC3" s="770"/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outlineLevel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19"/>
      <c r="AU4" s="19"/>
      <c r="AV4" s="19"/>
      <c r="AW4" s="19"/>
      <c r="AX4" s="19"/>
      <c r="AY4" s="19"/>
      <c r="AZ4" s="19"/>
      <c r="BA4" s="19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 outlineLevel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21"/>
      <c r="AU5" s="21"/>
      <c r="AV5" s="21"/>
      <c r="AW5" s="21"/>
      <c r="AX5" s="21"/>
      <c r="AY5" s="21"/>
      <c r="AZ5" s="21"/>
      <c r="BA5" s="21"/>
      <c r="BB5" s="770" t="s">
        <v>2</v>
      </c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.5" outlineLevel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21"/>
      <c r="AU6" s="21"/>
      <c r="AV6" s="21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21"/>
      <c r="AU7" s="21"/>
      <c r="AV7" s="21"/>
      <c r="AW7" s="21"/>
      <c r="AX7" s="21"/>
      <c r="AY7" s="21"/>
      <c r="AZ7" s="21"/>
      <c r="BA7" s="21"/>
      <c r="BB7" s="770" t="s">
        <v>38</v>
      </c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outlineLevel="1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19"/>
      <c r="AU8" s="19"/>
      <c r="AV8" s="19"/>
      <c r="AW8" s="19"/>
      <c r="AX8" s="19"/>
      <c r="AY8" s="19"/>
      <c r="AZ8" s="19"/>
      <c r="BA8" s="19"/>
      <c r="BB8" s="735">
        <f>ФОРМА!B13</f>
        <v>45625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 outlineLevel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21"/>
      <c r="AU9" s="21"/>
      <c r="AV9" s="21"/>
      <c r="AW9" s="21"/>
      <c r="AX9" s="21"/>
      <c r="AY9" s="21"/>
      <c r="AZ9" s="21"/>
      <c r="BA9" s="21"/>
      <c r="BB9" s="770" t="s">
        <v>3</v>
      </c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30.75" customHeight="1">
      <c r="A10" s="737" t="s">
        <v>514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38"/>
      <c r="O10" s="738"/>
      <c r="P10" s="738"/>
      <c r="Q10" s="738"/>
      <c r="R10" s="738"/>
      <c r="S10" s="738"/>
      <c r="T10" s="738"/>
      <c r="U10" s="738"/>
      <c r="V10" s="738"/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38"/>
      <c r="AT10" s="738"/>
      <c r="AU10" s="738"/>
      <c r="AV10" s="738"/>
      <c r="AW10" s="738"/>
      <c r="AX10" s="738"/>
      <c r="AY10" s="738"/>
      <c r="AZ10" s="738"/>
      <c r="BA10" s="738"/>
      <c r="BB10" s="738"/>
      <c r="BC10" s="738"/>
      <c r="BD10" s="738"/>
      <c r="BE10" s="738"/>
      <c r="BF10" s="738"/>
      <c r="BG10" s="738"/>
      <c r="BH10" s="738"/>
      <c r="BI10" s="738"/>
      <c r="BJ10" s="738"/>
      <c r="BK10" s="738"/>
      <c r="BL10" s="738"/>
      <c r="BM10" s="738"/>
      <c r="BN10" s="738"/>
      <c r="BO10" s="738"/>
      <c r="BP10" s="738"/>
      <c r="BQ10" s="738"/>
      <c r="BR10" s="738"/>
      <c r="BS10" s="738"/>
      <c r="BT10" s="738"/>
      <c r="BU10" s="738"/>
      <c r="BV10" s="738"/>
      <c r="BW10" s="738"/>
      <c r="BX10" s="738"/>
      <c r="BY10" s="738"/>
      <c r="BZ10" s="738"/>
      <c r="CA10" s="738"/>
      <c r="CB10" s="738"/>
      <c r="CC10" s="738"/>
      <c r="CD10" s="738"/>
      <c r="CE10" s="738"/>
      <c r="CF10" s="738"/>
      <c r="CG10" s="738"/>
      <c r="CH10" s="738"/>
      <c r="CI10" s="738"/>
      <c r="CJ10" s="738"/>
      <c r="CK10" s="738"/>
      <c r="CL10" s="738"/>
      <c r="CM10" s="738"/>
      <c r="CN10" s="738"/>
      <c r="CO10" s="738"/>
      <c r="CP10" s="738"/>
      <c r="CQ10" s="738"/>
      <c r="CR10" s="738"/>
      <c r="CS10" s="738"/>
      <c r="CT10" s="738"/>
      <c r="CU10" s="738"/>
      <c r="CV10" s="738"/>
      <c r="CW10" s="738"/>
      <c r="CX10" s="738"/>
      <c r="CY10" s="738"/>
      <c r="CZ10" s="738"/>
      <c r="DA10" s="738"/>
      <c r="DB10" s="738"/>
    </row>
    <row r="11" spans="1:112" ht="35.5" customHeight="1">
      <c r="A11" s="912" t="s">
        <v>1044</v>
      </c>
      <c r="B11" s="912"/>
      <c r="C11" s="912"/>
      <c r="D11" s="912"/>
      <c r="E11" s="912"/>
      <c r="F11" s="912"/>
      <c r="G11" s="912"/>
      <c r="H11" s="912"/>
      <c r="I11" s="912"/>
      <c r="J11" s="912"/>
      <c r="K11" s="912"/>
      <c r="L11" s="912"/>
      <c r="M11" s="912"/>
      <c r="N11" s="912"/>
      <c r="O11" s="912"/>
      <c r="P11" s="912"/>
      <c r="Q11" s="912"/>
      <c r="R11" s="912"/>
      <c r="S11" s="912"/>
      <c r="T11" s="912"/>
      <c r="U11" s="912"/>
      <c r="V11" s="912"/>
      <c r="W11" s="912"/>
      <c r="X11" s="912"/>
      <c r="Y11" s="912"/>
      <c r="Z11" s="912"/>
      <c r="AA11" s="912"/>
      <c r="AB11" s="912"/>
      <c r="AC11" s="912"/>
      <c r="AD11" s="912"/>
      <c r="AE11" s="912"/>
      <c r="AF11" s="912"/>
      <c r="AG11" s="912"/>
      <c r="AH11" s="912"/>
      <c r="AI11" s="912"/>
      <c r="AJ11" s="912"/>
      <c r="AK11" s="912"/>
      <c r="AL11" s="912"/>
      <c r="AM11" s="912"/>
      <c r="AN11" s="912"/>
      <c r="AO11" s="912"/>
      <c r="AP11" s="912"/>
      <c r="AQ11" s="912"/>
      <c r="AR11" s="912"/>
      <c r="AS11" s="912"/>
      <c r="AT11" s="912"/>
      <c r="AU11" s="912"/>
      <c r="AV11" s="912"/>
      <c r="AW11" s="912"/>
      <c r="AX11" s="912"/>
      <c r="AY11" s="912"/>
      <c r="AZ11" s="912"/>
      <c r="BA11" s="912"/>
      <c r="BB11" s="912"/>
      <c r="BC11" s="912"/>
      <c r="BD11" s="912"/>
      <c r="BE11" s="912"/>
      <c r="BF11" s="912"/>
      <c r="BG11" s="912"/>
      <c r="BH11" s="912"/>
      <c r="BI11" s="912"/>
      <c r="BJ11" s="912"/>
      <c r="BK11" s="912"/>
      <c r="BL11" s="912"/>
      <c r="BM11" s="912"/>
      <c r="BN11" s="912"/>
      <c r="BO11" s="912"/>
      <c r="BP11" s="912"/>
      <c r="BQ11" s="912"/>
      <c r="BR11" s="912"/>
      <c r="BS11" s="912"/>
      <c r="BT11" s="912"/>
      <c r="BU11" s="912"/>
      <c r="BV11" s="912"/>
      <c r="BW11" s="912"/>
      <c r="BX11" s="912"/>
      <c r="BY11" s="912"/>
      <c r="BZ11" s="912"/>
      <c r="CA11" s="912"/>
      <c r="CB11" s="912"/>
      <c r="CC11" s="912"/>
      <c r="CD11" s="912"/>
      <c r="CE11" s="912"/>
      <c r="CF11" s="912"/>
      <c r="CG11" s="912"/>
      <c r="CH11" s="912"/>
      <c r="CI11" s="912"/>
      <c r="CJ11" s="912"/>
      <c r="CK11" s="912"/>
      <c r="CL11" s="912"/>
      <c r="CM11" s="912"/>
      <c r="CN11" s="912"/>
      <c r="CO11" s="912"/>
      <c r="CP11" s="912"/>
      <c r="CQ11" s="912"/>
      <c r="CR11" s="912"/>
      <c r="CS11" s="912"/>
      <c r="CT11" s="912"/>
      <c r="CU11" s="912"/>
      <c r="CV11" s="912"/>
      <c r="CW11" s="912"/>
      <c r="CX11" s="912"/>
      <c r="CY11" s="912"/>
      <c r="CZ11" s="912"/>
      <c r="DA11" s="912"/>
      <c r="DB11" s="912"/>
    </row>
    <row r="12" spans="1:112">
      <c r="A12" s="912" t="s">
        <v>1045</v>
      </c>
      <c r="B12" s="912"/>
      <c r="C12" s="912"/>
      <c r="D12" s="912"/>
      <c r="E12" s="912"/>
      <c r="F12" s="912"/>
      <c r="G12" s="912"/>
      <c r="H12" s="912"/>
      <c r="I12" s="912"/>
      <c r="J12" s="912"/>
      <c r="K12" s="912"/>
      <c r="L12" s="912"/>
      <c r="M12" s="912"/>
      <c r="N12" s="912"/>
      <c r="O12" s="912"/>
      <c r="P12" s="912"/>
      <c r="Q12" s="912"/>
      <c r="R12" s="912"/>
      <c r="S12" s="912"/>
      <c r="T12" s="912"/>
      <c r="U12" s="912"/>
      <c r="V12" s="912"/>
      <c r="W12" s="912"/>
      <c r="X12" s="912"/>
      <c r="Y12" s="912"/>
      <c r="Z12" s="912"/>
      <c r="AA12" s="912"/>
      <c r="AB12" s="912"/>
      <c r="AC12" s="912"/>
      <c r="AD12" s="912"/>
      <c r="AE12" s="912"/>
      <c r="AF12" s="912"/>
      <c r="AG12" s="912"/>
      <c r="AH12" s="912"/>
      <c r="AI12" s="912"/>
      <c r="AJ12" s="912"/>
      <c r="AK12" s="912"/>
      <c r="AL12" s="912"/>
      <c r="AM12" s="912"/>
      <c r="AN12" s="912"/>
      <c r="AO12" s="912"/>
      <c r="AP12" s="912"/>
      <c r="AQ12" s="912"/>
      <c r="AR12" s="912"/>
      <c r="AS12" s="912"/>
      <c r="AT12" s="912"/>
      <c r="AU12" s="912"/>
      <c r="AV12" s="912"/>
      <c r="AW12" s="912"/>
      <c r="AX12" s="912"/>
      <c r="AY12" s="912"/>
      <c r="AZ12" s="912"/>
      <c r="BA12" s="912"/>
      <c r="BB12" s="912"/>
      <c r="BC12" s="912"/>
      <c r="BD12" s="912"/>
      <c r="BE12" s="912"/>
      <c r="BF12" s="912"/>
      <c r="BG12" s="912"/>
      <c r="BH12" s="912"/>
      <c r="BI12" s="912"/>
      <c r="BJ12" s="912"/>
      <c r="BK12" s="912"/>
      <c r="BL12" s="912"/>
      <c r="BM12" s="912"/>
      <c r="BN12" s="912"/>
      <c r="BO12" s="912"/>
      <c r="BP12" s="912"/>
      <c r="BQ12" s="912"/>
      <c r="BR12" s="912"/>
      <c r="BS12" s="912"/>
      <c r="BT12" s="912"/>
      <c r="BU12" s="912"/>
      <c r="BV12" s="912"/>
      <c r="BW12" s="912"/>
      <c r="BX12" s="912"/>
      <c r="BY12" s="912"/>
      <c r="BZ12" s="912"/>
      <c r="CA12" s="912"/>
      <c r="CB12" s="912"/>
      <c r="CC12" s="912"/>
      <c r="CD12" s="912"/>
      <c r="CE12" s="912"/>
      <c r="CF12" s="912"/>
      <c r="CG12" s="912"/>
      <c r="CH12" s="912"/>
      <c r="CI12" s="912"/>
      <c r="CJ12" s="912"/>
      <c r="CK12" s="912"/>
      <c r="CL12" s="912"/>
      <c r="CM12" s="912"/>
      <c r="CN12" s="912"/>
      <c r="CO12" s="912"/>
      <c r="CP12" s="912"/>
      <c r="CQ12" s="912"/>
      <c r="CR12" s="912"/>
      <c r="CS12" s="912"/>
      <c r="CT12" s="912"/>
      <c r="CU12" s="912"/>
      <c r="CV12" s="912"/>
      <c r="CW12" s="912"/>
      <c r="CX12" s="912"/>
      <c r="CY12" s="912"/>
      <c r="CZ12" s="912"/>
      <c r="DA12" s="912"/>
      <c r="DB12" s="912"/>
    </row>
    <row r="13" spans="1:112">
      <c r="A13" s="909" t="s">
        <v>372</v>
      </c>
      <c r="B13" s="909"/>
      <c r="C13" s="909"/>
      <c r="D13" s="909"/>
      <c r="E13" s="909"/>
      <c r="F13" s="909"/>
      <c r="G13" s="909"/>
      <c r="H13" s="909"/>
      <c r="I13" s="909"/>
      <c r="J13" s="909"/>
      <c r="K13" s="909"/>
      <c r="L13" s="909"/>
      <c r="M13" s="909"/>
      <c r="N13" s="909"/>
      <c r="O13" s="909"/>
      <c r="P13" s="909"/>
      <c r="Q13" s="909"/>
      <c r="R13" s="909"/>
      <c r="S13" s="909"/>
      <c r="T13" s="909"/>
      <c r="U13" s="909"/>
      <c r="V13" s="909"/>
      <c r="W13" s="909"/>
      <c r="X13" s="909"/>
      <c r="Y13" s="909"/>
      <c r="Z13" s="909"/>
      <c r="AA13" s="909"/>
      <c r="AB13" s="909"/>
      <c r="AC13" s="909"/>
      <c r="AD13" s="909"/>
      <c r="AE13" s="909"/>
      <c r="AF13" s="909"/>
      <c r="AG13" s="909"/>
      <c r="AH13" s="909"/>
      <c r="AI13" s="909"/>
      <c r="AJ13" s="909"/>
      <c r="AK13" s="909"/>
      <c r="AL13" s="909"/>
      <c r="AM13" s="909"/>
      <c r="AN13" s="909"/>
      <c r="AO13" s="909"/>
      <c r="AP13" s="909"/>
      <c r="AQ13" s="909"/>
      <c r="AR13" s="909"/>
      <c r="AS13" s="909"/>
      <c r="AT13" s="909"/>
      <c r="AU13" s="909"/>
      <c r="AV13" s="909"/>
      <c r="AW13" s="909"/>
      <c r="AX13" s="909"/>
      <c r="AY13" s="909"/>
      <c r="AZ13" s="909"/>
      <c r="BA13" s="909"/>
      <c r="BB13" s="909"/>
      <c r="BC13" s="909"/>
      <c r="BD13" s="909"/>
      <c r="BE13" s="909"/>
      <c r="BF13" s="909"/>
      <c r="BG13" s="909"/>
      <c r="BH13" s="909"/>
      <c r="BI13" s="909"/>
      <c r="BJ13" s="909"/>
      <c r="BK13" s="909"/>
      <c r="BL13" s="909"/>
      <c r="BM13" s="909"/>
      <c r="BN13" s="909"/>
      <c r="BO13" s="909"/>
      <c r="BP13" s="909"/>
      <c r="BQ13" s="909"/>
      <c r="BR13" s="909"/>
      <c r="BS13" s="909"/>
      <c r="BT13" s="909"/>
      <c r="BU13" s="909"/>
      <c r="BV13" s="909"/>
      <c r="BW13" s="909"/>
      <c r="BX13" s="909"/>
      <c r="BY13" s="909"/>
      <c r="BZ13" s="909"/>
      <c r="CA13" s="909"/>
      <c r="CB13" s="909"/>
      <c r="CC13" s="909"/>
      <c r="CD13" s="909"/>
      <c r="CE13" s="909"/>
      <c r="CF13" s="909"/>
      <c r="CG13" s="909"/>
      <c r="CH13" s="909"/>
      <c r="CI13" s="909"/>
      <c r="CJ13" s="909"/>
      <c r="CK13" s="909"/>
      <c r="CL13" s="909"/>
      <c r="CM13" s="909"/>
      <c r="CN13" s="909"/>
      <c r="CO13" s="909"/>
      <c r="CP13" s="909"/>
      <c r="CQ13" s="909"/>
      <c r="CR13" s="909"/>
      <c r="CS13" s="909"/>
      <c r="CT13" s="909"/>
      <c r="CU13" s="909"/>
      <c r="CV13" s="909"/>
      <c r="CW13" s="909"/>
      <c r="CX13" s="909"/>
      <c r="CY13" s="909"/>
      <c r="CZ13" s="909"/>
      <c r="DA13" s="909"/>
      <c r="DB13" s="909"/>
    </row>
    <row r="14" spans="1:112" ht="10.9" customHeight="1">
      <c r="A14" s="934" t="s">
        <v>373</v>
      </c>
      <c r="B14" s="934"/>
      <c r="C14" s="934"/>
      <c r="D14" s="934"/>
      <c r="E14" s="934"/>
      <c r="F14" s="934"/>
      <c r="G14" s="934"/>
      <c r="H14" s="934"/>
      <c r="I14" s="934"/>
      <c r="J14" s="934"/>
      <c r="K14" s="934"/>
      <c r="L14" s="934"/>
      <c r="M14" s="934"/>
      <c r="N14" s="934"/>
      <c r="O14" s="934"/>
      <c r="P14" s="934"/>
      <c r="Q14" s="934"/>
      <c r="R14" s="934"/>
      <c r="S14" s="934"/>
      <c r="T14" s="934"/>
      <c r="U14" s="934"/>
      <c r="V14" s="934"/>
      <c r="W14" s="934"/>
      <c r="X14" s="934"/>
      <c r="Y14" s="934"/>
      <c r="Z14" s="934"/>
      <c r="AA14" s="934"/>
      <c r="AB14" s="934"/>
      <c r="AC14" s="934"/>
      <c r="AD14" s="934"/>
      <c r="AE14" s="934"/>
      <c r="AF14" s="934"/>
      <c r="AG14" s="934"/>
      <c r="AH14" s="934"/>
      <c r="AI14" s="934"/>
      <c r="AJ14" s="934"/>
      <c r="AK14" s="934"/>
      <c r="AL14" s="934"/>
      <c r="AM14" s="934"/>
      <c r="AN14" s="934"/>
      <c r="AO14" s="934"/>
      <c r="AP14" s="934"/>
      <c r="AQ14" s="934"/>
      <c r="AR14" s="934"/>
      <c r="AS14" s="934"/>
      <c r="AT14" s="934"/>
      <c r="AU14" s="934"/>
      <c r="AV14" s="934"/>
      <c r="AW14" s="934"/>
      <c r="AX14" s="934"/>
      <c r="AY14" s="934"/>
      <c r="AZ14" s="934"/>
      <c r="BA14" s="934"/>
      <c r="BB14" s="934"/>
      <c r="BC14" s="934"/>
      <c r="BD14" s="934"/>
      <c r="BE14" s="934"/>
      <c r="BF14" s="934"/>
      <c r="BG14" s="934"/>
      <c r="BH14" s="934"/>
      <c r="BI14" s="934"/>
      <c r="BJ14" s="934"/>
      <c r="BK14" s="934"/>
      <c r="BL14" s="934"/>
      <c r="BM14" s="934"/>
      <c r="BN14" s="934"/>
      <c r="BO14" s="934"/>
      <c r="BP14" s="934"/>
      <c r="BQ14" s="934"/>
      <c r="BR14" s="934"/>
      <c r="BS14" s="934"/>
      <c r="BT14" s="934"/>
      <c r="BU14" s="934"/>
      <c r="BV14" s="934"/>
      <c r="BW14" s="934"/>
      <c r="BX14" s="934"/>
      <c r="BY14" s="934"/>
      <c r="BZ14" s="934"/>
      <c r="CA14" s="934"/>
      <c r="CB14" s="934"/>
      <c r="CC14" s="934"/>
      <c r="CD14" s="934"/>
      <c r="CE14" s="934"/>
      <c r="CF14" s="934"/>
      <c r="CG14" s="934"/>
      <c r="CH14" s="934"/>
      <c r="CI14" s="934"/>
      <c r="CJ14" s="934"/>
      <c r="CK14" s="934"/>
      <c r="CL14" s="934"/>
      <c r="CM14" s="934"/>
      <c r="CN14" s="934"/>
      <c r="CO14" s="934"/>
      <c r="CP14" s="934"/>
      <c r="CQ14" s="934"/>
      <c r="CR14" s="934"/>
      <c r="CS14" s="934"/>
      <c r="CT14" s="934"/>
      <c r="CU14" s="934"/>
      <c r="CV14" s="934"/>
      <c r="CW14" s="934"/>
      <c r="CX14" s="934"/>
      <c r="CY14" s="934"/>
      <c r="CZ14" s="934"/>
      <c r="DA14" s="934"/>
      <c r="DB14" s="934"/>
    </row>
    <row r="15" spans="1:112" ht="28.15" customHeight="1">
      <c r="A15" s="912" t="s">
        <v>1046</v>
      </c>
      <c r="B15" s="912"/>
      <c r="C15" s="912"/>
      <c r="D15" s="912"/>
      <c r="E15" s="912"/>
      <c r="F15" s="912"/>
      <c r="G15" s="912"/>
      <c r="H15" s="912"/>
      <c r="I15" s="912"/>
      <c r="J15" s="912"/>
      <c r="K15" s="912"/>
      <c r="L15" s="912"/>
      <c r="M15" s="912"/>
      <c r="N15" s="912"/>
      <c r="O15" s="912"/>
      <c r="P15" s="912"/>
      <c r="Q15" s="912"/>
      <c r="R15" s="912"/>
      <c r="S15" s="912"/>
      <c r="T15" s="912"/>
      <c r="U15" s="912"/>
      <c r="V15" s="912"/>
      <c r="W15" s="912"/>
      <c r="X15" s="912"/>
      <c r="Y15" s="912"/>
      <c r="Z15" s="912"/>
      <c r="AA15" s="912"/>
      <c r="AB15" s="912"/>
      <c r="AC15" s="912"/>
      <c r="AD15" s="912"/>
      <c r="AE15" s="912"/>
      <c r="AF15" s="912"/>
      <c r="AG15" s="912"/>
      <c r="AH15" s="912"/>
      <c r="AI15" s="912"/>
      <c r="AJ15" s="912"/>
      <c r="AK15" s="912"/>
      <c r="AL15" s="912"/>
      <c r="AM15" s="912"/>
      <c r="AN15" s="912"/>
      <c r="AO15" s="912"/>
      <c r="AP15" s="912"/>
      <c r="AQ15" s="912"/>
      <c r="AR15" s="912"/>
      <c r="AS15" s="912"/>
      <c r="AT15" s="912"/>
      <c r="AU15" s="912"/>
      <c r="AV15" s="912"/>
      <c r="AW15" s="912"/>
      <c r="AX15" s="912"/>
      <c r="AY15" s="912"/>
      <c r="AZ15" s="912"/>
      <c r="BA15" s="912"/>
      <c r="BB15" s="912"/>
      <c r="BC15" s="912"/>
      <c r="BD15" s="912"/>
      <c r="BE15" s="912"/>
      <c r="BF15" s="912"/>
      <c r="BG15" s="912"/>
      <c r="BH15" s="912"/>
      <c r="BI15" s="912"/>
      <c r="BJ15" s="912"/>
      <c r="BK15" s="912"/>
      <c r="BL15" s="912"/>
      <c r="BM15" s="912"/>
      <c r="BN15" s="912"/>
      <c r="BO15" s="912"/>
      <c r="BP15" s="912"/>
      <c r="BQ15" s="912"/>
      <c r="BR15" s="912"/>
      <c r="BS15" s="912"/>
      <c r="BT15" s="912"/>
      <c r="BU15" s="912"/>
      <c r="BV15" s="912"/>
      <c r="BW15" s="912"/>
      <c r="BX15" s="912"/>
      <c r="BY15" s="912"/>
      <c r="BZ15" s="912"/>
      <c r="CA15" s="912"/>
      <c r="CB15" s="912"/>
      <c r="CC15" s="912"/>
      <c r="CD15" s="912"/>
      <c r="CE15" s="912"/>
      <c r="CF15" s="912"/>
      <c r="CG15" s="912"/>
      <c r="CH15" s="912"/>
      <c r="CI15" s="912"/>
      <c r="CJ15" s="912"/>
      <c r="CK15" s="912"/>
      <c r="CL15" s="912"/>
      <c r="CM15" s="912"/>
      <c r="CN15" s="912"/>
      <c r="CO15" s="912"/>
      <c r="CP15" s="912"/>
      <c r="CQ15" s="912"/>
      <c r="CR15" s="912"/>
      <c r="CS15" s="912"/>
      <c r="CT15" s="912"/>
      <c r="CU15" s="912"/>
      <c r="CV15" s="912"/>
      <c r="CW15" s="912"/>
      <c r="CX15" s="912"/>
      <c r="CY15" s="912"/>
      <c r="CZ15" s="912"/>
      <c r="DA15" s="912"/>
      <c r="DB15" s="912"/>
    </row>
    <row r="16" spans="1:112">
      <c r="A16" s="909" t="s">
        <v>372</v>
      </c>
      <c r="B16" s="909"/>
      <c r="C16" s="909"/>
      <c r="D16" s="909"/>
      <c r="E16" s="909"/>
      <c r="F16" s="909"/>
      <c r="G16" s="909"/>
      <c r="H16" s="909"/>
      <c r="I16" s="909"/>
      <c r="J16" s="909"/>
      <c r="K16" s="909"/>
      <c r="L16" s="909"/>
      <c r="M16" s="909"/>
      <c r="N16" s="909"/>
      <c r="O16" s="909"/>
      <c r="P16" s="909"/>
      <c r="Q16" s="909"/>
      <c r="R16" s="909"/>
      <c r="S16" s="909"/>
      <c r="T16" s="909"/>
      <c r="U16" s="909"/>
      <c r="V16" s="909"/>
      <c r="W16" s="909"/>
      <c r="X16" s="909"/>
      <c r="Y16" s="909"/>
      <c r="Z16" s="909"/>
      <c r="AA16" s="909"/>
      <c r="AB16" s="909"/>
      <c r="AC16" s="909"/>
      <c r="AD16" s="909"/>
      <c r="AE16" s="909"/>
      <c r="AF16" s="909"/>
      <c r="AG16" s="909"/>
      <c r="AH16" s="909"/>
      <c r="AI16" s="909"/>
      <c r="AJ16" s="909"/>
      <c r="AK16" s="909"/>
      <c r="AL16" s="909"/>
      <c r="AM16" s="909"/>
      <c r="AN16" s="909"/>
      <c r="AO16" s="909"/>
      <c r="AP16" s="909"/>
      <c r="AQ16" s="909"/>
      <c r="AR16" s="909"/>
      <c r="AS16" s="909"/>
      <c r="AT16" s="909"/>
      <c r="AU16" s="909"/>
      <c r="AV16" s="909"/>
      <c r="AW16" s="909"/>
      <c r="AX16" s="909"/>
      <c r="AY16" s="909"/>
      <c r="AZ16" s="909"/>
      <c r="BA16" s="909"/>
      <c r="BB16" s="909"/>
      <c r="BC16" s="909"/>
      <c r="BD16" s="909"/>
      <c r="BE16" s="909"/>
      <c r="BF16" s="909"/>
      <c r="BG16" s="909"/>
      <c r="BH16" s="909"/>
      <c r="BI16" s="909"/>
      <c r="BJ16" s="909"/>
      <c r="BK16" s="909"/>
      <c r="BL16" s="909"/>
      <c r="BM16" s="909"/>
      <c r="BN16" s="909"/>
      <c r="BO16" s="909"/>
      <c r="BP16" s="909"/>
      <c r="BQ16" s="909"/>
      <c r="BR16" s="909"/>
      <c r="BS16" s="909"/>
      <c r="BT16" s="909"/>
      <c r="BU16" s="909"/>
      <c r="BV16" s="909"/>
      <c r="BW16" s="909"/>
      <c r="BX16" s="909"/>
      <c r="BY16" s="909"/>
      <c r="BZ16" s="909"/>
      <c r="CA16" s="909"/>
      <c r="CB16" s="909"/>
      <c r="CC16" s="909"/>
      <c r="CD16" s="909"/>
      <c r="CE16" s="909"/>
      <c r="CF16" s="909"/>
      <c r="CG16" s="909"/>
      <c r="CH16" s="909"/>
      <c r="CI16" s="909"/>
      <c r="CJ16" s="909"/>
      <c r="CK16" s="909"/>
      <c r="CL16" s="909"/>
      <c r="CM16" s="909"/>
      <c r="CN16" s="909"/>
      <c r="CO16" s="909"/>
      <c r="CP16" s="909"/>
      <c r="CQ16" s="909"/>
      <c r="CR16" s="909"/>
      <c r="CS16" s="909"/>
      <c r="CT16" s="909"/>
      <c r="CU16" s="909"/>
      <c r="CV16" s="909"/>
      <c r="CW16" s="909"/>
      <c r="CX16" s="909"/>
      <c r="CY16" s="909"/>
      <c r="CZ16" s="909"/>
      <c r="DA16" s="909"/>
      <c r="DB16" s="909"/>
    </row>
    <row r="17" spans="1:106" ht="10.15" customHeight="1">
      <c r="A17" s="934" t="s">
        <v>373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4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4"/>
      <c r="AL17" s="934"/>
      <c r="AM17" s="934"/>
      <c r="AN17" s="934"/>
      <c r="AO17" s="934"/>
      <c r="AP17" s="934"/>
      <c r="AQ17" s="934"/>
      <c r="AR17" s="934"/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4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4"/>
      <c r="BV17" s="934"/>
      <c r="BW17" s="934"/>
      <c r="BX17" s="934"/>
      <c r="BY17" s="934"/>
      <c r="BZ17" s="934"/>
      <c r="CA17" s="934"/>
      <c r="CB17" s="934"/>
      <c r="CC17" s="934"/>
      <c r="CD17" s="934"/>
      <c r="CE17" s="934"/>
      <c r="CF17" s="934"/>
      <c r="CG17" s="934"/>
      <c r="CH17" s="934"/>
      <c r="CI17" s="934"/>
      <c r="CJ17" s="934"/>
      <c r="CK17" s="934"/>
      <c r="CL17" s="934"/>
      <c r="CM17" s="934"/>
      <c r="CN17" s="934"/>
      <c r="CO17" s="934"/>
      <c r="CP17" s="934"/>
      <c r="CQ17" s="934"/>
      <c r="CR17" s="934"/>
      <c r="CS17" s="934"/>
      <c r="CT17" s="934"/>
      <c r="CU17" s="934"/>
      <c r="CV17" s="934"/>
      <c r="CW17" s="934"/>
      <c r="CX17" s="934"/>
      <c r="CY17" s="934"/>
      <c r="CZ17" s="934"/>
      <c r="DA17" s="934"/>
      <c r="DB17" s="934"/>
    </row>
    <row r="18" spans="1:106">
      <c r="A18" s="912" t="s">
        <v>374</v>
      </c>
      <c r="B18" s="912"/>
      <c r="C18" s="912"/>
      <c r="D18" s="912"/>
      <c r="E18" s="912"/>
      <c r="F18" s="912"/>
      <c r="G18" s="912"/>
      <c r="H18" s="912"/>
      <c r="I18" s="912"/>
      <c r="J18" s="912"/>
      <c r="K18" s="912"/>
      <c r="L18" s="912"/>
      <c r="M18" s="912"/>
      <c r="N18" s="912"/>
      <c r="O18" s="912"/>
      <c r="P18" s="912"/>
      <c r="Q18" s="912"/>
      <c r="R18" s="912"/>
      <c r="S18" s="912"/>
      <c r="T18" s="912"/>
      <c r="U18" s="912"/>
      <c r="V18" s="912"/>
      <c r="W18" s="912"/>
      <c r="X18" s="912"/>
      <c r="Y18" s="912"/>
      <c r="Z18" s="912"/>
      <c r="AA18" s="912"/>
      <c r="AB18" s="912"/>
      <c r="AC18" s="912"/>
      <c r="AD18" s="912"/>
      <c r="AE18" s="912"/>
      <c r="AF18" s="912"/>
      <c r="AG18" s="912"/>
      <c r="AH18" s="912"/>
      <c r="AI18" s="912"/>
      <c r="AJ18" s="912"/>
      <c r="AK18" s="912"/>
      <c r="AL18" s="912"/>
      <c r="AM18" s="912"/>
      <c r="AN18" s="912"/>
      <c r="AO18" s="912"/>
      <c r="AP18" s="912"/>
      <c r="AQ18" s="912"/>
      <c r="AR18" s="912"/>
      <c r="AS18" s="912"/>
      <c r="AT18" s="912"/>
      <c r="AU18" s="912"/>
      <c r="AV18" s="912"/>
      <c r="AW18" s="912"/>
      <c r="AX18" s="912"/>
      <c r="AY18" s="912"/>
      <c r="AZ18" s="912"/>
      <c r="BA18" s="912"/>
      <c r="BB18" s="912"/>
      <c r="BC18" s="912"/>
      <c r="BD18" s="912"/>
      <c r="BE18" s="912"/>
      <c r="BF18" s="912"/>
      <c r="BG18" s="912"/>
      <c r="BH18" s="912"/>
      <c r="BI18" s="912"/>
      <c r="BJ18" s="912"/>
      <c r="BK18" s="912"/>
      <c r="BL18" s="912"/>
      <c r="BM18" s="912"/>
      <c r="BN18" s="912"/>
      <c r="BO18" s="912"/>
      <c r="BP18" s="912"/>
      <c r="BQ18" s="912"/>
      <c r="BR18" s="912"/>
      <c r="BS18" s="912"/>
      <c r="BT18" s="912"/>
      <c r="BU18" s="912"/>
      <c r="BV18" s="912"/>
      <c r="BW18" s="912"/>
      <c r="BX18" s="912"/>
      <c r="BY18" s="912"/>
      <c r="BZ18" s="912"/>
      <c r="CA18" s="912"/>
      <c r="CB18" s="912"/>
      <c r="CC18" s="912"/>
      <c r="CD18" s="912"/>
      <c r="CE18" s="912"/>
      <c r="CF18" s="912"/>
      <c r="CG18" s="912"/>
      <c r="CH18" s="912"/>
      <c r="CI18" s="912"/>
      <c r="CJ18" s="912"/>
      <c r="CK18" s="912"/>
      <c r="CL18" s="912"/>
      <c r="CM18" s="912"/>
      <c r="CN18" s="912"/>
      <c r="CO18" s="912"/>
      <c r="CP18" s="912"/>
      <c r="CQ18" s="912"/>
      <c r="CR18" s="912"/>
      <c r="CS18" s="912"/>
      <c r="CT18" s="912"/>
      <c r="CU18" s="912"/>
      <c r="CV18" s="912"/>
      <c r="CW18" s="912"/>
      <c r="CX18" s="912"/>
      <c r="CY18" s="912"/>
      <c r="CZ18" s="912"/>
      <c r="DA18" s="912"/>
      <c r="DB18" s="912"/>
    </row>
    <row r="19" spans="1:106">
      <c r="A19" s="909" t="s">
        <v>372</v>
      </c>
      <c r="B19" s="909"/>
      <c r="C19" s="909"/>
      <c r="D19" s="909"/>
      <c r="E19" s="909"/>
      <c r="F19" s="909"/>
      <c r="G19" s="909"/>
      <c r="H19" s="909"/>
      <c r="I19" s="909"/>
      <c r="J19" s="909"/>
      <c r="K19" s="909"/>
      <c r="L19" s="909"/>
      <c r="M19" s="909"/>
      <c r="N19" s="909"/>
      <c r="O19" s="909"/>
      <c r="P19" s="909"/>
      <c r="Q19" s="909"/>
      <c r="R19" s="909"/>
      <c r="S19" s="909"/>
      <c r="T19" s="909"/>
      <c r="U19" s="909"/>
      <c r="V19" s="909"/>
      <c r="W19" s="909"/>
      <c r="X19" s="909"/>
      <c r="Y19" s="909"/>
      <c r="Z19" s="909"/>
      <c r="AA19" s="909"/>
      <c r="AB19" s="909"/>
      <c r="AC19" s="909"/>
      <c r="AD19" s="909"/>
      <c r="AE19" s="909"/>
      <c r="AF19" s="909"/>
      <c r="AG19" s="909"/>
      <c r="AH19" s="909"/>
      <c r="AI19" s="909"/>
      <c r="AJ19" s="909"/>
      <c r="AK19" s="909"/>
      <c r="AL19" s="909"/>
      <c r="AM19" s="909"/>
      <c r="AN19" s="909"/>
      <c r="AO19" s="909"/>
      <c r="AP19" s="909"/>
      <c r="AQ19" s="909"/>
      <c r="AR19" s="909"/>
      <c r="AS19" s="909"/>
      <c r="AT19" s="909"/>
      <c r="AU19" s="909"/>
      <c r="AV19" s="909"/>
      <c r="AW19" s="909"/>
      <c r="AX19" s="909"/>
      <c r="AY19" s="909"/>
      <c r="AZ19" s="909"/>
      <c r="BA19" s="909"/>
      <c r="BB19" s="909"/>
      <c r="BC19" s="909"/>
      <c r="BD19" s="909"/>
      <c r="BE19" s="909"/>
      <c r="BF19" s="909"/>
      <c r="BG19" s="909"/>
      <c r="BH19" s="909"/>
      <c r="BI19" s="909"/>
      <c r="BJ19" s="909"/>
      <c r="BK19" s="909"/>
      <c r="BL19" s="909"/>
      <c r="BM19" s="909"/>
      <c r="BN19" s="909"/>
      <c r="BO19" s="909"/>
      <c r="BP19" s="909"/>
      <c r="BQ19" s="909"/>
      <c r="BR19" s="909"/>
      <c r="BS19" s="909"/>
      <c r="BT19" s="909"/>
      <c r="BU19" s="909"/>
      <c r="BV19" s="909"/>
      <c r="BW19" s="909"/>
      <c r="BX19" s="909"/>
      <c r="BY19" s="909"/>
      <c r="BZ19" s="909"/>
      <c r="CA19" s="909"/>
      <c r="CB19" s="909"/>
      <c r="CC19" s="909"/>
      <c r="CD19" s="909"/>
      <c r="CE19" s="909"/>
      <c r="CF19" s="909"/>
      <c r="CG19" s="909"/>
      <c r="CH19" s="909"/>
      <c r="CI19" s="909"/>
      <c r="CJ19" s="909"/>
      <c r="CK19" s="909"/>
      <c r="CL19" s="909"/>
      <c r="CM19" s="909"/>
      <c r="CN19" s="909"/>
      <c r="CO19" s="909"/>
      <c r="CP19" s="909"/>
      <c r="CQ19" s="909"/>
      <c r="CR19" s="909"/>
      <c r="CS19" s="909"/>
      <c r="CT19" s="909"/>
      <c r="CU19" s="909"/>
      <c r="CV19" s="909"/>
      <c r="CW19" s="909"/>
      <c r="CX19" s="909"/>
      <c r="CY19" s="909"/>
      <c r="CZ19" s="909"/>
      <c r="DA19" s="909"/>
      <c r="DB19" s="909"/>
    </row>
    <row r="20" spans="1:106" ht="10.15" customHeight="1">
      <c r="A20" s="934" t="s">
        <v>373</v>
      </c>
      <c r="B20" s="934"/>
      <c r="C20" s="934"/>
      <c r="D20" s="934"/>
      <c r="E20" s="934"/>
      <c r="F20" s="934"/>
      <c r="G20" s="934"/>
      <c r="H20" s="934"/>
      <c r="I20" s="934"/>
      <c r="J20" s="934"/>
      <c r="K20" s="934"/>
      <c r="L20" s="934"/>
      <c r="M20" s="934"/>
      <c r="N20" s="934"/>
      <c r="O20" s="934"/>
      <c r="P20" s="934"/>
      <c r="Q20" s="934"/>
      <c r="R20" s="934"/>
      <c r="S20" s="934"/>
      <c r="T20" s="934"/>
      <c r="U20" s="934"/>
      <c r="V20" s="934"/>
      <c r="W20" s="934"/>
      <c r="X20" s="934"/>
      <c r="Y20" s="934"/>
      <c r="Z20" s="934"/>
      <c r="AA20" s="934"/>
      <c r="AB20" s="934"/>
      <c r="AC20" s="934"/>
      <c r="AD20" s="934"/>
      <c r="AE20" s="934"/>
      <c r="AF20" s="934"/>
      <c r="AG20" s="934"/>
      <c r="AH20" s="934"/>
      <c r="AI20" s="934"/>
      <c r="AJ20" s="934"/>
      <c r="AK20" s="934"/>
      <c r="AL20" s="934"/>
      <c r="AM20" s="934"/>
      <c r="AN20" s="934"/>
      <c r="AO20" s="934"/>
      <c r="AP20" s="934"/>
      <c r="AQ20" s="934"/>
      <c r="AR20" s="934"/>
      <c r="AS20" s="934"/>
      <c r="AT20" s="934"/>
      <c r="AU20" s="934"/>
      <c r="AV20" s="934"/>
      <c r="AW20" s="934"/>
      <c r="AX20" s="934"/>
      <c r="AY20" s="934"/>
      <c r="AZ20" s="934"/>
      <c r="BA20" s="934"/>
      <c r="BB20" s="934"/>
      <c r="BC20" s="934"/>
      <c r="BD20" s="934"/>
      <c r="BE20" s="934"/>
      <c r="BF20" s="934"/>
      <c r="BG20" s="934"/>
      <c r="BH20" s="934"/>
      <c r="BI20" s="934"/>
      <c r="BJ20" s="934"/>
      <c r="BK20" s="934"/>
      <c r="BL20" s="934"/>
      <c r="BM20" s="934"/>
      <c r="BN20" s="934"/>
      <c r="BO20" s="934"/>
      <c r="BP20" s="934"/>
      <c r="BQ20" s="934"/>
      <c r="BR20" s="934"/>
      <c r="BS20" s="934"/>
      <c r="BT20" s="934"/>
      <c r="BU20" s="934"/>
      <c r="BV20" s="934"/>
      <c r="BW20" s="934"/>
      <c r="BX20" s="934"/>
      <c r="BY20" s="934"/>
      <c r="BZ20" s="934"/>
      <c r="CA20" s="934"/>
      <c r="CB20" s="934"/>
      <c r="CC20" s="934"/>
      <c r="CD20" s="934"/>
      <c r="CE20" s="934"/>
      <c r="CF20" s="934"/>
      <c r="CG20" s="934"/>
      <c r="CH20" s="934"/>
      <c r="CI20" s="934"/>
      <c r="CJ20" s="934"/>
      <c r="CK20" s="934"/>
      <c r="CL20" s="934"/>
      <c r="CM20" s="934"/>
      <c r="CN20" s="934"/>
      <c r="CO20" s="934"/>
      <c r="CP20" s="934"/>
      <c r="CQ20" s="934"/>
      <c r="CR20" s="934"/>
      <c r="CS20" s="934"/>
      <c r="CT20" s="934"/>
      <c r="CU20" s="934"/>
      <c r="CV20" s="934"/>
      <c r="CW20" s="934"/>
      <c r="CX20" s="934"/>
      <c r="CY20" s="934"/>
      <c r="CZ20" s="934"/>
      <c r="DA20" s="934"/>
      <c r="DB20" s="934"/>
    </row>
    <row r="21" spans="1:106" ht="29.5" customHeight="1">
      <c r="A21" s="912" t="s">
        <v>1047</v>
      </c>
      <c r="B21" s="912"/>
      <c r="C21" s="912"/>
      <c r="D21" s="912"/>
      <c r="E21" s="912"/>
      <c r="F21" s="912"/>
      <c r="G21" s="912"/>
      <c r="H21" s="912"/>
      <c r="I21" s="912"/>
      <c r="J21" s="912"/>
      <c r="K21" s="912"/>
      <c r="L21" s="912"/>
      <c r="M21" s="912"/>
      <c r="N21" s="912"/>
      <c r="O21" s="912"/>
      <c r="P21" s="912"/>
      <c r="Q21" s="912"/>
      <c r="R21" s="912"/>
      <c r="S21" s="912"/>
      <c r="T21" s="912"/>
      <c r="U21" s="912"/>
      <c r="V21" s="912"/>
      <c r="W21" s="912"/>
      <c r="X21" s="912"/>
      <c r="Y21" s="912"/>
      <c r="Z21" s="912"/>
      <c r="AA21" s="912"/>
      <c r="AB21" s="912"/>
      <c r="AC21" s="912"/>
      <c r="AD21" s="912"/>
      <c r="AE21" s="912"/>
      <c r="AF21" s="912"/>
      <c r="AG21" s="912"/>
      <c r="AH21" s="912"/>
      <c r="AI21" s="912"/>
      <c r="AJ21" s="912"/>
      <c r="AK21" s="912"/>
      <c r="AL21" s="912"/>
      <c r="AM21" s="912"/>
      <c r="AN21" s="912"/>
      <c r="AO21" s="912"/>
      <c r="AP21" s="912"/>
      <c r="AQ21" s="912"/>
      <c r="AR21" s="912"/>
      <c r="AS21" s="912"/>
      <c r="AT21" s="912"/>
      <c r="AU21" s="912"/>
      <c r="AV21" s="912"/>
      <c r="AW21" s="912"/>
      <c r="AX21" s="912"/>
      <c r="AY21" s="912"/>
      <c r="AZ21" s="912"/>
      <c r="BA21" s="912"/>
      <c r="BB21" s="912"/>
      <c r="BC21" s="912"/>
      <c r="BD21" s="912"/>
      <c r="BE21" s="912"/>
      <c r="BF21" s="912"/>
      <c r="BG21" s="912"/>
      <c r="BH21" s="912"/>
      <c r="BI21" s="912"/>
      <c r="BJ21" s="912"/>
      <c r="BK21" s="912"/>
      <c r="BL21" s="912"/>
      <c r="BM21" s="912"/>
      <c r="BN21" s="912"/>
      <c r="BO21" s="912"/>
      <c r="BP21" s="912"/>
      <c r="BQ21" s="912"/>
      <c r="BR21" s="912"/>
      <c r="BS21" s="912"/>
      <c r="BT21" s="912"/>
      <c r="BU21" s="912"/>
      <c r="BV21" s="912"/>
      <c r="BW21" s="912"/>
      <c r="BX21" s="912"/>
      <c r="BY21" s="912"/>
      <c r="BZ21" s="912"/>
      <c r="CA21" s="912"/>
      <c r="CB21" s="912"/>
      <c r="CC21" s="912"/>
      <c r="CD21" s="912"/>
      <c r="CE21" s="912"/>
      <c r="CF21" s="912"/>
      <c r="CG21" s="912"/>
      <c r="CH21" s="912"/>
      <c r="CI21" s="912"/>
      <c r="CJ21" s="912"/>
      <c r="CK21" s="912"/>
      <c r="CL21" s="912"/>
      <c r="CM21" s="912"/>
      <c r="CN21" s="912"/>
      <c r="CO21" s="912"/>
      <c r="CP21" s="912"/>
      <c r="CQ21" s="912"/>
      <c r="CR21" s="912"/>
      <c r="CS21" s="912"/>
      <c r="CT21" s="912"/>
      <c r="CU21" s="912"/>
      <c r="CV21" s="912"/>
      <c r="CW21" s="912"/>
      <c r="CX21" s="912"/>
      <c r="CY21" s="912"/>
      <c r="CZ21" s="912"/>
      <c r="DA21" s="912"/>
      <c r="DB21" s="912"/>
    </row>
    <row r="22" spans="1:106">
      <c r="A22" s="909" t="s">
        <v>372</v>
      </c>
      <c r="B22" s="909"/>
      <c r="C22" s="909"/>
      <c r="D22" s="909"/>
      <c r="E22" s="909"/>
      <c r="F22" s="909"/>
      <c r="G22" s="909"/>
      <c r="H22" s="909"/>
      <c r="I22" s="909"/>
      <c r="J22" s="909"/>
      <c r="K22" s="909"/>
      <c r="L22" s="909"/>
      <c r="M22" s="909"/>
      <c r="N22" s="909"/>
      <c r="O22" s="909"/>
      <c r="P22" s="909"/>
      <c r="Q22" s="909"/>
      <c r="R22" s="909"/>
      <c r="S22" s="909"/>
      <c r="T22" s="909"/>
      <c r="U22" s="909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9"/>
      <c r="AG22" s="909"/>
      <c r="AH22" s="909"/>
      <c r="AI22" s="909"/>
      <c r="AJ22" s="909"/>
      <c r="AK22" s="909"/>
      <c r="AL22" s="909"/>
      <c r="AM22" s="909"/>
      <c r="AN22" s="909"/>
      <c r="AO22" s="909"/>
      <c r="AP22" s="909"/>
      <c r="AQ22" s="909"/>
      <c r="AR22" s="909"/>
      <c r="AS22" s="909"/>
      <c r="AT22" s="909"/>
      <c r="AU22" s="909"/>
      <c r="AV22" s="909"/>
      <c r="AW22" s="909"/>
      <c r="AX22" s="909"/>
      <c r="AY22" s="909"/>
      <c r="AZ22" s="909"/>
      <c r="BA22" s="909"/>
      <c r="BB22" s="909"/>
      <c r="BC22" s="909"/>
      <c r="BD22" s="909"/>
      <c r="BE22" s="909"/>
      <c r="BF22" s="909"/>
      <c r="BG22" s="909"/>
      <c r="BH22" s="909"/>
      <c r="BI22" s="909"/>
      <c r="BJ22" s="909"/>
      <c r="BK22" s="909"/>
      <c r="BL22" s="909"/>
      <c r="BM22" s="909"/>
      <c r="BN22" s="909"/>
      <c r="BO22" s="909"/>
      <c r="BP22" s="909"/>
      <c r="BQ22" s="909"/>
      <c r="BR22" s="909"/>
      <c r="BS22" s="909"/>
      <c r="BT22" s="909"/>
      <c r="BU22" s="909"/>
      <c r="BV22" s="909"/>
      <c r="BW22" s="909"/>
      <c r="BX22" s="909"/>
      <c r="BY22" s="909"/>
      <c r="BZ22" s="909"/>
      <c r="CA22" s="909"/>
      <c r="CB22" s="909"/>
      <c r="CC22" s="909"/>
      <c r="CD22" s="909"/>
      <c r="CE22" s="909"/>
      <c r="CF22" s="909"/>
      <c r="CG22" s="909"/>
      <c r="CH22" s="909"/>
      <c r="CI22" s="909"/>
      <c r="CJ22" s="909"/>
      <c r="CK22" s="909"/>
      <c r="CL22" s="909"/>
      <c r="CM22" s="909"/>
      <c r="CN22" s="909"/>
      <c r="CO22" s="909"/>
      <c r="CP22" s="909"/>
      <c r="CQ22" s="909"/>
      <c r="CR22" s="909"/>
      <c r="CS22" s="909"/>
      <c r="CT22" s="909"/>
      <c r="CU22" s="909"/>
      <c r="CV22" s="909"/>
      <c r="CW22" s="909"/>
      <c r="CX22" s="909"/>
      <c r="CY22" s="909"/>
      <c r="CZ22" s="909"/>
      <c r="DA22" s="909"/>
      <c r="DB22" s="909"/>
    </row>
    <row r="23" spans="1:106" ht="10.15" customHeight="1">
      <c r="A23" s="934" t="s">
        <v>373</v>
      </c>
      <c r="B23" s="934"/>
      <c r="C23" s="934"/>
      <c r="D23" s="934"/>
      <c r="E23" s="934"/>
      <c r="F23" s="934"/>
      <c r="G23" s="934"/>
      <c r="H23" s="934"/>
      <c r="I23" s="934"/>
      <c r="J23" s="934"/>
      <c r="K23" s="934"/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  <c r="AF23" s="934"/>
      <c r="AG23" s="934"/>
      <c r="AH23" s="934"/>
      <c r="AI23" s="934"/>
      <c r="AJ23" s="934"/>
      <c r="AK23" s="934"/>
      <c r="AL23" s="934"/>
      <c r="AM23" s="934"/>
      <c r="AN23" s="934"/>
      <c r="AO23" s="934"/>
      <c r="AP23" s="934"/>
      <c r="AQ23" s="934"/>
      <c r="AR23" s="934"/>
      <c r="AS23" s="934"/>
      <c r="AT23" s="934"/>
      <c r="AU23" s="934"/>
      <c r="AV23" s="934"/>
      <c r="AW23" s="934"/>
      <c r="AX23" s="934"/>
      <c r="AY23" s="934"/>
      <c r="AZ23" s="934"/>
      <c r="BA23" s="934"/>
      <c r="BB23" s="934"/>
      <c r="BC23" s="934"/>
      <c r="BD23" s="934"/>
      <c r="BE23" s="934"/>
      <c r="BF23" s="934"/>
      <c r="BG23" s="934"/>
      <c r="BH23" s="934"/>
      <c r="BI23" s="934"/>
      <c r="BJ23" s="934"/>
      <c r="BK23" s="934"/>
      <c r="BL23" s="934"/>
      <c r="BM23" s="934"/>
      <c r="BN23" s="934"/>
      <c r="BO23" s="934"/>
      <c r="BP23" s="934"/>
      <c r="BQ23" s="934"/>
      <c r="BR23" s="934"/>
      <c r="BS23" s="934"/>
      <c r="BT23" s="934"/>
      <c r="BU23" s="934"/>
      <c r="BV23" s="934"/>
      <c r="BW23" s="934"/>
      <c r="BX23" s="934"/>
      <c r="BY23" s="934"/>
      <c r="BZ23" s="934"/>
      <c r="CA23" s="934"/>
      <c r="CB23" s="934"/>
      <c r="CC23" s="934"/>
      <c r="CD23" s="934"/>
      <c r="CE23" s="934"/>
      <c r="CF23" s="934"/>
      <c r="CG23" s="934"/>
      <c r="CH23" s="934"/>
      <c r="CI23" s="934"/>
      <c r="CJ23" s="934"/>
      <c r="CK23" s="934"/>
      <c r="CL23" s="934"/>
      <c r="CM23" s="934"/>
      <c r="CN23" s="934"/>
      <c r="CO23" s="934"/>
      <c r="CP23" s="934"/>
      <c r="CQ23" s="934"/>
      <c r="CR23" s="934"/>
      <c r="CS23" s="934"/>
      <c r="CT23" s="934"/>
      <c r="CU23" s="934"/>
      <c r="CV23" s="934"/>
      <c r="CW23" s="934"/>
      <c r="CX23" s="934"/>
      <c r="CY23" s="934"/>
      <c r="CZ23" s="934"/>
      <c r="DA23" s="934"/>
      <c r="DB23" s="934"/>
    </row>
    <row r="24" spans="1:106">
      <c r="A24" s="912" t="s">
        <v>375</v>
      </c>
      <c r="B24" s="912"/>
      <c r="C24" s="912"/>
      <c r="D24" s="912"/>
      <c r="E24" s="912"/>
      <c r="F24" s="912"/>
      <c r="G24" s="912"/>
      <c r="H24" s="912"/>
      <c r="I24" s="912"/>
      <c r="J24" s="912"/>
      <c r="K24" s="912"/>
      <c r="L24" s="912"/>
      <c r="M24" s="912"/>
      <c r="N24" s="912"/>
      <c r="O24" s="912"/>
      <c r="P24" s="912"/>
      <c r="Q24" s="912"/>
      <c r="R24" s="912"/>
      <c r="S24" s="912"/>
      <c r="T24" s="912"/>
      <c r="U24" s="912"/>
      <c r="V24" s="912"/>
      <c r="W24" s="912"/>
      <c r="X24" s="912"/>
      <c r="Y24" s="912"/>
      <c r="Z24" s="912"/>
      <c r="AA24" s="912"/>
      <c r="AB24" s="912"/>
      <c r="AC24" s="912"/>
      <c r="AD24" s="912"/>
      <c r="AE24" s="912"/>
      <c r="AF24" s="912"/>
      <c r="AG24" s="912"/>
      <c r="AH24" s="912"/>
      <c r="AI24" s="912"/>
      <c r="AJ24" s="912"/>
      <c r="AK24" s="912"/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2"/>
      <c r="BA24" s="912"/>
      <c r="BB24" s="912"/>
      <c r="BC24" s="912"/>
      <c r="BD24" s="912"/>
      <c r="BE24" s="912"/>
      <c r="BF24" s="912"/>
      <c r="BG24" s="912"/>
      <c r="BH24" s="912"/>
      <c r="BI24" s="912"/>
      <c r="BJ24" s="912"/>
      <c r="BK24" s="912"/>
      <c r="BL24" s="912"/>
      <c r="BM24" s="912"/>
      <c r="BN24" s="912"/>
      <c r="BO24" s="912"/>
      <c r="BP24" s="912"/>
      <c r="BQ24" s="912"/>
      <c r="BR24" s="912"/>
      <c r="BS24" s="912"/>
      <c r="BT24" s="912"/>
      <c r="BU24" s="912"/>
      <c r="BV24" s="912"/>
      <c r="BW24" s="912"/>
      <c r="BX24" s="912"/>
      <c r="BY24" s="912"/>
      <c r="BZ24" s="912"/>
      <c r="CA24" s="912"/>
      <c r="CB24" s="912"/>
      <c r="CC24" s="912"/>
      <c r="CD24" s="912"/>
      <c r="CE24" s="912"/>
      <c r="CF24" s="912"/>
      <c r="CG24" s="912"/>
      <c r="CH24" s="912"/>
      <c r="CI24" s="912"/>
      <c r="CJ24" s="912"/>
      <c r="CK24" s="912"/>
      <c r="CL24" s="912"/>
      <c r="CM24" s="912"/>
      <c r="CN24" s="912"/>
      <c r="CO24" s="912"/>
      <c r="CP24" s="912"/>
      <c r="CQ24" s="912"/>
      <c r="CR24" s="912"/>
      <c r="CS24" s="912"/>
      <c r="CT24" s="912"/>
      <c r="CU24" s="912"/>
      <c r="CV24" s="912"/>
      <c r="CW24" s="912"/>
      <c r="CX24" s="912"/>
      <c r="CY24" s="912"/>
      <c r="CZ24" s="912"/>
      <c r="DA24" s="912"/>
      <c r="DB24" s="912"/>
    </row>
    <row r="25" spans="1:106">
      <c r="A25" s="909" t="s">
        <v>372</v>
      </c>
      <c r="B25" s="909"/>
      <c r="C25" s="909"/>
      <c r="D25" s="909"/>
      <c r="E25" s="909"/>
      <c r="F25" s="909"/>
      <c r="G25" s="909"/>
      <c r="H25" s="909"/>
      <c r="I25" s="909"/>
      <c r="J25" s="909"/>
      <c r="K25" s="909"/>
      <c r="L25" s="909"/>
      <c r="M25" s="909"/>
      <c r="N25" s="909"/>
      <c r="O25" s="909"/>
      <c r="P25" s="909"/>
      <c r="Q25" s="909"/>
      <c r="R25" s="909"/>
      <c r="S25" s="909"/>
      <c r="T25" s="909"/>
      <c r="U25" s="909"/>
      <c r="V25" s="909"/>
      <c r="W25" s="909"/>
      <c r="X25" s="909"/>
      <c r="Y25" s="909"/>
      <c r="Z25" s="909"/>
      <c r="AA25" s="909"/>
      <c r="AB25" s="909"/>
      <c r="AC25" s="909"/>
      <c r="AD25" s="909"/>
      <c r="AE25" s="909"/>
      <c r="AF25" s="909"/>
      <c r="AG25" s="909"/>
      <c r="AH25" s="909"/>
      <c r="AI25" s="909"/>
      <c r="AJ25" s="909"/>
      <c r="AK25" s="909"/>
      <c r="AL25" s="909"/>
      <c r="AM25" s="909"/>
      <c r="AN25" s="909"/>
      <c r="AO25" s="909"/>
      <c r="AP25" s="909"/>
      <c r="AQ25" s="909"/>
      <c r="AR25" s="909"/>
      <c r="AS25" s="909"/>
      <c r="AT25" s="909"/>
      <c r="AU25" s="909"/>
      <c r="AV25" s="909"/>
      <c r="AW25" s="909"/>
      <c r="AX25" s="909"/>
      <c r="AY25" s="909"/>
      <c r="AZ25" s="909"/>
      <c r="BA25" s="909"/>
      <c r="BB25" s="909"/>
      <c r="BC25" s="909"/>
      <c r="BD25" s="909"/>
      <c r="BE25" s="909"/>
      <c r="BF25" s="909"/>
      <c r="BG25" s="909"/>
      <c r="BH25" s="909"/>
      <c r="BI25" s="909"/>
      <c r="BJ25" s="909"/>
      <c r="BK25" s="909"/>
      <c r="BL25" s="909"/>
      <c r="BM25" s="909"/>
      <c r="BN25" s="909"/>
      <c r="BO25" s="909"/>
      <c r="BP25" s="909"/>
      <c r="BQ25" s="909"/>
      <c r="BR25" s="909"/>
      <c r="BS25" s="909"/>
      <c r="BT25" s="909"/>
      <c r="BU25" s="909"/>
      <c r="BV25" s="909"/>
      <c r="BW25" s="909"/>
      <c r="BX25" s="909"/>
      <c r="BY25" s="909"/>
      <c r="BZ25" s="909"/>
      <c r="CA25" s="909"/>
      <c r="CB25" s="909"/>
      <c r="CC25" s="909"/>
      <c r="CD25" s="909"/>
      <c r="CE25" s="909"/>
      <c r="CF25" s="909"/>
      <c r="CG25" s="909"/>
      <c r="CH25" s="909"/>
      <c r="CI25" s="909"/>
      <c r="CJ25" s="909"/>
      <c r="CK25" s="909"/>
      <c r="CL25" s="909"/>
      <c r="CM25" s="909"/>
      <c r="CN25" s="909"/>
      <c r="CO25" s="909"/>
      <c r="CP25" s="909"/>
      <c r="CQ25" s="909"/>
      <c r="CR25" s="909"/>
      <c r="CS25" s="909"/>
      <c r="CT25" s="909"/>
      <c r="CU25" s="909"/>
      <c r="CV25" s="909"/>
      <c r="CW25" s="909"/>
      <c r="CX25" s="909"/>
      <c r="CY25" s="909"/>
      <c r="CZ25" s="909"/>
      <c r="DA25" s="909"/>
      <c r="DB25" s="909"/>
    </row>
    <row r="26" spans="1:106" ht="10.15" customHeight="1">
      <c r="A26" s="934" t="s">
        <v>373</v>
      </c>
      <c r="B26" s="934"/>
      <c r="C26" s="934"/>
      <c r="D26" s="934"/>
      <c r="E26" s="934"/>
      <c r="F26" s="934"/>
      <c r="G26" s="934"/>
      <c r="H26" s="934"/>
      <c r="I26" s="934"/>
      <c r="J26" s="934"/>
      <c r="K26" s="934"/>
      <c r="L26" s="934"/>
      <c r="M26" s="934"/>
      <c r="N26" s="934"/>
      <c r="O26" s="934"/>
      <c r="P26" s="934"/>
      <c r="Q26" s="934"/>
      <c r="R26" s="934"/>
      <c r="S26" s="934"/>
      <c r="T26" s="934"/>
      <c r="U26" s="934"/>
      <c r="V26" s="934"/>
      <c r="W26" s="934"/>
      <c r="X26" s="934"/>
      <c r="Y26" s="934"/>
      <c r="Z26" s="934"/>
      <c r="AA26" s="934"/>
      <c r="AB26" s="934"/>
      <c r="AC26" s="934"/>
      <c r="AD26" s="934"/>
      <c r="AE26" s="934"/>
      <c r="AF26" s="934"/>
      <c r="AG26" s="934"/>
      <c r="AH26" s="934"/>
      <c r="AI26" s="934"/>
      <c r="AJ26" s="934"/>
      <c r="AK26" s="934"/>
      <c r="AL26" s="934"/>
      <c r="AM26" s="934"/>
      <c r="AN26" s="934"/>
      <c r="AO26" s="934"/>
      <c r="AP26" s="934"/>
      <c r="AQ26" s="934"/>
      <c r="AR26" s="934"/>
      <c r="AS26" s="934"/>
      <c r="AT26" s="934"/>
      <c r="AU26" s="934"/>
      <c r="AV26" s="934"/>
      <c r="AW26" s="934"/>
      <c r="AX26" s="934"/>
      <c r="AY26" s="934"/>
      <c r="AZ26" s="934"/>
      <c r="BA26" s="934"/>
      <c r="BB26" s="934"/>
      <c r="BC26" s="934"/>
      <c r="BD26" s="934"/>
      <c r="BE26" s="934"/>
      <c r="BF26" s="934"/>
      <c r="BG26" s="934"/>
      <c r="BH26" s="934"/>
      <c r="BI26" s="934"/>
      <c r="BJ26" s="934"/>
      <c r="BK26" s="934"/>
      <c r="BL26" s="934"/>
      <c r="BM26" s="934"/>
      <c r="BN26" s="934"/>
      <c r="BO26" s="934"/>
      <c r="BP26" s="934"/>
      <c r="BQ26" s="934"/>
      <c r="BR26" s="934"/>
      <c r="BS26" s="934"/>
      <c r="BT26" s="934"/>
      <c r="BU26" s="934"/>
      <c r="BV26" s="934"/>
      <c r="BW26" s="934"/>
      <c r="BX26" s="934"/>
      <c r="BY26" s="934"/>
      <c r="BZ26" s="934"/>
      <c r="CA26" s="934"/>
      <c r="CB26" s="934"/>
      <c r="CC26" s="934"/>
      <c r="CD26" s="934"/>
      <c r="CE26" s="934"/>
      <c r="CF26" s="934"/>
      <c r="CG26" s="934"/>
      <c r="CH26" s="934"/>
      <c r="CI26" s="934"/>
      <c r="CJ26" s="934"/>
      <c r="CK26" s="934"/>
      <c r="CL26" s="934"/>
      <c r="CM26" s="934"/>
      <c r="CN26" s="934"/>
      <c r="CO26" s="934"/>
      <c r="CP26" s="934"/>
      <c r="CQ26" s="934"/>
      <c r="CR26" s="934"/>
      <c r="CS26" s="934"/>
      <c r="CT26" s="934"/>
      <c r="CU26" s="934"/>
      <c r="CV26" s="934"/>
      <c r="CW26" s="934"/>
      <c r="CX26" s="934"/>
      <c r="CY26" s="934"/>
      <c r="CZ26" s="934"/>
      <c r="DA26" s="934"/>
      <c r="DB26" s="934"/>
    </row>
    <row r="27" spans="1:106">
      <c r="A27" s="912" t="s">
        <v>1048</v>
      </c>
      <c r="B27" s="912"/>
      <c r="C27" s="912"/>
      <c r="D27" s="912"/>
      <c r="E27" s="912"/>
      <c r="F27" s="912"/>
      <c r="G27" s="912"/>
      <c r="H27" s="912"/>
      <c r="I27" s="912"/>
      <c r="J27" s="912"/>
      <c r="K27" s="912"/>
      <c r="L27" s="912"/>
      <c r="M27" s="912"/>
      <c r="N27" s="912"/>
      <c r="O27" s="912"/>
      <c r="P27" s="912"/>
      <c r="Q27" s="912"/>
      <c r="R27" s="912"/>
      <c r="S27" s="912"/>
      <c r="T27" s="912"/>
      <c r="U27" s="912"/>
      <c r="V27" s="912"/>
      <c r="W27" s="912"/>
      <c r="X27" s="912"/>
      <c r="Y27" s="912"/>
      <c r="Z27" s="912"/>
      <c r="AA27" s="912"/>
      <c r="AB27" s="912"/>
      <c r="AC27" s="912"/>
      <c r="AD27" s="912"/>
      <c r="AE27" s="912"/>
      <c r="AF27" s="912"/>
      <c r="AG27" s="912"/>
      <c r="AH27" s="912"/>
      <c r="AI27" s="912"/>
      <c r="AJ27" s="912"/>
      <c r="AK27" s="912"/>
      <c r="AL27" s="912"/>
      <c r="AM27" s="912"/>
      <c r="AN27" s="912"/>
      <c r="AO27" s="912"/>
      <c r="AP27" s="912"/>
      <c r="AQ27" s="912"/>
      <c r="AR27" s="912"/>
      <c r="AS27" s="912"/>
      <c r="AT27" s="912"/>
      <c r="AU27" s="912"/>
      <c r="AV27" s="912"/>
      <c r="AW27" s="912"/>
      <c r="AX27" s="912"/>
      <c r="AY27" s="912"/>
      <c r="AZ27" s="912"/>
      <c r="BA27" s="912"/>
      <c r="BB27" s="912"/>
      <c r="BC27" s="912"/>
      <c r="BD27" s="912"/>
      <c r="BE27" s="912"/>
      <c r="BF27" s="912"/>
      <c r="BG27" s="912"/>
      <c r="BH27" s="912"/>
      <c r="BI27" s="912"/>
      <c r="BJ27" s="912"/>
      <c r="BK27" s="912"/>
      <c r="BL27" s="912"/>
      <c r="BM27" s="912"/>
      <c r="BN27" s="912"/>
      <c r="BO27" s="912"/>
      <c r="BP27" s="912"/>
      <c r="BQ27" s="912"/>
      <c r="BR27" s="912"/>
      <c r="BS27" s="912"/>
      <c r="BT27" s="912"/>
      <c r="BU27" s="912"/>
      <c r="BV27" s="912"/>
      <c r="BW27" s="912"/>
      <c r="BX27" s="912"/>
      <c r="BY27" s="912"/>
      <c r="BZ27" s="912"/>
      <c r="CA27" s="912"/>
      <c r="CB27" s="912"/>
      <c r="CC27" s="912"/>
      <c r="CD27" s="912"/>
      <c r="CE27" s="912"/>
      <c r="CF27" s="912"/>
      <c r="CG27" s="912"/>
      <c r="CH27" s="912"/>
      <c r="CI27" s="912"/>
      <c r="CJ27" s="912"/>
      <c r="CK27" s="912"/>
      <c r="CL27" s="912"/>
      <c r="CM27" s="912"/>
      <c r="CN27" s="912"/>
      <c r="CO27" s="912"/>
      <c r="CP27" s="912"/>
      <c r="CQ27" s="912"/>
      <c r="CR27" s="912"/>
      <c r="CS27" s="912"/>
      <c r="CT27" s="912"/>
      <c r="CU27" s="912"/>
      <c r="CV27" s="912"/>
      <c r="CW27" s="912"/>
      <c r="CX27" s="912"/>
      <c r="CY27" s="912"/>
      <c r="CZ27" s="912"/>
      <c r="DA27" s="912"/>
      <c r="DB27" s="912"/>
    </row>
    <row r="28" spans="1:106">
      <c r="A28" s="909" t="s">
        <v>372</v>
      </c>
      <c r="B28" s="909"/>
      <c r="C28" s="909"/>
      <c r="D28" s="909"/>
      <c r="E28" s="909"/>
      <c r="F28" s="909"/>
      <c r="G28" s="909"/>
      <c r="H28" s="909"/>
      <c r="I28" s="909"/>
      <c r="J28" s="909"/>
      <c r="K28" s="909"/>
      <c r="L28" s="909"/>
      <c r="M28" s="909"/>
      <c r="N28" s="909"/>
      <c r="O28" s="909"/>
      <c r="P28" s="909"/>
      <c r="Q28" s="909"/>
      <c r="R28" s="909"/>
      <c r="S28" s="909"/>
      <c r="T28" s="909"/>
      <c r="U28" s="909"/>
      <c r="V28" s="909"/>
      <c r="W28" s="909"/>
      <c r="X28" s="909"/>
      <c r="Y28" s="909"/>
      <c r="Z28" s="909"/>
      <c r="AA28" s="909"/>
      <c r="AB28" s="909"/>
      <c r="AC28" s="909"/>
      <c r="AD28" s="909"/>
      <c r="AE28" s="909"/>
      <c r="AF28" s="909"/>
      <c r="AG28" s="909"/>
      <c r="AH28" s="909"/>
      <c r="AI28" s="909"/>
      <c r="AJ28" s="909"/>
      <c r="AK28" s="909"/>
      <c r="AL28" s="909"/>
      <c r="AM28" s="909"/>
      <c r="AN28" s="909"/>
      <c r="AO28" s="909"/>
      <c r="AP28" s="909"/>
      <c r="AQ28" s="909"/>
      <c r="AR28" s="909"/>
      <c r="AS28" s="909"/>
      <c r="AT28" s="909"/>
      <c r="AU28" s="909"/>
      <c r="AV28" s="909"/>
      <c r="AW28" s="909"/>
      <c r="AX28" s="909"/>
      <c r="AY28" s="909"/>
      <c r="AZ28" s="909"/>
      <c r="BA28" s="909"/>
      <c r="BB28" s="909"/>
      <c r="BC28" s="909"/>
      <c r="BD28" s="909"/>
      <c r="BE28" s="909"/>
      <c r="BF28" s="909"/>
      <c r="BG28" s="909"/>
      <c r="BH28" s="909"/>
      <c r="BI28" s="909"/>
      <c r="BJ28" s="909"/>
      <c r="BK28" s="909"/>
      <c r="BL28" s="909"/>
      <c r="BM28" s="909"/>
      <c r="BN28" s="909"/>
      <c r="BO28" s="909"/>
      <c r="BP28" s="909"/>
      <c r="BQ28" s="909"/>
      <c r="BR28" s="909"/>
      <c r="BS28" s="909"/>
      <c r="BT28" s="909"/>
      <c r="BU28" s="909"/>
      <c r="BV28" s="909"/>
      <c r="BW28" s="909"/>
      <c r="BX28" s="909"/>
      <c r="BY28" s="909"/>
      <c r="BZ28" s="909"/>
      <c r="CA28" s="909"/>
      <c r="CB28" s="909"/>
      <c r="CC28" s="909"/>
      <c r="CD28" s="909"/>
      <c r="CE28" s="909"/>
      <c r="CF28" s="909"/>
      <c r="CG28" s="909"/>
      <c r="CH28" s="909"/>
      <c r="CI28" s="909"/>
      <c r="CJ28" s="909"/>
      <c r="CK28" s="909"/>
      <c r="CL28" s="909"/>
      <c r="CM28" s="909"/>
      <c r="CN28" s="909"/>
      <c r="CO28" s="909"/>
      <c r="CP28" s="909"/>
      <c r="CQ28" s="909"/>
      <c r="CR28" s="909"/>
      <c r="CS28" s="909"/>
      <c r="CT28" s="909"/>
      <c r="CU28" s="909"/>
      <c r="CV28" s="909"/>
      <c r="CW28" s="909"/>
      <c r="CX28" s="909"/>
      <c r="CY28" s="909"/>
      <c r="CZ28" s="909"/>
      <c r="DA28" s="909"/>
      <c r="DB28" s="909"/>
    </row>
    <row r="29" spans="1:106" ht="10.15" customHeight="1">
      <c r="A29" s="934" t="s">
        <v>373</v>
      </c>
      <c r="B29" s="934"/>
      <c r="C29" s="934"/>
      <c r="D29" s="934"/>
      <c r="E29" s="934"/>
      <c r="F29" s="934"/>
      <c r="G29" s="934"/>
      <c r="H29" s="934"/>
      <c r="I29" s="934"/>
      <c r="J29" s="934"/>
      <c r="K29" s="934"/>
      <c r="L29" s="934"/>
      <c r="M29" s="934"/>
      <c r="N29" s="934"/>
      <c r="O29" s="934"/>
      <c r="P29" s="934"/>
      <c r="Q29" s="934"/>
      <c r="R29" s="934"/>
      <c r="S29" s="934"/>
      <c r="T29" s="934"/>
      <c r="U29" s="934"/>
      <c r="V29" s="934"/>
      <c r="W29" s="934"/>
      <c r="X29" s="934"/>
      <c r="Y29" s="934"/>
      <c r="Z29" s="934"/>
      <c r="AA29" s="934"/>
      <c r="AB29" s="934"/>
      <c r="AC29" s="934"/>
      <c r="AD29" s="934"/>
      <c r="AE29" s="934"/>
      <c r="AF29" s="934"/>
      <c r="AG29" s="934"/>
      <c r="AH29" s="934"/>
      <c r="AI29" s="934"/>
      <c r="AJ29" s="934"/>
      <c r="AK29" s="934"/>
      <c r="AL29" s="934"/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4"/>
      <c r="AX29" s="934"/>
      <c r="AY29" s="934"/>
      <c r="AZ29" s="934"/>
      <c r="BA29" s="934"/>
      <c r="BB29" s="934"/>
      <c r="BC29" s="934"/>
      <c r="BD29" s="934"/>
      <c r="BE29" s="934"/>
      <c r="BF29" s="934"/>
      <c r="BG29" s="934"/>
      <c r="BH29" s="934"/>
      <c r="BI29" s="934"/>
      <c r="BJ29" s="934"/>
      <c r="BK29" s="934"/>
      <c r="BL29" s="934"/>
      <c r="BM29" s="934"/>
      <c r="BN29" s="934"/>
      <c r="BO29" s="934"/>
      <c r="BP29" s="934"/>
      <c r="BQ29" s="934"/>
      <c r="BR29" s="934"/>
      <c r="BS29" s="934"/>
      <c r="BT29" s="934"/>
      <c r="BU29" s="934"/>
      <c r="BV29" s="934"/>
      <c r="BW29" s="934"/>
      <c r="BX29" s="934"/>
      <c r="BY29" s="934"/>
      <c r="BZ29" s="934"/>
      <c r="CA29" s="934"/>
      <c r="CB29" s="934"/>
      <c r="CC29" s="934"/>
      <c r="CD29" s="934"/>
      <c r="CE29" s="934"/>
      <c r="CF29" s="934"/>
      <c r="CG29" s="934"/>
      <c r="CH29" s="934"/>
      <c r="CI29" s="934"/>
      <c r="CJ29" s="934"/>
      <c r="CK29" s="934"/>
      <c r="CL29" s="934"/>
      <c r="CM29" s="934"/>
      <c r="CN29" s="934"/>
      <c r="CO29" s="934"/>
      <c r="CP29" s="934"/>
      <c r="CQ29" s="934"/>
      <c r="CR29" s="934"/>
      <c r="CS29" s="934"/>
      <c r="CT29" s="934"/>
      <c r="CU29" s="934"/>
      <c r="CV29" s="934"/>
      <c r="CW29" s="934"/>
      <c r="CX29" s="934"/>
      <c r="CY29" s="934"/>
      <c r="CZ29" s="934"/>
      <c r="DA29" s="934"/>
      <c r="DB29" s="934"/>
    </row>
    <row r="30" spans="1:106" ht="28.9" customHeight="1">
      <c r="A30" s="912" t="s">
        <v>1049</v>
      </c>
      <c r="B30" s="912"/>
      <c r="C30" s="912"/>
      <c r="D30" s="912"/>
      <c r="E30" s="912"/>
      <c r="F30" s="912"/>
      <c r="G30" s="912"/>
      <c r="H30" s="912"/>
      <c r="I30" s="912"/>
      <c r="J30" s="912"/>
      <c r="K30" s="912"/>
      <c r="L30" s="912"/>
      <c r="M30" s="912"/>
      <c r="N30" s="912"/>
      <c r="O30" s="912"/>
      <c r="P30" s="912"/>
      <c r="Q30" s="912"/>
      <c r="R30" s="912"/>
      <c r="S30" s="912"/>
      <c r="T30" s="912"/>
      <c r="U30" s="912"/>
      <c r="V30" s="912"/>
      <c r="W30" s="912"/>
      <c r="X30" s="912"/>
      <c r="Y30" s="912"/>
      <c r="Z30" s="912"/>
      <c r="AA30" s="912"/>
      <c r="AB30" s="912"/>
      <c r="AC30" s="912"/>
      <c r="AD30" s="912"/>
      <c r="AE30" s="912"/>
      <c r="AF30" s="912"/>
      <c r="AG30" s="912"/>
      <c r="AH30" s="912"/>
      <c r="AI30" s="912"/>
      <c r="AJ30" s="912"/>
      <c r="AK30" s="912"/>
      <c r="AL30" s="912"/>
      <c r="AM30" s="912"/>
      <c r="AN30" s="912"/>
      <c r="AO30" s="912"/>
      <c r="AP30" s="912"/>
      <c r="AQ30" s="912"/>
      <c r="AR30" s="912"/>
      <c r="AS30" s="912"/>
      <c r="AT30" s="912"/>
      <c r="AU30" s="912"/>
      <c r="AV30" s="912"/>
      <c r="AW30" s="912"/>
      <c r="AX30" s="912"/>
      <c r="AY30" s="912"/>
      <c r="AZ30" s="912"/>
      <c r="BA30" s="912"/>
      <c r="BB30" s="912"/>
      <c r="BC30" s="912"/>
      <c r="BD30" s="912"/>
      <c r="BE30" s="912"/>
      <c r="BF30" s="912"/>
      <c r="BG30" s="912"/>
      <c r="BH30" s="912"/>
      <c r="BI30" s="912"/>
      <c r="BJ30" s="912"/>
      <c r="BK30" s="912"/>
      <c r="BL30" s="912"/>
      <c r="BM30" s="912"/>
      <c r="BN30" s="912"/>
      <c r="BO30" s="912"/>
      <c r="BP30" s="912"/>
      <c r="BQ30" s="912"/>
      <c r="BR30" s="912"/>
      <c r="BS30" s="912"/>
      <c r="BT30" s="912"/>
      <c r="BU30" s="912"/>
      <c r="BV30" s="912"/>
      <c r="BW30" s="912"/>
      <c r="BX30" s="912"/>
      <c r="BY30" s="912"/>
      <c r="BZ30" s="912"/>
      <c r="CA30" s="912"/>
      <c r="CB30" s="912"/>
      <c r="CC30" s="912"/>
      <c r="CD30" s="912"/>
      <c r="CE30" s="912"/>
      <c r="CF30" s="912"/>
      <c r="CG30" s="912"/>
      <c r="CH30" s="912"/>
      <c r="CI30" s="912"/>
      <c r="CJ30" s="912"/>
      <c r="CK30" s="912"/>
      <c r="CL30" s="912"/>
      <c r="CM30" s="912"/>
      <c r="CN30" s="912"/>
      <c r="CO30" s="912"/>
      <c r="CP30" s="912"/>
      <c r="CQ30" s="912"/>
      <c r="CR30" s="912"/>
      <c r="CS30" s="912"/>
      <c r="CT30" s="912"/>
      <c r="CU30" s="912"/>
      <c r="CV30" s="912"/>
      <c r="CW30" s="912"/>
      <c r="CX30" s="912"/>
      <c r="CY30" s="912"/>
      <c r="CZ30" s="912"/>
      <c r="DA30" s="912"/>
      <c r="DB30" s="912"/>
    </row>
    <row r="31" spans="1:106">
      <c r="A31" s="909" t="s">
        <v>372</v>
      </c>
      <c r="B31" s="909"/>
      <c r="C31" s="909"/>
      <c r="D31" s="909"/>
      <c r="E31" s="909"/>
      <c r="F31" s="909"/>
      <c r="G31" s="909"/>
      <c r="H31" s="909"/>
      <c r="I31" s="909"/>
      <c r="J31" s="909"/>
      <c r="K31" s="909"/>
      <c r="L31" s="909"/>
      <c r="M31" s="909"/>
      <c r="N31" s="909"/>
      <c r="O31" s="909"/>
      <c r="P31" s="909"/>
      <c r="Q31" s="909"/>
      <c r="R31" s="909"/>
      <c r="S31" s="909"/>
      <c r="T31" s="909"/>
      <c r="U31" s="909"/>
      <c r="V31" s="909"/>
      <c r="W31" s="909"/>
      <c r="X31" s="909"/>
      <c r="Y31" s="909"/>
      <c r="Z31" s="909"/>
      <c r="AA31" s="909"/>
      <c r="AB31" s="909"/>
      <c r="AC31" s="909"/>
      <c r="AD31" s="909"/>
      <c r="AE31" s="909"/>
      <c r="AF31" s="909"/>
      <c r="AG31" s="909"/>
      <c r="AH31" s="909"/>
      <c r="AI31" s="909"/>
      <c r="AJ31" s="909"/>
      <c r="AK31" s="909"/>
      <c r="AL31" s="909"/>
      <c r="AM31" s="909"/>
      <c r="AN31" s="909"/>
      <c r="AO31" s="909"/>
      <c r="AP31" s="909"/>
      <c r="AQ31" s="909"/>
      <c r="AR31" s="909"/>
      <c r="AS31" s="909"/>
      <c r="AT31" s="909"/>
      <c r="AU31" s="909"/>
      <c r="AV31" s="909"/>
      <c r="AW31" s="909"/>
      <c r="AX31" s="909"/>
      <c r="AY31" s="909"/>
      <c r="AZ31" s="909"/>
      <c r="BA31" s="909"/>
      <c r="BB31" s="909"/>
      <c r="BC31" s="909"/>
      <c r="BD31" s="909"/>
      <c r="BE31" s="909"/>
      <c r="BF31" s="909"/>
      <c r="BG31" s="909"/>
      <c r="BH31" s="909"/>
      <c r="BI31" s="909"/>
      <c r="BJ31" s="909"/>
      <c r="BK31" s="909"/>
      <c r="BL31" s="909"/>
      <c r="BM31" s="909"/>
      <c r="BN31" s="909"/>
      <c r="BO31" s="909"/>
      <c r="BP31" s="909"/>
      <c r="BQ31" s="909"/>
      <c r="BR31" s="909"/>
      <c r="BS31" s="909"/>
      <c r="BT31" s="909"/>
      <c r="BU31" s="909"/>
      <c r="BV31" s="909"/>
      <c r="BW31" s="909"/>
      <c r="BX31" s="909"/>
      <c r="BY31" s="909"/>
      <c r="BZ31" s="909"/>
      <c r="CA31" s="909"/>
      <c r="CB31" s="909"/>
      <c r="CC31" s="909"/>
      <c r="CD31" s="909"/>
      <c r="CE31" s="909"/>
      <c r="CF31" s="909"/>
      <c r="CG31" s="909"/>
      <c r="CH31" s="909"/>
      <c r="CI31" s="909"/>
      <c r="CJ31" s="909"/>
      <c r="CK31" s="909"/>
      <c r="CL31" s="909"/>
      <c r="CM31" s="909"/>
      <c r="CN31" s="909"/>
      <c r="CO31" s="909"/>
      <c r="CP31" s="909"/>
      <c r="CQ31" s="909"/>
      <c r="CR31" s="909"/>
      <c r="CS31" s="909"/>
      <c r="CT31" s="909"/>
      <c r="CU31" s="909"/>
      <c r="CV31" s="909"/>
      <c r="CW31" s="909"/>
      <c r="CX31" s="909"/>
      <c r="CY31" s="909"/>
      <c r="CZ31" s="909"/>
      <c r="DA31" s="909"/>
      <c r="DB31" s="909"/>
    </row>
    <row r="32" spans="1:106" ht="10.15" customHeight="1">
      <c r="A32" s="934" t="s">
        <v>373</v>
      </c>
      <c r="B32" s="934"/>
      <c r="C32" s="934"/>
      <c r="D32" s="934"/>
      <c r="E32" s="934"/>
      <c r="F32" s="934"/>
      <c r="G32" s="934"/>
      <c r="H32" s="934"/>
      <c r="I32" s="934"/>
      <c r="J32" s="934"/>
      <c r="K32" s="934"/>
      <c r="L32" s="934"/>
      <c r="M32" s="934"/>
      <c r="N32" s="934"/>
      <c r="O32" s="934"/>
      <c r="P32" s="934"/>
      <c r="Q32" s="934"/>
      <c r="R32" s="934"/>
      <c r="S32" s="934"/>
      <c r="T32" s="934"/>
      <c r="U32" s="934"/>
      <c r="V32" s="934"/>
      <c r="W32" s="934"/>
      <c r="X32" s="934"/>
      <c r="Y32" s="934"/>
      <c r="Z32" s="934"/>
      <c r="AA32" s="934"/>
      <c r="AB32" s="934"/>
      <c r="AC32" s="934"/>
      <c r="AD32" s="934"/>
      <c r="AE32" s="934"/>
      <c r="AF32" s="934"/>
      <c r="AG32" s="934"/>
      <c r="AH32" s="934"/>
      <c r="AI32" s="934"/>
      <c r="AJ32" s="934"/>
      <c r="AK32" s="934"/>
      <c r="AL32" s="934"/>
      <c r="AM32" s="934"/>
      <c r="AN32" s="934"/>
      <c r="AO32" s="934"/>
      <c r="AP32" s="934"/>
      <c r="AQ32" s="934"/>
      <c r="AR32" s="934"/>
      <c r="AS32" s="934"/>
      <c r="AT32" s="934"/>
      <c r="AU32" s="934"/>
      <c r="AV32" s="934"/>
      <c r="AW32" s="934"/>
      <c r="AX32" s="934"/>
      <c r="AY32" s="934"/>
      <c r="AZ32" s="934"/>
      <c r="BA32" s="934"/>
      <c r="BB32" s="934"/>
      <c r="BC32" s="934"/>
      <c r="BD32" s="934"/>
      <c r="BE32" s="934"/>
      <c r="BF32" s="934"/>
      <c r="BG32" s="934"/>
      <c r="BH32" s="934"/>
      <c r="BI32" s="934"/>
      <c r="BJ32" s="934"/>
      <c r="BK32" s="934"/>
      <c r="BL32" s="934"/>
      <c r="BM32" s="934"/>
      <c r="BN32" s="934"/>
      <c r="BO32" s="934"/>
      <c r="BP32" s="934"/>
      <c r="BQ32" s="934"/>
      <c r="BR32" s="934"/>
      <c r="BS32" s="934"/>
      <c r="BT32" s="934"/>
      <c r="BU32" s="934"/>
      <c r="BV32" s="934"/>
      <c r="BW32" s="934"/>
      <c r="BX32" s="934"/>
      <c r="BY32" s="934"/>
      <c r="BZ32" s="934"/>
      <c r="CA32" s="934"/>
      <c r="CB32" s="934"/>
      <c r="CC32" s="934"/>
      <c r="CD32" s="934"/>
      <c r="CE32" s="934"/>
      <c r="CF32" s="934"/>
      <c r="CG32" s="934"/>
      <c r="CH32" s="934"/>
      <c r="CI32" s="934"/>
      <c r="CJ32" s="934"/>
      <c r="CK32" s="934"/>
      <c r="CL32" s="934"/>
      <c r="CM32" s="934"/>
      <c r="CN32" s="934"/>
      <c r="CO32" s="934"/>
      <c r="CP32" s="934"/>
      <c r="CQ32" s="934"/>
      <c r="CR32" s="934"/>
      <c r="CS32" s="934"/>
      <c r="CT32" s="934"/>
      <c r="CU32" s="934"/>
      <c r="CV32" s="934"/>
      <c r="CW32" s="934"/>
      <c r="CX32" s="934"/>
      <c r="CY32" s="934"/>
      <c r="CZ32" s="934"/>
      <c r="DA32" s="934"/>
      <c r="DB32" s="934"/>
    </row>
    <row r="33" spans="1:112">
      <c r="A33" s="912" t="s">
        <v>1050</v>
      </c>
      <c r="B33" s="912"/>
      <c r="C33" s="912"/>
      <c r="D33" s="912"/>
      <c r="E33" s="912"/>
      <c r="F33" s="912"/>
      <c r="G33" s="912"/>
      <c r="H33" s="912"/>
      <c r="I33" s="912"/>
      <c r="J33" s="912"/>
      <c r="K33" s="912"/>
      <c r="L33" s="912"/>
      <c r="M33" s="912"/>
      <c r="N33" s="912"/>
      <c r="O33" s="912"/>
      <c r="P33" s="912"/>
      <c r="Q33" s="912"/>
      <c r="R33" s="912"/>
      <c r="S33" s="912"/>
      <c r="T33" s="912"/>
      <c r="U33" s="912"/>
      <c r="V33" s="912"/>
      <c r="W33" s="912"/>
      <c r="X33" s="912"/>
      <c r="Y33" s="912"/>
      <c r="Z33" s="912"/>
      <c r="AA33" s="912"/>
      <c r="AB33" s="912"/>
      <c r="AC33" s="912"/>
      <c r="AD33" s="912"/>
      <c r="AE33" s="912"/>
      <c r="AF33" s="912"/>
      <c r="AG33" s="912"/>
      <c r="AH33" s="912"/>
      <c r="AI33" s="912"/>
      <c r="AJ33" s="912"/>
      <c r="AK33" s="912"/>
      <c r="AL33" s="912"/>
      <c r="AM33" s="912"/>
      <c r="AN33" s="912"/>
      <c r="AO33" s="912"/>
      <c r="AP33" s="912"/>
      <c r="AQ33" s="912"/>
      <c r="AR33" s="912"/>
      <c r="AS33" s="912"/>
      <c r="AT33" s="912"/>
      <c r="AU33" s="912"/>
      <c r="AV33" s="912"/>
      <c r="AW33" s="912"/>
      <c r="AX33" s="912"/>
      <c r="AY33" s="912"/>
      <c r="AZ33" s="912"/>
      <c r="BA33" s="912"/>
      <c r="BB33" s="912"/>
      <c r="BC33" s="912"/>
      <c r="BD33" s="912"/>
      <c r="BE33" s="912"/>
      <c r="BF33" s="912"/>
      <c r="BG33" s="912"/>
      <c r="BH33" s="912"/>
      <c r="BI33" s="912"/>
      <c r="BJ33" s="912"/>
      <c r="BK33" s="912"/>
      <c r="BL33" s="912"/>
      <c r="BM33" s="912"/>
      <c r="BN33" s="912"/>
      <c r="BO33" s="912"/>
      <c r="BP33" s="912"/>
      <c r="BQ33" s="912"/>
      <c r="BR33" s="912"/>
      <c r="BS33" s="912"/>
      <c r="BT33" s="912"/>
      <c r="BU33" s="912"/>
      <c r="BV33" s="912"/>
      <c r="BW33" s="912"/>
      <c r="BX33" s="912"/>
      <c r="BY33" s="912"/>
      <c r="BZ33" s="912"/>
      <c r="CA33" s="912"/>
      <c r="CB33" s="912"/>
      <c r="CC33" s="912"/>
      <c r="CD33" s="912"/>
      <c r="CE33" s="912"/>
      <c r="CF33" s="912"/>
      <c r="CG33" s="912"/>
      <c r="CH33" s="912"/>
      <c r="CI33" s="912"/>
      <c r="CJ33" s="912"/>
      <c r="CK33" s="912"/>
      <c r="CL33" s="912"/>
      <c r="CM33" s="912"/>
      <c r="CN33" s="912"/>
      <c r="CO33" s="912"/>
      <c r="CP33" s="912"/>
      <c r="CQ33" s="912"/>
      <c r="CR33" s="912"/>
      <c r="CS33" s="912"/>
      <c r="CT33" s="912"/>
      <c r="CU33" s="912"/>
      <c r="CV33" s="912"/>
      <c r="CW33" s="912"/>
      <c r="CX33" s="912"/>
      <c r="CY33" s="912"/>
      <c r="CZ33" s="912"/>
      <c r="DA33" s="912"/>
      <c r="DB33" s="912"/>
    </row>
    <row r="34" spans="1:112">
      <c r="A34" s="909" t="s">
        <v>372</v>
      </c>
      <c r="B34" s="909"/>
      <c r="C34" s="909"/>
      <c r="D34" s="909"/>
      <c r="E34" s="909"/>
      <c r="F34" s="909"/>
      <c r="G34" s="909"/>
      <c r="H34" s="909"/>
      <c r="I34" s="909"/>
      <c r="J34" s="909"/>
      <c r="K34" s="909"/>
      <c r="L34" s="909"/>
      <c r="M34" s="909"/>
      <c r="N34" s="909"/>
      <c r="O34" s="909"/>
      <c r="P34" s="909"/>
      <c r="Q34" s="909"/>
      <c r="R34" s="909"/>
      <c r="S34" s="909"/>
      <c r="T34" s="909"/>
      <c r="U34" s="909"/>
      <c r="V34" s="909"/>
      <c r="W34" s="909"/>
      <c r="X34" s="909"/>
      <c r="Y34" s="909"/>
      <c r="Z34" s="909"/>
      <c r="AA34" s="909"/>
      <c r="AB34" s="909"/>
      <c r="AC34" s="909"/>
      <c r="AD34" s="909"/>
      <c r="AE34" s="909"/>
      <c r="AF34" s="909"/>
      <c r="AG34" s="909"/>
      <c r="AH34" s="909"/>
      <c r="AI34" s="909"/>
      <c r="AJ34" s="909"/>
      <c r="AK34" s="909"/>
      <c r="AL34" s="909"/>
      <c r="AM34" s="909"/>
      <c r="AN34" s="909"/>
      <c r="AO34" s="909"/>
      <c r="AP34" s="909"/>
      <c r="AQ34" s="909"/>
      <c r="AR34" s="909"/>
      <c r="AS34" s="909"/>
      <c r="AT34" s="909"/>
      <c r="AU34" s="909"/>
      <c r="AV34" s="909"/>
      <c r="AW34" s="909"/>
      <c r="AX34" s="909"/>
      <c r="AY34" s="909"/>
      <c r="AZ34" s="909"/>
      <c r="BA34" s="909"/>
      <c r="BB34" s="909"/>
      <c r="BC34" s="909"/>
      <c r="BD34" s="909"/>
      <c r="BE34" s="909"/>
      <c r="BF34" s="909"/>
      <c r="BG34" s="909"/>
      <c r="BH34" s="909"/>
      <c r="BI34" s="909"/>
      <c r="BJ34" s="909"/>
      <c r="BK34" s="909"/>
      <c r="BL34" s="909"/>
      <c r="BM34" s="909"/>
      <c r="BN34" s="909"/>
      <c r="BO34" s="909"/>
      <c r="BP34" s="909"/>
      <c r="BQ34" s="909"/>
      <c r="BR34" s="909"/>
      <c r="BS34" s="909"/>
      <c r="BT34" s="909"/>
      <c r="BU34" s="909"/>
      <c r="BV34" s="909"/>
      <c r="BW34" s="909"/>
      <c r="BX34" s="909"/>
      <c r="BY34" s="909"/>
      <c r="BZ34" s="909"/>
      <c r="CA34" s="909"/>
      <c r="CB34" s="909"/>
      <c r="CC34" s="909"/>
      <c r="CD34" s="909"/>
      <c r="CE34" s="909"/>
      <c r="CF34" s="909"/>
      <c r="CG34" s="909"/>
      <c r="CH34" s="909"/>
      <c r="CI34" s="909"/>
      <c r="CJ34" s="909"/>
      <c r="CK34" s="909"/>
      <c r="CL34" s="909"/>
      <c r="CM34" s="909"/>
      <c r="CN34" s="909"/>
      <c r="CO34" s="909"/>
      <c r="CP34" s="909"/>
      <c r="CQ34" s="909"/>
      <c r="CR34" s="909"/>
      <c r="CS34" s="909"/>
      <c r="CT34" s="909"/>
      <c r="CU34" s="909"/>
      <c r="CV34" s="909"/>
      <c r="CW34" s="909"/>
      <c r="CX34" s="909"/>
      <c r="CY34" s="909"/>
      <c r="CZ34" s="909"/>
      <c r="DA34" s="909"/>
      <c r="DB34" s="909"/>
    </row>
    <row r="35" spans="1:112" ht="10.15" customHeight="1">
      <c r="A35" s="934" t="s">
        <v>373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  <c r="BC35" s="934"/>
      <c r="BD35" s="934"/>
      <c r="BE35" s="934"/>
      <c r="BF35" s="934"/>
      <c r="BG35" s="934"/>
      <c r="BH35" s="934"/>
      <c r="BI35" s="934"/>
      <c r="BJ35" s="934"/>
      <c r="BK35" s="934"/>
      <c r="BL35" s="934"/>
      <c r="BM35" s="934"/>
      <c r="BN35" s="934"/>
      <c r="BO35" s="934"/>
      <c r="BP35" s="934"/>
      <c r="BQ35" s="934"/>
      <c r="BR35" s="934"/>
      <c r="BS35" s="934"/>
      <c r="BT35" s="934"/>
      <c r="BU35" s="934"/>
      <c r="BV35" s="934"/>
      <c r="BW35" s="934"/>
      <c r="BX35" s="934"/>
      <c r="BY35" s="934"/>
      <c r="BZ35" s="934"/>
      <c r="CA35" s="934"/>
      <c r="CB35" s="934"/>
      <c r="CC35" s="934"/>
      <c r="CD35" s="934"/>
      <c r="CE35" s="934"/>
      <c r="CF35" s="934"/>
      <c r="CG35" s="934"/>
      <c r="CH35" s="934"/>
      <c r="CI35" s="934"/>
      <c r="CJ35" s="934"/>
      <c r="CK35" s="934"/>
      <c r="CL35" s="934"/>
      <c r="CM35" s="934"/>
      <c r="CN35" s="934"/>
      <c r="CO35" s="934"/>
      <c r="CP35" s="934"/>
      <c r="CQ35" s="934"/>
      <c r="CR35" s="934"/>
      <c r="CS35" s="934"/>
      <c r="CT35" s="934"/>
      <c r="CU35" s="934"/>
      <c r="CV35" s="934"/>
      <c r="CW35" s="934"/>
      <c r="CX35" s="934"/>
      <c r="CY35" s="934"/>
      <c r="CZ35" s="934"/>
      <c r="DA35" s="934"/>
      <c r="DB35" s="934"/>
    </row>
    <row r="36" spans="1:112">
      <c r="A36" s="737" t="s">
        <v>222</v>
      </c>
      <c r="B36" s="737"/>
      <c r="C36" s="737"/>
      <c r="D36" s="737"/>
      <c r="E36" s="737"/>
      <c r="F36" s="737"/>
      <c r="G36" s="737"/>
      <c r="H36" s="737"/>
      <c r="I36" s="737"/>
      <c r="J36" s="737"/>
      <c r="K36" s="737"/>
      <c r="L36" s="737"/>
      <c r="M36" s="737"/>
      <c r="N36" s="737"/>
      <c r="O36" s="737"/>
      <c r="P36" s="450"/>
      <c r="Q36" s="450"/>
      <c r="R36" s="759" t="s">
        <v>1051</v>
      </c>
      <c r="S36" s="759"/>
      <c r="T36" s="759"/>
      <c r="U36" s="759"/>
      <c r="V36" s="759"/>
      <c r="W36" s="759"/>
      <c r="X36" s="759"/>
      <c r="Y36" s="759"/>
      <c r="Z36" s="759"/>
      <c r="AA36" s="759"/>
      <c r="AB36" s="759"/>
      <c r="AC36" s="759"/>
      <c r="AD36" s="759"/>
      <c r="AE36" s="759"/>
      <c r="AF36" s="759"/>
      <c r="AG36" s="759"/>
      <c r="AH36" s="759"/>
      <c r="AI36" s="759"/>
      <c r="AJ36" s="759"/>
      <c r="AK36" s="759"/>
      <c r="AL36" s="759"/>
      <c r="AM36" s="759"/>
      <c r="AN36" s="759"/>
      <c r="AO36" s="759"/>
      <c r="AP36" s="759"/>
      <c r="AQ36" s="759"/>
      <c r="AR36" s="759"/>
      <c r="AS36" s="759"/>
      <c r="AT36" s="759"/>
      <c r="AU36" s="759"/>
      <c r="AV36" s="759"/>
      <c r="AW36" s="759"/>
      <c r="AX36" s="759"/>
      <c r="AY36" s="759"/>
      <c r="AZ36" s="759"/>
      <c r="BA36" s="759"/>
      <c r="BB36" s="759"/>
      <c r="BC36" s="759"/>
      <c r="BD36" s="759"/>
      <c r="BE36" s="759"/>
      <c r="BF36" s="759"/>
      <c r="BG36" s="759"/>
      <c r="BH36" s="759"/>
      <c r="BI36" s="759"/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759"/>
      <c r="CH36" s="759"/>
      <c r="CI36" s="759"/>
      <c r="CJ36" s="759"/>
      <c r="CK36" s="759"/>
      <c r="CL36" s="759"/>
      <c r="CM36" s="759"/>
      <c r="CN36" s="759"/>
      <c r="CO36" s="759"/>
      <c r="CP36" s="759"/>
      <c r="CQ36" s="759"/>
      <c r="CR36" s="759"/>
      <c r="CS36" s="759"/>
      <c r="CT36" s="759"/>
      <c r="CU36" s="759"/>
      <c r="CV36" s="759"/>
      <c r="CW36" s="759"/>
      <c r="CX36" s="759"/>
      <c r="CY36" s="759"/>
      <c r="CZ36" s="759"/>
      <c r="DA36" s="759"/>
      <c r="DB36" s="759"/>
    </row>
    <row r="37" spans="1:112" ht="14.5" customHeight="1">
      <c r="A37" s="759" t="s">
        <v>1052</v>
      </c>
      <c r="B37" s="759"/>
      <c r="C37" s="759"/>
      <c r="D37" s="759"/>
      <c r="E37" s="759"/>
      <c r="F37" s="759"/>
      <c r="G37" s="759"/>
      <c r="H37" s="759"/>
      <c r="I37" s="759"/>
      <c r="J37" s="759"/>
      <c r="K37" s="759"/>
      <c r="L37" s="759"/>
      <c r="M37" s="759"/>
      <c r="N37" s="759"/>
      <c r="O37" s="759"/>
      <c r="P37" s="759"/>
      <c r="Q37" s="759"/>
      <c r="R37" s="759"/>
      <c r="S37" s="759"/>
      <c r="T37" s="759"/>
      <c r="U37" s="759"/>
      <c r="V37" s="759"/>
      <c r="W37" s="759"/>
      <c r="X37" s="759"/>
      <c r="Y37" s="759"/>
      <c r="Z37" s="759"/>
      <c r="AA37" s="759"/>
      <c r="AB37" s="759"/>
      <c r="AC37" s="759"/>
      <c r="AD37" s="759"/>
      <c r="AE37" s="759"/>
      <c r="AF37" s="759"/>
      <c r="AG37" s="759"/>
      <c r="AH37" s="759"/>
      <c r="AI37" s="759"/>
      <c r="AJ37" s="759"/>
      <c r="AK37" s="759"/>
      <c r="AL37" s="759"/>
      <c r="AM37" s="759"/>
      <c r="AN37" s="759"/>
      <c r="AO37" s="759"/>
      <c r="AP37" s="759"/>
      <c r="AQ37" s="759"/>
      <c r="AR37" s="759"/>
      <c r="AS37" s="759"/>
      <c r="AT37" s="759"/>
      <c r="AU37" s="759"/>
      <c r="AV37" s="759"/>
      <c r="AW37" s="759"/>
      <c r="AX37" s="759"/>
      <c r="AY37" s="759"/>
      <c r="AZ37" s="759"/>
      <c r="BA37" s="759"/>
      <c r="BB37" s="759"/>
      <c r="BC37" s="759"/>
      <c r="BD37" s="759"/>
      <c r="BE37" s="759"/>
      <c r="BF37" s="759"/>
      <c r="BG37" s="759"/>
      <c r="BH37" s="759"/>
      <c r="BI37" s="759"/>
      <c r="BJ37" s="759"/>
      <c r="BK37" s="759"/>
      <c r="BL37" s="759"/>
      <c r="BM37" s="759"/>
      <c r="BN37" s="759"/>
      <c r="BO37" s="759"/>
      <c r="BP37" s="759"/>
      <c r="BQ37" s="759"/>
      <c r="BR37" s="759"/>
      <c r="BS37" s="759"/>
      <c r="BT37" s="759"/>
      <c r="BU37" s="759"/>
      <c r="BV37" s="759"/>
      <c r="BW37" s="759"/>
      <c r="BX37" s="759"/>
      <c r="BY37" s="759"/>
      <c r="BZ37" s="759"/>
      <c r="CA37" s="759"/>
      <c r="CB37" s="759"/>
      <c r="CC37" s="759"/>
      <c r="CD37" s="759"/>
      <c r="CE37" s="759"/>
      <c r="CF37" s="759"/>
      <c r="CG37" s="759"/>
      <c r="CH37" s="759"/>
      <c r="CI37" s="759"/>
      <c r="CJ37" s="759"/>
      <c r="CK37" s="759"/>
      <c r="CL37" s="759"/>
      <c r="CM37" s="759"/>
      <c r="CN37" s="759"/>
      <c r="CO37" s="759"/>
      <c r="CP37" s="759"/>
      <c r="CQ37" s="759"/>
      <c r="CR37" s="759"/>
      <c r="CS37" s="759"/>
      <c r="CT37" s="759"/>
      <c r="CU37" s="759"/>
      <c r="CV37" s="759"/>
      <c r="CW37" s="759"/>
      <c r="CX37" s="759"/>
      <c r="CY37" s="759"/>
      <c r="CZ37" s="759"/>
      <c r="DA37" s="759"/>
      <c r="DB37" s="759"/>
    </row>
    <row r="38" spans="1:112">
      <c r="A38" s="449"/>
      <c r="B38" s="450"/>
      <c r="C38" s="450"/>
      <c r="D38" s="450"/>
      <c r="E38" s="450"/>
      <c r="F38" s="450"/>
      <c r="G38" s="450"/>
      <c r="H38" s="450"/>
      <c r="I38" s="450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50"/>
      <c r="W38" s="450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50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50"/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  <c r="CD38" s="450"/>
      <c r="CE38" s="450"/>
      <c r="CF38" s="450"/>
      <c r="CG38" s="450"/>
      <c r="CH38" s="450"/>
      <c r="CI38" s="450"/>
      <c r="CJ38" s="450"/>
      <c r="CK38" s="450"/>
      <c r="CL38" s="450"/>
      <c r="CM38" s="450"/>
      <c r="CN38" s="450"/>
      <c r="CO38" s="450"/>
      <c r="CP38" s="450"/>
      <c r="CQ38" s="450"/>
      <c r="CR38" s="450"/>
      <c r="CS38" s="450"/>
      <c r="CT38" s="450"/>
      <c r="CU38" s="450"/>
      <c r="CV38" s="450"/>
      <c r="CW38" s="450"/>
      <c r="CX38" s="450"/>
      <c r="CY38" s="450"/>
      <c r="CZ38" s="450"/>
      <c r="DA38" s="450"/>
      <c r="DB38" s="450"/>
    </row>
    <row r="39" spans="1:112" ht="34.5" customHeight="1">
      <c r="A39" s="818" t="s">
        <v>710</v>
      </c>
      <c r="B39" s="764"/>
      <c r="C39" s="764"/>
      <c r="D39" s="764"/>
      <c r="E39" s="764"/>
      <c r="F39" s="764"/>
      <c r="G39" s="764"/>
      <c r="H39" s="764"/>
      <c r="I39" s="764"/>
      <c r="J39" s="764"/>
      <c r="K39" s="764"/>
      <c r="L39" s="764"/>
      <c r="M39" s="764"/>
      <c r="N39" s="764"/>
      <c r="O39" s="764"/>
      <c r="P39" s="764"/>
      <c r="Q39" s="764"/>
      <c r="R39" s="764"/>
      <c r="S39" s="764"/>
      <c r="T39" s="764"/>
      <c r="U39" s="764"/>
      <c r="V39" s="764"/>
      <c r="W39" s="764"/>
      <c r="X39" s="764"/>
      <c r="Y39" s="764"/>
      <c r="Z39" s="764"/>
      <c r="AA39" s="764"/>
      <c r="AB39" s="764"/>
      <c r="AC39" s="764"/>
      <c r="AD39" s="764"/>
      <c r="AE39" s="764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60"/>
      <c r="BJ39" s="760"/>
      <c r="BK39" s="760"/>
      <c r="BL39" s="760"/>
      <c r="BM39" s="760"/>
      <c r="BN39" s="760"/>
      <c r="BO39" s="760"/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760"/>
      <c r="CF39" s="760"/>
      <c r="CG39" s="19"/>
      <c r="CH39" s="19"/>
      <c r="CI39" s="19"/>
      <c r="CJ39" s="758" t="str">
        <f>ПОДПИСИ!E5</f>
        <v>Д.М. Чечин</v>
      </c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36" t="s">
        <v>11</v>
      </c>
      <c r="BJ40" s="736"/>
      <c r="BK40" s="736"/>
      <c r="BL40" s="736"/>
      <c r="BM40" s="736"/>
      <c r="BN40" s="736"/>
      <c r="BO40" s="736"/>
      <c r="BP40" s="736"/>
      <c r="BQ40" s="736"/>
      <c r="BR40" s="736"/>
      <c r="BS40" s="736"/>
      <c r="BT40" s="736"/>
      <c r="BU40" s="736"/>
      <c r="BV40" s="736"/>
      <c r="BW40" s="736"/>
      <c r="BX40" s="736"/>
      <c r="BY40" s="736"/>
      <c r="BZ40" s="736"/>
      <c r="CA40" s="736"/>
      <c r="CB40" s="736"/>
      <c r="CC40" s="736"/>
      <c r="CD40" s="736"/>
      <c r="CE40" s="736"/>
      <c r="CF40" s="736"/>
      <c r="CG40" s="21"/>
      <c r="CH40" s="21"/>
      <c r="CI40" s="21"/>
      <c r="CJ40" s="736" t="s">
        <v>50</v>
      </c>
      <c r="CK40" s="736"/>
      <c r="CL40" s="736"/>
      <c r="CM40" s="736"/>
      <c r="CN40" s="736"/>
      <c r="CO40" s="736"/>
      <c r="CP40" s="736"/>
      <c r="CQ40" s="736"/>
      <c r="CR40" s="736"/>
      <c r="CS40" s="736"/>
      <c r="CT40" s="736"/>
      <c r="CU40" s="736"/>
      <c r="CV40" s="736"/>
      <c r="CW40" s="736"/>
      <c r="CX40" s="736"/>
      <c r="CY40" s="736"/>
      <c r="CZ40" s="736"/>
      <c r="DA40" s="736"/>
      <c r="DB40" s="736"/>
    </row>
    <row r="41" spans="1:112" ht="38.25" customHeight="1">
      <c r="A41" s="818" t="s">
        <v>718</v>
      </c>
      <c r="B41" s="764"/>
      <c r="C41" s="764"/>
      <c r="D41" s="764"/>
      <c r="E41" s="764"/>
      <c r="F41" s="764"/>
      <c r="G41" s="764"/>
      <c r="H41" s="764"/>
      <c r="I41" s="764"/>
      <c r="J41" s="764"/>
      <c r="K41" s="764"/>
      <c r="L41" s="764"/>
      <c r="M41" s="764"/>
      <c r="N41" s="764"/>
      <c r="O41" s="764"/>
      <c r="P41" s="764"/>
      <c r="Q41" s="764"/>
      <c r="R41" s="764"/>
      <c r="S41" s="764"/>
      <c r="T41" s="764"/>
      <c r="U41" s="764"/>
      <c r="V41" s="764"/>
      <c r="W41" s="764"/>
      <c r="X41" s="764"/>
      <c r="Y41" s="764"/>
      <c r="Z41" s="764"/>
      <c r="AA41" s="764"/>
      <c r="AB41" s="764"/>
      <c r="AC41" s="764"/>
      <c r="AD41" s="764"/>
      <c r="AE41" s="764"/>
      <c r="AF41" s="764"/>
      <c r="AG41" s="764"/>
      <c r="AH41" s="764"/>
      <c r="AI41" s="764"/>
      <c r="AJ41" s="764"/>
      <c r="AK41" s="764"/>
      <c r="AL41" s="764"/>
      <c r="AM41" s="764"/>
      <c r="AN41" s="764"/>
      <c r="AO41" s="764"/>
      <c r="AP41" s="764"/>
      <c r="AQ41" s="764"/>
      <c r="AR41" s="764"/>
      <c r="AS41" s="764"/>
      <c r="AT41" s="764"/>
      <c r="AU41" s="764"/>
      <c r="AV41" s="764"/>
      <c r="AW41" s="764"/>
      <c r="AX41" s="764"/>
      <c r="AY41" s="764"/>
      <c r="AZ41" s="764"/>
      <c r="BA41" s="764"/>
      <c r="BB41" s="764"/>
      <c r="BC41" s="764"/>
      <c r="BD41" s="764"/>
      <c r="BE41" s="764"/>
      <c r="BF41" s="19"/>
      <c r="BG41" s="19"/>
      <c r="BH41" s="19"/>
      <c r="BI41" s="760"/>
      <c r="BJ41" s="760"/>
      <c r="BK41" s="760"/>
      <c r="BL41" s="760"/>
      <c r="BM41" s="760"/>
      <c r="BN41" s="760"/>
      <c r="BO41" s="760"/>
      <c r="BP41" s="760"/>
      <c r="BQ41" s="760"/>
      <c r="BR41" s="760"/>
      <c r="BS41" s="760"/>
      <c r="BT41" s="760"/>
      <c r="BU41" s="760"/>
      <c r="BV41" s="760"/>
      <c r="BW41" s="760"/>
      <c r="BX41" s="760"/>
      <c r="BY41" s="760"/>
      <c r="BZ41" s="760"/>
      <c r="CA41" s="760"/>
      <c r="CB41" s="760"/>
      <c r="CC41" s="760"/>
      <c r="CD41" s="760"/>
      <c r="CE41" s="760"/>
      <c r="CF41" s="760"/>
      <c r="CG41" s="23"/>
      <c r="CH41" s="23"/>
      <c r="CI41" s="23"/>
      <c r="CJ41" s="758" t="str">
        <f>IF(ПОДПИСИ!E12=0," ",ПОДПИСИ!E12)</f>
        <v>А.Р. Махмадов</v>
      </c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11.25" customHeight="1">
      <c r="BI42" s="736" t="s">
        <v>11</v>
      </c>
      <c r="BJ42" s="736"/>
      <c r="BK42" s="736"/>
      <c r="BL42" s="736"/>
      <c r="BM42" s="736"/>
      <c r="BN42" s="736"/>
      <c r="BO42" s="736"/>
      <c r="BP42" s="736"/>
      <c r="BQ42" s="736"/>
      <c r="BR42" s="736"/>
      <c r="BS42" s="736"/>
      <c r="BT42" s="736"/>
      <c r="BU42" s="736"/>
      <c r="BV42" s="736"/>
      <c r="BW42" s="736"/>
      <c r="BX42" s="736"/>
      <c r="BY42" s="736"/>
      <c r="BZ42" s="736"/>
      <c r="CA42" s="736"/>
      <c r="CB42" s="736"/>
      <c r="CC42" s="736"/>
      <c r="CD42" s="736"/>
      <c r="CE42" s="736"/>
      <c r="CF42" s="736"/>
      <c r="CG42" s="21"/>
      <c r="CH42" s="21"/>
      <c r="CI42" s="21"/>
      <c r="CJ42" s="736" t="s">
        <v>50</v>
      </c>
      <c r="CK42" s="736"/>
      <c r="CL42" s="736"/>
      <c r="CM42" s="736"/>
      <c r="CN42" s="736"/>
      <c r="CO42" s="736"/>
      <c r="CP42" s="736"/>
      <c r="CQ42" s="736"/>
      <c r="CR42" s="736"/>
      <c r="CS42" s="736"/>
      <c r="CT42" s="736"/>
      <c r="CU42" s="736"/>
      <c r="CV42" s="736"/>
      <c r="CW42" s="736"/>
      <c r="CX42" s="736"/>
      <c r="CY42" s="736"/>
      <c r="CZ42" s="736"/>
      <c r="DA42" s="736"/>
      <c r="DB42" s="736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118" priority="3" operator="equal">
      <formula>0</formula>
    </cfRule>
  </conditionalFormatting>
  <conditionalFormatting sqref="DH2:DH7">
    <cfRule type="cellIs" dxfId="117" priority="2" operator="equal">
      <formula>0</formula>
    </cfRule>
  </conditionalFormatting>
  <conditionalFormatting sqref="DH9">
    <cfRule type="cellIs" dxfId="11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796875" defaultRowHeight="14"/>
  <cols>
    <col min="1" max="1" width="9.81640625" style="19" customWidth="1"/>
    <col min="2" max="2" width="23.1796875" style="19" customWidth="1"/>
    <col min="3" max="3" width="2.7265625" style="19" customWidth="1"/>
    <col min="4" max="4" width="17.81640625" style="19" customWidth="1"/>
    <col min="5" max="5" width="2.7265625" style="19" customWidth="1"/>
    <col min="6" max="6" width="15.1796875" style="19" customWidth="1"/>
    <col min="7" max="7" width="4.54296875" style="19" customWidth="1"/>
    <col min="8" max="8" width="2.7265625" style="19" customWidth="1"/>
    <col min="9" max="9" width="14.26953125" style="19" customWidth="1"/>
    <col min="10" max="10" width="0.81640625" style="19" customWidth="1"/>
    <col min="11" max="11" width="9.1796875" style="19"/>
    <col min="12" max="12" width="2.54296875" style="19" customWidth="1"/>
    <col min="13" max="15" width="15.7265625" style="19" customWidth="1"/>
    <col min="16" max="16384" width="9.1796875" style="19"/>
  </cols>
  <sheetData>
    <row r="1" spans="1:16" ht="14.5">
      <c r="A1" s="942" t="s">
        <v>394</v>
      </c>
      <c r="B1" s="942"/>
      <c r="C1" s="942"/>
      <c r="D1" s="942"/>
      <c r="E1" s="942"/>
      <c r="F1" s="942"/>
      <c r="G1" s="942"/>
      <c r="H1" s="942"/>
      <c r="I1" s="942"/>
      <c r="J1" s="943"/>
      <c r="K1" s="815">
        <v>0</v>
      </c>
      <c r="L1" s="815"/>
      <c r="M1"/>
      <c r="N1"/>
      <c r="O1"/>
      <c r="P1"/>
    </row>
    <row r="2" spans="1:16" ht="14.5">
      <c r="A2" s="942" t="s">
        <v>395</v>
      </c>
      <c r="B2" s="942"/>
      <c r="C2" s="942"/>
      <c r="D2" s="942"/>
      <c r="E2" s="942"/>
      <c r="F2" s="942"/>
      <c r="G2" s="942"/>
      <c r="H2" s="942"/>
      <c r="I2" s="942"/>
      <c r="J2" s="942"/>
      <c r="M2"/>
      <c r="N2"/>
      <c r="O2"/>
      <c r="P2"/>
    </row>
    <row r="3" spans="1:16">
      <c r="A3" s="726"/>
      <c r="B3" s="726"/>
      <c r="C3" s="726"/>
      <c r="D3" s="726"/>
      <c r="E3" s="726"/>
      <c r="F3" s="726"/>
      <c r="G3" s="726"/>
      <c r="H3" s="726"/>
      <c r="I3" s="726"/>
      <c r="J3" s="726"/>
    </row>
    <row r="4" spans="1:16">
      <c r="A4" s="738" t="s">
        <v>18</v>
      </c>
      <c r="B4" s="738"/>
      <c r="C4" s="738"/>
      <c r="D4" s="738"/>
      <c r="E4" s="738"/>
      <c r="F4" s="738"/>
      <c r="G4" s="738"/>
      <c r="H4" s="738"/>
      <c r="I4" s="738"/>
      <c r="J4" s="738"/>
    </row>
    <row r="5" spans="1:16">
      <c r="A5" s="738" t="s">
        <v>396</v>
      </c>
      <c r="B5" s="738"/>
      <c r="C5" s="738"/>
      <c r="D5" s="738"/>
      <c r="E5" s="738"/>
      <c r="F5" s="738"/>
      <c r="G5" s="738"/>
      <c r="H5" s="738"/>
      <c r="I5" s="738"/>
      <c r="J5" s="738"/>
    </row>
    <row r="6" spans="1:16">
      <c r="A6" s="738" t="s">
        <v>397</v>
      </c>
      <c r="B6" s="738"/>
      <c r="C6" s="738"/>
      <c r="D6" s="738"/>
      <c r="E6" s="738"/>
      <c r="F6" s="738"/>
      <c r="G6" s="738"/>
      <c r="H6" s="738"/>
      <c r="I6" s="738"/>
      <c r="J6" s="738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5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39" t="s">
        <v>398</v>
      </c>
      <c r="B8" s="868" t="s">
        <v>88</v>
      </c>
      <c r="C8" s="870"/>
      <c r="D8" s="739" t="s">
        <v>36</v>
      </c>
      <c r="E8" s="858"/>
      <c r="F8" s="874" t="s">
        <v>28</v>
      </c>
      <c r="G8" s="739" t="s">
        <v>27</v>
      </c>
      <c r="H8" s="739"/>
      <c r="I8" s="739"/>
      <c r="J8" s="739"/>
    </row>
    <row r="9" spans="1:16" ht="15" customHeight="1">
      <c r="A9" s="739"/>
      <c r="B9" s="871"/>
      <c r="C9" s="873"/>
      <c r="D9" s="739"/>
      <c r="E9" s="858"/>
      <c r="F9" s="877"/>
      <c r="G9" s="739"/>
      <c r="H9" s="739"/>
      <c r="I9" s="739"/>
      <c r="J9" s="739"/>
    </row>
    <row r="10" spans="1:16" ht="38.25" customHeight="1">
      <c r="A10" s="238">
        <v>1</v>
      </c>
      <c r="B10" s="940" t="s">
        <v>610</v>
      </c>
      <c r="C10" s="941"/>
      <c r="D10" s="935" t="s">
        <v>611</v>
      </c>
      <c r="E10" s="936"/>
      <c r="F10" s="259">
        <v>1</v>
      </c>
      <c r="G10" s="937"/>
      <c r="H10" s="938"/>
      <c r="I10" s="938"/>
      <c r="J10" s="939"/>
    </row>
    <row r="11" spans="1:16" ht="25.5" customHeight="1">
      <c r="A11" s="238">
        <v>2</v>
      </c>
      <c r="B11" s="940" t="s">
        <v>612</v>
      </c>
      <c r="C11" s="941"/>
      <c r="D11" s="935" t="s">
        <v>613</v>
      </c>
      <c r="E11" s="936"/>
      <c r="F11" s="260">
        <v>1</v>
      </c>
      <c r="G11" s="937"/>
      <c r="H11" s="938"/>
      <c r="I11" s="938"/>
      <c r="J11" s="939"/>
    </row>
    <row r="12" spans="1:16" ht="56.25" customHeight="1">
      <c r="A12" s="238">
        <v>3</v>
      </c>
      <c r="B12" s="940" t="s">
        <v>624</v>
      </c>
      <c r="C12" s="941"/>
      <c r="D12" s="935" t="s">
        <v>625</v>
      </c>
      <c r="E12" s="936"/>
      <c r="F12" s="260">
        <v>5</v>
      </c>
      <c r="G12" s="937"/>
      <c r="H12" s="938"/>
      <c r="I12" s="938"/>
      <c r="J12" s="939"/>
    </row>
    <row r="13" spans="1:16" ht="25.5" customHeight="1">
      <c r="A13" s="238">
        <v>4</v>
      </c>
      <c r="B13" s="940" t="s">
        <v>614</v>
      </c>
      <c r="C13" s="941"/>
      <c r="D13" s="935" t="s">
        <v>626</v>
      </c>
      <c r="E13" s="936"/>
      <c r="F13" s="260">
        <v>3</v>
      </c>
      <c r="G13" s="937"/>
      <c r="H13" s="938"/>
      <c r="I13" s="938"/>
      <c r="J13" s="939"/>
    </row>
    <row r="14" spans="1:16" ht="25.5" customHeight="1">
      <c r="A14" s="238">
        <v>5</v>
      </c>
      <c r="B14" s="940" t="s">
        <v>622</v>
      </c>
      <c r="C14" s="941"/>
      <c r="D14" s="935" t="s">
        <v>623</v>
      </c>
      <c r="E14" s="936"/>
      <c r="F14" s="260">
        <v>1</v>
      </c>
      <c r="G14" s="937"/>
      <c r="H14" s="938"/>
      <c r="I14" s="938"/>
      <c r="J14" s="939"/>
    </row>
    <row r="15" spans="1:16" ht="55.15" customHeight="1">
      <c r="A15" s="766" t="s">
        <v>477</v>
      </c>
      <c r="B15" s="767"/>
      <c r="D15" s="209" t="str">
        <f>ПОДПИСИ!B12</f>
        <v xml:space="preserve">Производитель работ ООО«БЭСК» </v>
      </c>
      <c r="F15" s="944"/>
      <c r="G15" s="944"/>
      <c r="I15" s="758" t="str">
        <f>ПОДПИСИ!E12</f>
        <v>А.Р. Махмадов</v>
      </c>
      <c r="J15" s="758"/>
    </row>
    <row r="16" spans="1:16" ht="15" customHeight="1">
      <c r="A16" s="738"/>
      <c r="B16" s="738"/>
      <c r="D16" s="46" t="s">
        <v>48</v>
      </c>
      <c r="E16" s="21"/>
      <c r="F16" s="770" t="s">
        <v>49</v>
      </c>
      <c r="G16" s="770"/>
      <c r="H16" s="21"/>
      <c r="I16" s="770" t="s">
        <v>50</v>
      </c>
      <c r="J16" s="770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activeCell="DE6" sqref="DE6"/>
    </sheetView>
  </sheetViews>
  <sheetFormatPr defaultRowHeight="14.5"/>
  <cols>
    <col min="1" max="106" width="0.81640625" customWidth="1"/>
    <col min="108" max="110" width="15.7265625" customWidth="1"/>
    <col min="112" max="112" width="50.269531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19"/>
      <c r="AY2" s="19"/>
      <c r="AZ2" s="19"/>
      <c r="BA2" s="19"/>
      <c r="BB2" s="19"/>
      <c r="BC2" s="19"/>
      <c r="BD2" s="19"/>
      <c r="BE2" s="758" t="str">
        <f>ФОРМА!G2</f>
        <v>Санкт-Петербург</v>
      </c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H2" s="142"/>
    </row>
    <row r="3" spans="1:112" s="2" customFormat="1" ht="12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AV3" s="770"/>
      <c r="AW3" s="770"/>
      <c r="AX3" s="21"/>
      <c r="AY3" s="21"/>
      <c r="AZ3" s="21"/>
      <c r="BA3" s="21"/>
      <c r="BB3" s="21"/>
      <c r="BC3" s="21"/>
      <c r="BD3" s="21"/>
      <c r="BE3" s="770" t="s">
        <v>0</v>
      </c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AV4" s="758"/>
      <c r="AW4" s="758"/>
      <c r="AX4" s="19"/>
      <c r="AY4" s="19"/>
      <c r="AZ4" s="19"/>
      <c r="BA4" s="19"/>
      <c r="BB4" s="19"/>
      <c r="BC4" s="19"/>
      <c r="BD4" s="19"/>
      <c r="BE4" s="772" t="str">
        <f>ФОРМА!B2</f>
        <v>ПАО "Россети Ленэнерго"</v>
      </c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BE4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21"/>
      <c r="AY5" s="21"/>
      <c r="AZ5" s="21"/>
      <c r="BA5" s="21"/>
      <c r="BB5" s="21"/>
      <c r="BC5" s="21"/>
      <c r="BD5" s="21"/>
      <c r="BE5" s="770" t="s">
        <v>2</v>
      </c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4" customHeight="1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758"/>
      <c r="AP6" s="758"/>
      <c r="AQ6" s="758"/>
      <c r="AR6" s="758"/>
      <c r="AS6" s="758"/>
      <c r="AT6" s="758"/>
      <c r="AU6" s="758"/>
      <c r="AV6" s="758"/>
      <c r="AW6" s="758"/>
      <c r="AX6" s="21"/>
      <c r="AY6" s="21"/>
      <c r="AZ6" s="21"/>
      <c r="BA6" s="21"/>
      <c r="BB6" s="21"/>
      <c r="BC6" s="21"/>
      <c r="BD6" s="21" t="s">
        <v>1707</v>
      </c>
      <c r="BE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21"/>
      <c r="AY7" s="21"/>
      <c r="AZ7" s="21"/>
      <c r="BA7" s="21"/>
      <c r="BB7" s="21"/>
      <c r="BC7" s="21"/>
      <c r="BD7" s="21"/>
      <c r="BE7" s="770" t="s">
        <v>38</v>
      </c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AV8" s="758"/>
      <c r="AW8" s="758"/>
      <c r="AX8" s="19"/>
      <c r="AY8" s="19"/>
      <c r="AZ8" s="19"/>
      <c r="BA8" s="19"/>
      <c r="BB8" s="19"/>
      <c r="BC8" s="19"/>
      <c r="BD8" s="19"/>
      <c r="BE8" s="735">
        <f>ФОРМА!B13</f>
        <v>45625</v>
      </c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770"/>
      <c r="AW9" s="770"/>
      <c r="AX9" s="21"/>
      <c r="AY9" s="21"/>
      <c r="AZ9" s="21"/>
      <c r="BA9" s="21"/>
      <c r="BB9" s="21"/>
      <c r="BC9" s="21"/>
      <c r="BD9" s="21"/>
      <c r="BE9" s="770" t="s">
        <v>3</v>
      </c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141"/>
    </row>
    <row r="12" spans="1:112">
      <c r="A12" s="738" t="s">
        <v>399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67" t="s">
        <v>12</v>
      </c>
      <c r="B15" s="767"/>
      <c r="C15" s="767"/>
      <c r="D15" s="767"/>
      <c r="E15" s="767"/>
      <c r="F15" s="767"/>
      <c r="G15" s="767"/>
      <c r="H15" s="767"/>
      <c r="I15" s="767"/>
      <c r="J15" s="767"/>
      <c r="K15" s="767"/>
      <c r="L15" s="767"/>
      <c r="M15" s="767"/>
      <c r="N15" s="767"/>
      <c r="O15" s="767"/>
      <c r="P15" s="767"/>
      <c r="Q15" s="767"/>
      <c r="R15" s="767"/>
      <c r="S15" s="767"/>
      <c r="T15" s="767"/>
      <c r="U15" s="767"/>
      <c r="V15" s="767"/>
      <c r="W15" s="767"/>
      <c r="X15" s="767"/>
      <c r="Y15" s="767"/>
      <c r="Z15" s="767"/>
      <c r="AA15" s="767"/>
      <c r="AB15" s="767"/>
      <c r="AC15" s="767"/>
      <c r="AD15" s="762" t="str">
        <f>ПОДПИСИ!B5</f>
        <v>Начальник мастерского участка №1 Курортного РЭС ПАО «Россети Ленэнерго» «СЭС»</v>
      </c>
      <c r="AE15" s="762"/>
      <c r="AF15" s="762"/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</row>
    <row r="16" spans="1:112" ht="11.1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0" t="s">
        <v>5</v>
      </c>
      <c r="AC16" s="770"/>
      <c r="AD16" s="770"/>
      <c r="AE16" s="770"/>
      <c r="AF16" s="770"/>
      <c r="AG16" s="770"/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>
      <c r="A17" s="759" t="str">
        <f>ПОДПИСИ!C5</f>
        <v>Чечин Д.М.</v>
      </c>
      <c r="B17" s="759"/>
      <c r="C17" s="759"/>
      <c r="D17" s="759"/>
      <c r="E17" s="759"/>
      <c r="F17" s="759"/>
      <c r="G17" s="759"/>
      <c r="H17" s="759"/>
      <c r="I17" s="759"/>
      <c r="J17" s="759"/>
      <c r="K17" s="759"/>
      <c r="L17" s="759"/>
      <c r="M17" s="759"/>
      <c r="N17" s="759"/>
      <c r="O17" s="759"/>
      <c r="P17" s="759"/>
      <c r="Q17" s="759"/>
      <c r="R17" s="759"/>
      <c r="S17" s="759"/>
      <c r="T17" s="759"/>
      <c r="U17" s="759"/>
      <c r="V17" s="759"/>
      <c r="W17" s="759"/>
      <c r="X17" s="759"/>
      <c r="Y17" s="759"/>
      <c r="Z17" s="759"/>
      <c r="AA17" s="759"/>
      <c r="AB17" s="759"/>
      <c r="AC17" s="759"/>
      <c r="AD17" s="759"/>
      <c r="AE17" s="759"/>
      <c r="AF17" s="759"/>
      <c r="AG17" s="759"/>
      <c r="AH17" s="759"/>
      <c r="AI17" s="759"/>
      <c r="AJ17" s="759"/>
      <c r="AK17" s="759"/>
      <c r="AL17" s="759"/>
      <c r="AM17" s="759"/>
      <c r="AN17" s="759"/>
      <c r="AO17" s="759"/>
      <c r="AP17" s="759"/>
      <c r="AQ17" s="759"/>
      <c r="AR17" s="759"/>
      <c r="AS17" s="759"/>
      <c r="AT17" s="759"/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12" ht="11.15" customHeight="1">
      <c r="A18" s="736"/>
      <c r="B18" s="736"/>
      <c r="C18" s="736"/>
      <c r="D18" s="736"/>
      <c r="E18" s="736"/>
      <c r="F18" s="736"/>
      <c r="G18" s="736"/>
      <c r="H18" s="736"/>
      <c r="I18" s="736"/>
      <c r="J18" s="736"/>
      <c r="K18" s="736"/>
      <c r="L18" s="736"/>
      <c r="M18" s="736"/>
      <c r="N18" s="736"/>
      <c r="O18" s="736"/>
      <c r="P18" s="736"/>
      <c r="Q18" s="736"/>
      <c r="R18" s="736"/>
      <c r="S18" s="736"/>
      <c r="T18" s="736"/>
      <c r="U18" s="736"/>
      <c r="V18" s="736"/>
      <c r="W18" s="736"/>
      <c r="X18" s="736"/>
      <c r="Y18" s="736"/>
      <c r="Z18" s="736"/>
      <c r="AA18" s="736"/>
      <c r="AB18" s="736"/>
      <c r="AC18" s="736"/>
      <c r="AD18" s="736"/>
      <c r="AE18" s="736"/>
      <c r="AF18" s="736"/>
      <c r="AG18" s="736"/>
      <c r="AH18" s="736"/>
      <c r="AI18" s="736"/>
      <c r="AJ18" s="736"/>
      <c r="AK18" s="736"/>
      <c r="AL18" s="736"/>
      <c r="AM18" s="736"/>
      <c r="AN18" s="736"/>
      <c r="AO18" s="736"/>
      <c r="AP18" s="736"/>
      <c r="AQ18" s="736"/>
      <c r="AR18" s="736"/>
      <c r="AS18" s="736"/>
      <c r="AT18" s="736"/>
      <c r="AU18" s="736"/>
      <c r="AV18" s="736"/>
      <c r="AW18" s="736"/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12" ht="22.5" customHeight="1">
      <c r="A19" s="767" t="s">
        <v>47</v>
      </c>
      <c r="B19" s="767"/>
      <c r="C19" s="767"/>
      <c r="D19" s="767"/>
      <c r="E19" s="767"/>
      <c r="F19" s="767"/>
      <c r="G19" s="767"/>
      <c r="H19" s="767"/>
      <c r="I19" s="767"/>
      <c r="J19" s="767"/>
      <c r="K19" s="767"/>
      <c r="L19" s="767"/>
      <c r="M19" s="767"/>
      <c r="N19" s="767"/>
      <c r="O19" s="767"/>
      <c r="P19" s="767"/>
      <c r="Q19" s="767"/>
      <c r="R19" s="767"/>
      <c r="S19" s="767"/>
      <c r="T19" s="767"/>
      <c r="U19" s="767"/>
      <c r="V19" s="767"/>
      <c r="W19" s="767"/>
      <c r="X19" s="767"/>
      <c r="Y19" s="767"/>
      <c r="Z19" s="767"/>
      <c r="AA19" s="767"/>
      <c r="AB19" s="767"/>
      <c r="AC19" s="767"/>
      <c r="AD19" s="767"/>
      <c r="AE19" s="767"/>
      <c r="AF19" s="767"/>
      <c r="AG19" s="767"/>
      <c r="AH19" s="767"/>
      <c r="AI19" s="767"/>
      <c r="AJ19" s="767"/>
      <c r="AK19" s="767"/>
      <c r="AL19" s="767"/>
      <c r="AM19" s="767"/>
      <c r="AN19" s="767"/>
      <c r="AO19" s="767"/>
      <c r="AP19" s="767"/>
      <c r="AQ19" s="767"/>
      <c r="AR19" s="767"/>
      <c r="AS19" s="767"/>
      <c r="AT19" s="767"/>
      <c r="AU19" s="767"/>
      <c r="AV19" s="767"/>
      <c r="AW19" s="762" t="str">
        <f>ПОДПИСИ!B15</f>
        <v xml:space="preserve">Заместитель генерального директора ООО «БЭСК» </v>
      </c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</row>
    <row r="20" spans="1:112" ht="11.1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0" t="s">
        <v>5</v>
      </c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>
      <c r="A21" s="759" t="str">
        <f>ПОДПИСИ!C15</f>
        <v>Матвеев А.С.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</row>
    <row r="22" spans="1:112" ht="11.15" customHeight="1">
      <c r="A22" s="736"/>
      <c r="B22" s="736"/>
      <c r="C22" s="736"/>
      <c r="D22" s="736"/>
      <c r="E22" s="736"/>
      <c r="F22" s="736"/>
      <c r="G22" s="736"/>
      <c r="H22" s="736"/>
      <c r="I22" s="736"/>
      <c r="J22" s="736"/>
      <c r="K22" s="736"/>
      <c r="L22" s="736"/>
      <c r="M22" s="736"/>
      <c r="N22" s="736"/>
      <c r="O22" s="736"/>
      <c r="P22" s="736"/>
      <c r="Q22" s="736"/>
      <c r="R22" s="736"/>
      <c r="S22" s="736"/>
      <c r="T22" s="736"/>
      <c r="U22" s="736"/>
      <c r="V22" s="736"/>
      <c r="W22" s="736"/>
      <c r="X22" s="736"/>
      <c r="Y22" s="736"/>
      <c r="Z22" s="736"/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6"/>
      <c r="AR22" s="736"/>
      <c r="AS22" s="736"/>
      <c r="AT22" s="736"/>
      <c r="AU22" s="736"/>
      <c r="AV22" s="736"/>
      <c r="AW22" s="736"/>
      <c r="AX22" s="736"/>
      <c r="AY22" s="736"/>
      <c r="AZ22" s="736"/>
      <c r="BA22" s="736"/>
      <c r="BB22" s="736"/>
      <c r="BC22" s="736"/>
      <c r="BD22" s="736"/>
      <c r="BE22" s="736"/>
      <c r="BF22" s="736"/>
      <c r="BG22" s="736"/>
      <c r="BH22" s="736"/>
      <c r="BI22" s="736"/>
      <c r="BJ22" s="736"/>
      <c r="BK22" s="736"/>
      <c r="BL22" s="736"/>
      <c r="BM22" s="736"/>
      <c r="BN22" s="736"/>
      <c r="BO22" s="736"/>
      <c r="BP22" s="736"/>
      <c r="BQ22" s="736"/>
      <c r="BR22" s="736"/>
      <c r="BS22" s="736"/>
      <c r="BT22" s="736"/>
      <c r="BU22" s="736"/>
      <c r="BV22" s="736"/>
      <c r="BW22" s="736"/>
      <c r="BX22" s="736"/>
      <c r="BY22" s="736"/>
      <c r="BZ22" s="736"/>
      <c r="CA22" s="736"/>
      <c r="CB22" s="736"/>
      <c r="CC22" s="736"/>
      <c r="CD22" s="736"/>
      <c r="CE22" s="736"/>
      <c r="CF22" s="736"/>
      <c r="CG22" s="736"/>
      <c r="CH22" s="736"/>
      <c r="CI22" s="736"/>
      <c r="CJ22" s="736"/>
      <c r="CK22" s="736"/>
      <c r="CL22" s="736"/>
      <c r="CM22" s="736"/>
      <c r="CN22" s="736"/>
      <c r="CO22" s="736"/>
      <c r="CP22" s="736"/>
      <c r="CQ22" s="736"/>
      <c r="CR22" s="736"/>
      <c r="CS22" s="736"/>
      <c r="CT22" s="736"/>
      <c r="CU22" s="736"/>
      <c r="CV22" s="736"/>
      <c r="CW22" s="736"/>
      <c r="CX22" s="736"/>
      <c r="CY22" s="736"/>
      <c r="CZ22" s="736"/>
      <c r="DA22" s="736"/>
      <c r="DB22" s="736"/>
    </row>
    <row r="23" spans="1:112">
      <c r="A23" s="767" t="s">
        <v>13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767"/>
      <c r="Y23" s="767"/>
      <c r="Z23" s="767"/>
      <c r="AA23" s="767"/>
      <c r="AB23" s="767"/>
      <c r="AC23" s="767"/>
      <c r="AD23" s="767"/>
      <c r="AE23" s="767"/>
      <c r="AF23" s="767"/>
      <c r="AG23" s="767"/>
      <c r="AH23" s="767"/>
      <c r="AI23" s="767"/>
      <c r="AJ23" s="767"/>
      <c r="AK23" s="767"/>
      <c r="AL23" s="767"/>
      <c r="AM23" s="767"/>
      <c r="AN23" s="767"/>
      <c r="AO23" s="767"/>
      <c r="AP23" s="767"/>
      <c r="AQ23" s="767"/>
      <c r="AR23" s="767"/>
      <c r="AS23" s="767"/>
      <c r="AT23" s="767"/>
      <c r="AU23" s="767"/>
      <c r="AV23" s="767"/>
      <c r="AW23" s="767"/>
      <c r="AX23" s="767"/>
      <c r="AY23" s="767"/>
      <c r="AZ23" s="767"/>
      <c r="BA23" s="767"/>
      <c r="BB23" s="767"/>
      <c r="BC23" s="759" t="str">
        <f>ПОДПИСИ!B12</f>
        <v xml:space="preserve">Производитель работ ООО«БЭСК» </v>
      </c>
      <c r="BD23" s="759"/>
      <c r="BE23" s="759"/>
      <c r="BF23" s="759"/>
      <c r="BG23" s="759"/>
      <c r="BH23" s="759"/>
      <c r="BI23" s="759"/>
      <c r="BJ23" s="759"/>
      <c r="BK23" s="759"/>
      <c r="BL23" s="759"/>
      <c r="BM23" s="759"/>
      <c r="BN23" s="759"/>
      <c r="BO23" s="759"/>
      <c r="BP23" s="759"/>
      <c r="BQ23" s="759"/>
      <c r="BR23" s="759"/>
      <c r="BS23" s="759"/>
      <c r="BT23" s="759"/>
      <c r="BU23" s="759"/>
      <c r="BV23" s="759"/>
      <c r="BW23" s="759"/>
      <c r="BX23" s="759"/>
      <c r="BY23" s="759"/>
      <c r="BZ23" s="759"/>
      <c r="CA23" s="759"/>
      <c r="CB23" s="759"/>
      <c r="CC23" s="759"/>
      <c r="CD23" s="759"/>
      <c r="CE23" s="759"/>
      <c r="CF23" s="759"/>
      <c r="CG23" s="759"/>
      <c r="CH23" s="759"/>
      <c r="CI23" s="759"/>
      <c r="CJ23" s="759"/>
      <c r="CK23" s="759"/>
      <c r="CL23" s="759"/>
      <c r="CM23" s="759"/>
      <c r="CN23" s="759"/>
      <c r="CO23" s="759"/>
      <c r="CP23" s="759"/>
      <c r="CQ23" s="759"/>
      <c r="CR23" s="759"/>
      <c r="CS23" s="759"/>
      <c r="CT23" s="759"/>
      <c r="CU23" s="759"/>
      <c r="CV23" s="759"/>
      <c r="CW23" s="759"/>
      <c r="CX23" s="759"/>
      <c r="CY23" s="759"/>
      <c r="CZ23" s="759"/>
      <c r="DA23" s="759"/>
      <c r="DB23" s="759"/>
    </row>
    <row r="24" spans="1:112" ht="11.1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0" t="s">
        <v>5</v>
      </c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</row>
    <row r="25" spans="1:112">
      <c r="A25" s="759" t="str">
        <f>ПОДПИСИ!C12</f>
        <v>Махмадов А.Р.</v>
      </c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759"/>
      <c r="Q25" s="759"/>
      <c r="R25" s="759"/>
      <c r="S25" s="759"/>
      <c r="T25" s="759"/>
      <c r="U25" s="759"/>
      <c r="V25" s="759"/>
      <c r="W25" s="759"/>
      <c r="X25" s="759"/>
      <c r="Y25" s="759"/>
      <c r="Z25" s="759"/>
      <c r="AA25" s="759"/>
      <c r="AB25" s="759"/>
      <c r="AC25" s="759"/>
      <c r="AD25" s="759"/>
      <c r="AE25" s="759"/>
      <c r="AF25" s="759"/>
      <c r="AG25" s="759"/>
      <c r="AH25" s="759"/>
      <c r="AI25" s="759"/>
      <c r="AJ25" s="759"/>
      <c r="AK25" s="759"/>
      <c r="AL25" s="759"/>
      <c r="AM25" s="759"/>
      <c r="AN25" s="759"/>
      <c r="AO25" s="759"/>
      <c r="AP25" s="759"/>
      <c r="AQ25" s="759"/>
      <c r="AR25" s="759"/>
      <c r="AS25" s="759"/>
      <c r="AT25" s="759"/>
      <c r="AU25" s="759"/>
      <c r="AV25" s="759"/>
      <c r="AW25" s="759"/>
      <c r="AX25" s="759"/>
      <c r="AY25" s="759"/>
      <c r="AZ25" s="759"/>
      <c r="BA25" s="759"/>
      <c r="BB25" s="759"/>
      <c r="BC25" s="759"/>
      <c r="BD25" s="759"/>
      <c r="BE25" s="759"/>
      <c r="BF25" s="759"/>
      <c r="BG25" s="759"/>
      <c r="BH25" s="759"/>
      <c r="BI25" s="759"/>
      <c r="BJ25" s="759"/>
      <c r="BK25" s="759"/>
      <c r="BL25" s="759"/>
      <c r="BM25" s="759"/>
      <c r="BN25" s="759"/>
      <c r="BO25" s="759"/>
      <c r="BP25" s="759"/>
      <c r="BQ25" s="759"/>
      <c r="BR25" s="759"/>
      <c r="BS25" s="759"/>
      <c r="BT25" s="759"/>
      <c r="BU25" s="759"/>
      <c r="BV25" s="759"/>
      <c r="BW25" s="759"/>
      <c r="BX25" s="759"/>
      <c r="BY25" s="759"/>
      <c r="BZ25" s="759"/>
      <c r="CA25" s="759"/>
      <c r="CB25" s="759"/>
      <c r="CC25" s="759"/>
      <c r="CD25" s="759"/>
      <c r="CE25" s="759"/>
      <c r="CF25" s="759"/>
      <c r="CG25" s="759"/>
      <c r="CH25" s="759"/>
      <c r="CI25" s="759"/>
      <c r="CJ25" s="759"/>
      <c r="CK25" s="759"/>
      <c r="CL25" s="759"/>
      <c r="CM25" s="759"/>
      <c r="CN25" s="759"/>
      <c r="CO25" s="759"/>
      <c r="CP25" s="759"/>
      <c r="CQ25" s="759"/>
      <c r="CR25" s="759"/>
      <c r="CS25" s="759"/>
      <c r="CT25" s="759"/>
      <c r="CU25" s="759"/>
      <c r="CV25" s="759"/>
      <c r="CW25" s="759"/>
      <c r="CX25" s="759"/>
      <c r="CY25" s="759"/>
      <c r="CZ25" s="759"/>
      <c r="DA25" s="759"/>
      <c r="DB25" s="759"/>
      <c r="DH25" s="148"/>
    </row>
    <row r="26" spans="1:112" ht="6" customHeight="1">
      <c r="A26" s="736"/>
      <c r="B26" s="736"/>
      <c r="C26" s="736"/>
      <c r="D26" s="736"/>
      <c r="E26" s="736"/>
      <c r="F26" s="736"/>
      <c r="G26" s="736"/>
      <c r="H26" s="736"/>
      <c r="I26" s="736"/>
      <c r="J26" s="736"/>
      <c r="K26" s="736"/>
      <c r="L26" s="736"/>
      <c r="M26" s="736"/>
      <c r="N26" s="736"/>
      <c r="O26" s="736"/>
      <c r="P26" s="736"/>
      <c r="Q26" s="736"/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>
      <c r="A27" s="764" t="s">
        <v>400</v>
      </c>
      <c r="B27" s="764"/>
      <c r="C27" s="764"/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764"/>
      <c r="AB27" s="764"/>
      <c r="AC27" s="764"/>
      <c r="AD27" s="764"/>
      <c r="AE27" s="764"/>
      <c r="AF27" s="764"/>
      <c r="AG27" s="764"/>
      <c r="AH27" s="764"/>
      <c r="AI27" s="764"/>
      <c r="AJ27" s="764"/>
      <c r="AK27" s="764"/>
      <c r="AL27" s="764"/>
      <c r="AM27" s="764"/>
      <c r="AN27" s="764"/>
      <c r="AO27" s="764"/>
      <c r="AP27" s="764"/>
      <c r="AQ27" s="764"/>
      <c r="AR27" s="764"/>
      <c r="AS27" s="764"/>
      <c r="AT27" s="764"/>
      <c r="AU27" s="764"/>
      <c r="AV27" s="764"/>
      <c r="AW27" s="764"/>
      <c r="AX27" s="764"/>
      <c r="AY27" s="764"/>
      <c r="AZ27" s="764"/>
      <c r="BA27" s="764"/>
      <c r="BB27" s="764"/>
      <c r="BC27" s="764"/>
      <c r="BD27" s="764"/>
      <c r="BE27" s="764"/>
      <c r="BF27" s="764"/>
      <c r="BG27" s="764"/>
      <c r="BH27" s="764"/>
      <c r="BI27" s="764"/>
      <c r="BJ27" s="764"/>
      <c r="BK27" s="764"/>
      <c r="BL27" s="764"/>
      <c r="BM27" s="764"/>
      <c r="BN27" s="764"/>
      <c r="BO27" s="764"/>
      <c r="BP27" s="764"/>
      <c r="BQ27" s="764"/>
      <c r="BR27" s="764"/>
      <c r="BS27" s="764"/>
      <c r="BT27" s="764"/>
      <c r="BU27" s="764"/>
      <c r="BV27" s="764"/>
      <c r="BW27" s="764"/>
      <c r="BX27" s="764"/>
      <c r="BY27" s="764"/>
      <c r="BZ27" s="764"/>
      <c r="CA27" s="764"/>
      <c r="CB27" s="764"/>
      <c r="CC27" s="764"/>
      <c r="CD27" s="764"/>
      <c r="CE27" s="764"/>
      <c r="CF27" s="764"/>
      <c r="CG27" s="764"/>
      <c r="CH27" s="764"/>
      <c r="CI27" s="764"/>
      <c r="CJ27" s="764"/>
      <c r="CK27" s="764"/>
      <c r="CL27" s="764"/>
      <c r="CM27" s="764"/>
      <c r="CN27" s="764"/>
      <c r="CO27" s="764"/>
      <c r="CP27" s="764"/>
      <c r="CQ27" s="764"/>
      <c r="CR27" s="764"/>
      <c r="CS27" s="764"/>
      <c r="CT27" s="764"/>
      <c r="CU27" s="764"/>
      <c r="CV27" s="764"/>
      <c r="CW27" s="764"/>
      <c r="CX27" s="764"/>
      <c r="CY27" s="764"/>
      <c r="CZ27" s="764"/>
      <c r="DA27" s="764"/>
      <c r="DB27" s="764"/>
      <c r="DD27" s="18"/>
      <c r="DE27" s="17"/>
      <c r="DF27" s="17"/>
    </row>
    <row r="28" spans="1:112" s="1" customFormat="1" ht="11.1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64" t="s">
        <v>7</v>
      </c>
      <c r="B29" s="764"/>
      <c r="C29" s="764"/>
      <c r="D29" s="764"/>
      <c r="E29" s="764"/>
      <c r="F29" s="764"/>
      <c r="G29" s="764"/>
      <c r="H29" s="764"/>
      <c r="I29" s="764"/>
      <c r="J29" s="764"/>
      <c r="K29" s="764"/>
      <c r="L29" s="764"/>
      <c r="M29" s="764"/>
      <c r="N29" s="764"/>
      <c r="O29" s="764"/>
      <c r="P29" s="758" t="str">
        <f>ФОРМА!B4</f>
        <v>ООО «БЭСК»</v>
      </c>
      <c r="Q29" s="758"/>
      <c r="R29" s="758"/>
      <c r="S29" s="758"/>
      <c r="T29" s="758"/>
      <c r="U29" s="758"/>
      <c r="V29" s="758"/>
      <c r="W29" s="758"/>
      <c r="X29" s="758"/>
      <c r="Y29" s="758"/>
      <c r="Z29" s="758"/>
      <c r="AA29" s="758"/>
      <c r="AB29" s="758"/>
      <c r="AC29" s="758"/>
      <c r="AD29" s="758"/>
      <c r="AE29" s="758"/>
      <c r="AF29" s="758"/>
      <c r="AG29" s="758"/>
      <c r="AH29" s="758"/>
      <c r="AI29" s="758"/>
      <c r="AJ29" s="758"/>
      <c r="AK29" s="758"/>
      <c r="AL29" s="758"/>
      <c r="AM29" s="758"/>
      <c r="AN29" s="758"/>
      <c r="AO29" s="758"/>
      <c r="AP29" s="758"/>
      <c r="AQ29" s="758"/>
      <c r="AR29" s="758"/>
      <c r="AS29" s="758"/>
      <c r="AT29" s="758"/>
      <c r="AU29" s="758"/>
      <c r="AV29" s="758"/>
      <c r="AW29" s="758"/>
      <c r="AX29" s="758"/>
      <c r="AY29" s="758"/>
      <c r="AZ29" s="758"/>
      <c r="BA29" s="758"/>
      <c r="BB29" s="758"/>
      <c r="BC29" s="758"/>
      <c r="BD29" s="758"/>
      <c r="BE29" s="758"/>
      <c r="BF29" s="758"/>
      <c r="BG29" s="758"/>
      <c r="BH29" s="758"/>
      <c r="BI29" s="758"/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758"/>
      <c r="CH29" s="758"/>
      <c r="CI29" s="758"/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  <c r="DD29" s="18"/>
      <c r="DE29" s="17"/>
      <c r="DF29" s="17"/>
    </row>
    <row r="30" spans="1:112" ht="11.15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0" t="s">
        <v>8</v>
      </c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  <c r="AF30" s="770"/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770"/>
      <c r="CH30" s="770"/>
      <c r="CI30" s="770"/>
      <c r="CJ30" s="770"/>
      <c r="CK30" s="770"/>
      <c r="CL30" s="770"/>
      <c r="CM30" s="770"/>
      <c r="CN30" s="770"/>
      <c r="CO30" s="770"/>
      <c r="CP30" s="770"/>
      <c r="CQ30" s="770"/>
      <c r="CR30" s="770"/>
      <c r="CS30" s="770"/>
      <c r="CT30" s="770"/>
      <c r="CU30" s="770"/>
      <c r="CV30" s="770"/>
      <c r="CW30" s="770"/>
      <c r="CX30" s="770"/>
      <c r="CY30" s="770"/>
      <c r="CZ30" s="770"/>
      <c r="DA30" s="770"/>
      <c r="DB30" s="770"/>
      <c r="DD30" s="18"/>
      <c r="DE30" s="17"/>
      <c r="DF30" s="17"/>
      <c r="DH30" s="141"/>
    </row>
    <row r="31" spans="1:112">
      <c r="A31" s="946" t="s">
        <v>401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6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6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6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6"/>
      <c r="BV31" s="946"/>
      <c r="BW31" s="946"/>
      <c r="BX31" s="946"/>
      <c r="BY31" s="946"/>
      <c r="BZ31" s="946"/>
      <c r="CA31" s="946"/>
      <c r="CB31" s="946"/>
      <c r="CC31" s="946"/>
      <c r="CD31" s="946"/>
      <c r="CE31" s="946"/>
      <c r="CF31" s="946"/>
      <c r="CG31" s="946"/>
      <c r="CH31" s="946"/>
      <c r="CI31" s="946"/>
      <c r="CJ31" s="946"/>
      <c r="CK31" s="946"/>
      <c r="CL31" s="946"/>
      <c r="CM31" s="946"/>
      <c r="CN31" s="946"/>
      <c r="CO31" s="946"/>
      <c r="CP31" s="946"/>
      <c r="CQ31" s="946"/>
      <c r="CR31" s="946"/>
      <c r="CS31" s="946"/>
      <c r="CT31" s="946"/>
      <c r="CU31" s="946"/>
      <c r="CV31" s="946"/>
      <c r="CW31" s="946"/>
      <c r="CX31" s="946"/>
      <c r="CY31" s="946"/>
      <c r="CZ31" s="946"/>
      <c r="DA31" s="946"/>
      <c r="DB31" s="946"/>
      <c r="DD31" s="18"/>
      <c r="DE31" s="17"/>
      <c r="DF31" s="17"/>
      <c r="DH31" s="141"/>
    </row>
    <row r="32" spans="1:112" ht="3" customHeight="1">
      <c r="A32" s="945"/>
      <c r="B32" s="945"/>
      <c r="C32" s="945"/>
      <c r="D32" s="945"/>
      <c r="E32" s="945"/>
      <c r="F32" s="945"/>
      <c r="G32" s="945"/>
      <c r="H32" s="945"/>
      <c r="I32" s="945"/>
      <c r="J32" s="945"/>
      <c r="K32" s="945"/>
      <c r="L32" s="945"/>
      <c r="M32" s="945"/>
      <c r="N32" s="945"/>
      <c r="O32" s="945"/>
      <c r="P32" s="945"/>
      <c r="Q32" s="945"/>
      <c r="R32" s="945"/>
      <c r="S32" s="945"/>
      <c r="T32" s="945"/>
      <c r="U32" s="945"/>
      <c r="V32" s="945"/>
      <c r="W32" s="945"/>
      <c r="X32" s="945"/>
      <c r="Y32" s="945"/>
      <c r="Z32" s="945"/>
      <c r="AA32" s="945"/>
      <c r="AB32" s="945"/>
      <c r="AC32" s="945"/>
      <c r="AD32" s="945"/>
      <c r="AE32" s="945"/>
      <c r="AF32" s="945"/>
      <c r="AG32" s="945"/>
      <c r="AH32" s="945"/>
      <c r="AI32" s="945"/>
      <c r="AJ32" s="945"/>
      <c r="AK32" s="945"/>
      <c r="AL32" s="945"/>
      <c r="AM32" s="945"/>
      <c r="AN32" s="945"/>
      <c r="AO32" s="945"/>
      <c r="AP32" s="945"/>
      <c r="AQ32" s="945"/>
      <c r="AR32" s="945"/>
      <c r="AS32" s="945"/>
      <c r="AT32" s="945"/>
      <c r="AU32" s="945"/>
      <c r="AV32" s="945"/>
      <c r="AW32" s="945"/>
      <c r="AX32" s="945"/>
      <c r="AY32" s="945"/>
      <c r="AZ32" s="945"/>
      <c r="BA32" s="945"/>
      <c r="BB32" s="945"/>
      <c r="BC32" s="945"/>
      <c r="BD32" s="945"/>
      <c r="BE32" s="945"/>
      <c r="BF32" s="945"/>
      <c r="BG32" s="945"/>
      <c r="BH32" s="945"/>
      <c r="BI32" s="945"/>
      <c r="BJ32" s="945"/>
      <c r="BK32" s="945"/>
      <c r="BL32" s="945"/>
      <c r="BM32" s="945"/>
      <c r="BN32" s="945"/>
      <c r="BO32" s="945"/>
      <c r="BP32" s="945"/>
      <c r="BQ32" s="945"/>
      <c r="BR32" s="945"/>
      <c r="BS32" s="945"/>
      <c r="BT32" s="945"/>
      <c r="BU32" s="945"/>
      <c r="BV32" s="945"/>
      <c r="BW32" s="945"/>
      <c r="BX32" s="945"/>
      <c r="BY32" s="945"/>
      <c r="BZ32" s="945"/>
      <c r="CA32" s="945"/>
      <c r="CB32" s="945"/>
      <c r="CC32" s="945"/>
      <c r="CD32" s="945"/>
      <c r="CE32" s="945"/>
      <c r="CF32" s="945"/>
      <c r="CG32" s="945"/>
      <c r="CH32" s="945"/>
      <c r="CI32" s="945"/>
      <c r="CJ32" s="945"/>
      <c r="CK32" s="945"/>
      <c r="CL32" s="945"/>
      <c r="CM32" s="945"/>
      <c r="CN32" s="945"/>
      <c r="CO32" s="945"/>
      <c r="CP32" s="945"/>
      <c r="CQ32" s="945"/>
      <c r="CR32" s="945"/>
      <c r="CS32" s="945"/>
      <c r="CT32" s="945"/>
      <c r="CU32" s="945"/>
      <c r="CV32" s="945"/>
      <c r="CW32" s="945"/>
      <c r="CX32" s="945"/>
      <c r="CY32" s="945"/>
      <c r="CZ32" s="945"/>
      <c r="DA32" s="945"/>
      <c r="DB32" s="945"/>
      <c r="DD32" s="18"/>
      <c r="DE32" s="17"/>
      <c r="DF32" s="17"/>
    </row>
    <row r="33" spans="1:112">
      <c r="A33" s="945" t="s">
        <v>562</v>
      </c>
      <c r="B33" s="945"/>
      <c r="C33" s="945"/>
      <c r="D33" s="945"/>
      <c r="E33" s="945"/>
      <c r="F33" s="945"/>
      <c r="G33" s="945"/>
      <c r="H33" s="945"/>
      <c r="I33" s="945"/>
      <c r="J33" s="945"/>
      <c r="K33" s="945"/>
      <c r="L33" s="945"/>
      <c r="M33" s="945"/>
      <c r="N33" s="945"/>
      <c r="O33" s="945"/>
      <c r="P33" s="945"/>
      <c r="Q33" s="945"/>
      <c r="R33" s="945"/>
      <c r="S33" s="945"/>
      <c r="T33" s="945"/>
      <c r="U33" s="945"/>
      <c r="V33" s="945"/>
      <c r="W33" s="945"/>
      <c r="X33" s="945"/>
      <c r="Y33" s="945"/>
      <c r="Z33" s="945"/>
      <c r="AA33" s="945"/>
      <c r="AB33" s="945"/>
      <c r="AC33" s="945"/>
      <c r="AD33" s="945"/>
      <c r="AE33" s="945"/>
      <c r="AF33" s="945"/>
      <c r="AG33" s="945"/>
      <c r="AH33" s="945"/>
      <c r="AI33" s="945"/>
      <c r="AJ33" s="945"/>
      <c r="AK33" s="945"/>
      <c r="AL33" s="945"/>
      <c r="AM33" s="945"/>
      <c r="AN33" s="945"/>
      <c r="AO33" s="945"/>
      <c r="AP33" s="945"/>
      <c r="AQ33" s="945"/>
      <c r="AR33" s="945"/>
      <c r="AS33" s="945"/>
      <c r="AT33" s="945"/>
      <c r="AU33" s="945"/>
      <c r="AV33" s="945"/>
      <c r="AW33" s="945"/>
      <c r="AX33" s="945"/>
      <c r="AY33" s="945"/>
      <c r="AZ33" s="945"/>
      <c r="BA33" s="945"/>
      <c r="BB33" s="945"/>
      <c r="BC33" s="945"/>
      <c r="BD33" s="945"/>
      <c r="BE33" s="945"/>
      <c r="BF33" s="945"/>
      <c r="BG33" s="945"/>
      <c r="BH33" s="945"/>
      <c r="BI33" s="945"/>
      <c r="BJ33" s="945"/>
      <c r="BK33" s="945"/>
      <c r="BL33" s="945"/>
      <c r="BM33" s="945"/>
      <c r="BN33" s="945"/>
      <c r="BO33" s="945"/>
      <c r="BP33" s="945"/>
      <c r="BQ33" s="945"/>
      <c r="BR33" s="945"/>
      <c r="BS33" s="945"/>
      <c r="BT33" s="945"/>
      <c r="BU33" s="945"/>
      <c r="BV33" s="945"/>
      <c r="BW33" s="945"/>
      <c r="BX33" s="945"/>
      <c r="BY33" s="945"/>
      <c r="BZ33" s="945"/>
      <c r="CA33" s="945"/>
      <c r="CB33" s="945"/>
      <c r="CC33" s="945"/>
      <c r="CD33" s="945"/>
      <c r="CE33" s="945"/>
      <c r="CF33" s="945"/>
      <c r="CG33" s="945"/>
      <c r="CH33" s="945"/>
      <c r="CI33" s="945"/>
      <c r="CJ33" s="945"/>
      <c r="CK33" s="945"/>
      <c r="CL33" s="945"/>
      <c r="CM33" s="945"/>
      <c r="CN33" s="945"/>
      <c r="CO33" s="945"/>
      <c r="CP33" s="945"/>
      <c r="CQ33" s="945"/>
      <c r="CR33" s="945"/>
      <c r="CS33" s="945"/>
      <c r="CT33" s="945"/>
      <c r="CU33" s="945"/>
      <c r="CV33" s="945"/>
      <c r="CW33" s="945"/>
      <c r="CX33" s="945"/>
      <c r="CY33" s="945"/>
      <c r="CZ33" s="945"/>
      <c r="DA33" s="945"/>
      <c r="DB33" s="945"/>
      <c r="DH33" s="141"/>
    </row>
    <row r="34" spans="1:112" s="226" customFormat="1" ht="8.25" customHeight="1">
      <c r="A34" s="947"/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  <c r="BA34" s="947"/>
      <c r="BB34" s="947"/>
      <c r="BC34" s="947"/>
      <c r="BD34" s="947"/>
      <c r="BE34" s="947"/>
      <c r="BF34" s="947"/>
      <c r="BG34" s="947"/>
      <c r="BH34" s="947"/>
      <c r="BI34" s="947"/>
      <c r="BJ34" s="947"/>
      <c r="BK34" s="947"/>
      <c r="BL34" s="947"/>
      <c r="BM34" s="947"/>
      <c r="BN34" s="947"/>
      <c r="BO34" s="947"/>
      <c r="BP34" s="947"/>
      <c r="BQ34" s="947"/>
      <c r="BR34" s="947"/>
      <c r="BS34" s="947"/>
      <c r="BT34" s="947"/>
      <c r="BU34" s="947"/>
      <c r="BV34" s="947"/>
      <c r="BW34" s="947"/>
      <c r="BX34" s="947"/>
      <c r="BY34" s="947"/>
      <c r="BZ34" s="947"/>
      <c r="CA34" s="947"/>
      <c r="CB34" s="947"/>
      <c r="CC34" s="947"/>
      <c r="CD34" s="947"/>
      <c r="CE34" s="947"/>
      <c r="CF34" s="947"/>
      <c r="CG34" s="947"/>
      <c r="CH34" s="947"/>
      <c r="CI34" s="947"/>
      <c r="CJ34" s="947"/>
      <c r="CK34" s="947"/>
      <c r="CL34" s="947"/>
      <c r="CM34" s="947"/>
      <c r="CN34" s="947"/>
      <c r="CO34" s="947"/>
      <c r="CP34" s="947"/>
      <c r="CQ34" s="947"/>
      <c r="CR34" s="947"/>
      <c r="CS34" s="947"/>
      <c r="CT34" s="947"/>
      <c r="CU34" s="947"/>
      <c r="CV34" s="947"/>
      <c r="CW34" s="947"/>
      <c r="CX34" s="947"/>
      <c r="CY34" s="947"/>
      <c r="CZ34" s="947"/>
      <c r="DA34" s="947"/>
      <c r="DB34" s="947"/>
      <c r="DH34" s="229"/>
    </row>
    <row r="35" spans="1:112">
      <c r="A35" s="945" t="s">
        <v>402</v>
      </c>
      <c r="B35" s="945"/>
      <c r="C35" s="945"/>
      <c r="D35" s="945"/>
      <c r="E35" s="945"/>
      <c r="F35" s="945"/>
      <c r="G35" s="945"/>
      <c r="H35" s="945"/>
      <c r="I35" s="945"/>
      <c r="J35" s="945"/>
      <c r="K35" s="945"/>
      <c r="L35" s="945"/>
      <c r="M35" s="945"/>
      <c r="N35" s="945"/>
      <c r="O35" s="945"/>
      <c r="P35" s="945"/>
      <c r="Q35" s="945"/>
      <c r="R35" s="945"/>
      <c r="S35" s="945"/>
      <c r="T35" s="945"/>
      <c r="U35" s="945"/>
      <c r="V35" s="945"/>
      <c r="W35" s="945"/>
      <c r="X35" s="945"/>
      <c r="Y35" s="945"/>
      <c r="Z35" s="945"/>
      <c r="AA35" s="945"/>
      <c r="AB35" s="945"/>
      <c r="AC35" s="945"/>
      <c r="AD35" s="945"/>
      <c r="AE35" s="945"/>
      <c r="AF35" s="945"/>
      <c r="AG35" s="945"/>
      <c r="AH35" s="945"/>
      <c r="AI35" s="945"/>
      <c r="AJ35" s="945"/>
      <c r="AK35" s="945"/>
      <c r="AL35" s="945"/>
      <c r="AM35" s="945"/>
      <c r="AN35" s="945"/>
      <c r="AO35" s="945"/>
      <c r="AP35" s="945"/>
      <c r="AQ35" s="945"/>
      <c r="AR35" s="945"/>
      <c r="AS35" s="945"/>
      <c r="AT35" s="945"/>
      <c r="AU35" s="945"/>
      <c r="AV35" s="945"/>
      <c r="AW35" s="945"/>
      <c r="AX35" s="945"/>
      <c r="AY35" s="945"/>
      <c r="AZ35" s="945"/>
      <c r="BA35" s="945"/>
      <c r="BB35" s="945"/>
      <c r="BC35" s="945"/>
      <c r="BD35" s="945"/>
      <c r="BE35" s="945"/>
      <c r="BF35" s="945"/>
      <c r="BG35" s="945"/>
      <c r="BH35" s="945"/>
      <c r="BI35" s="945"/>
      <c r="BJ35" s="945"/>
      <c r="BK35" s="945"/>
      <c r="BL35" s="945"/>
      <c r="BM35" s="945"/>
      <c r="BN35" s="945"/>
      <c r="BO35" s="945"/>
      <c r="BP35" s="945"/>
      <c r="BQ35" s="945"/>
      <c r="BR35" s="945"/>
      <c r="BS35" s="945"/>
      <c r="BT35" s="945"/>
      <c r="BU35" s="945"/>
      <c r="BV35" s="945"/>
      <c r="BW35" s="945"/>
      <c r="BX35" s="945"/>
      <c r="BY35" s="945"/>
      <c r="BZ35" s="945"/>
      <c r="CA35" s="945"/>
      <c r="CB35" s="945"/>
      <c r="CC35" s="945"/>
      <c r="CD35" s="945"/>
      <c r="CE35" s="945"/>
      <c r="CF35" s="945"/>
      <c r="CG35" s="945"/>
      <c r="CH35" s="945"/>
      <c r="CI35" s="945"/>
      <c r="CJ35" s="945"/>
      <c r="CK35" s="945"/>
      <c r="CL35" s="945"/>
      <c r="CM35" s="945"/>
      <c r="CN35" s="945"/>
      <c r="CO35" s="945"/>
      <c r="CP35" s="945"/>
      <c r="CQ35" s="945"/>
      <c r="CR35" s="945"/>
      <c r="CS35" s="945"/>
      <c r="CT35" s="945"/>
      <c r="CU35" s="945"/>
      <c r="CV35" s="945"/>
      <c r="CW35" s="945"/>
      <c r="CX35" s="945"/>
      <c r="CY35" s="945"/>
      <c r="CZ35" s="945"/>
      <c r="DA35" s="945"/>
      <c r="DB35" s="945"/>
    </row>
    <row r="36" spans="1:112" s="226" customFormat="1" ht="9.5">
      <c r="A36" s="948"/>
      <c r="B36" s="948"/>
      <c r="C36" s="948"/>
      <c r="D36" s="948"/>
      <c r="E36" s="948"/>
      <c r="F36" s="948"/>
      <c r="G36" s="948"/>
      <c r="H36" s="948"/>
      <c r="I36" s="948"/>
      <c r="J36" s="948"/>
      <c r="K36" s="948"/>
      <c r="L36" s="948"/>
      <c r="M36" s="948"/>
      <c r="N36" s="948"/>
      <c r="O36" s="948"/>
      <c r="P36" s="948"/>
      <c r="Q36" s="948"/>
      <c r="R36" s="948"/>
      <c r="S36" s="948"/>
      <c r="T36" s="948"/>
      <c r="U36" s="948"/>
      <c r="V36" s="948"/>
      <c r="W36" s="948"/>
      <c r="X36" s="948"/>
      <c r="Y36" s="948"/>
      <c r="Z36" s="948"/>
      <c r="AA36" s="948"/>
      <c r="AB36" s="948"/>
      <c r="AC36" s="948"/>
      <c r="AD36" s="948"/>
      <c r="AE36" s="948"/>
      <c r="AF36" s="948"/>
      <c r="AG36" s="948"/>
      <c r="AH36" s="948"/>
      <c r="AI36" s="948"/>
      <c r="AJ36" s="948"/>
      <c r="AK36" s="948"/>
      <c r="AL36" s="948"/>
      <c r="AM36" s="948"/>
      <c r="AN36" s="948"/>
      <c r="AO36" s="948"/>
      <c r="AP36" s="948"/>
      <c r="AQ36" s="948"/>
      <c r="AR36" s="948"/>
      <c r="AS36" s="948"/>
      <c r="AT36" s="948"/>
      <c r="AU36" s="948"/>
      <c r="AV36" s="948"/>
      <c r="AW36" s="948"/>
      <c r="AX36" s="948"/>
      <c r="AY36" s="948"/>
      <c r="AZ36" s="948"/>
      <c r="BA36" s="948"/>
      <c r="BB36" s="948"/>
      <c r="BC36" s="948"/>
      <c r="BD36" s="948"/>
      <c r="BE36" s="948"/>
      <c r="BF36" s="948"/>
      <c r="BG36" s="948"/>
      <c r="BH36" s="948"/>
      <c r="BI36" s="948"/>
      <c r="BJ36" s="948"/>
      <c r="BK36" s="948"/>
      <c r="BL36" s="948"/>
      <c r="BM36" s="948"/>
      <c r="BN36" s="948"/>
      <c r="BO36" s="948"/>
      <c r="BP36" s="948"/>
      <c r="BQ36" s="948"/>
      <c r="BR36" s="948"/>
      <c r="BS36" s="948"/>
      <c r="BT36" s="948"/>
      <c r="BU36" s="948"/>
      <c r="BV36" s="948"/>
      <c r="BW36" s="948"/>
      <c r="BX36" s="948"/>
      <c r="BY36" s="948"/>
      <c r="BZ36" s="948"/>
      <c r="CA36" s="948"/>
      <c r="CB36" s="948"/>
      <c r="CC36" s="948"/>
      <c r="CD36" s="948"/>
      <c r="CE36" s="948"/>
      <c r="CF36" s="948"/>
      <c r="CG36" s="948"/>
      <c r="CH36" s="948"/>
      <c r="CI36" s="948"/>
      <c r="CJ36" s="948"/>
      <c r="CK36" s="948"/>
      <c r="CL36" s="948"/>
      <c r="CM36" s="948"/>
      <c r="CN36" s="948"/>
      <c r="CO36" s="948"/>
      <c r="CP36" s="948"/>
      <c r="CQ36" s="948"/>
      <c r="CR36" s="948"/>
      <c r="CS36" s="948"/>
      <c r="CT36" s="948"/>
      <c r="CU36" s="948"/>
      <c r="CV36" s="948"/>
      <c r="CW36" s="948"/>
      <c r="CX36" s="948"/>
      <c r="CY36" s="948"/>
      <c r="CZ36" s="948"/>
      <c r="DA36" s="948"/>
      <c r="DB36" s="948"/>
      <c r="DH36" s="230"/>
    </row>
    <row r="37" spans="1:112" ht="12.75" customHeight="1">
      <c r="A37" s="945" t="s">
        <v>563</v>
      </c>
      <c r="B37" s="945"/>
      <c r="C37" s="945"/>
      <c r="D37" s="945"/>
      <c r="E37" s="945"/>
      <c r="F37" s="945"/>
      <c r="G37" s="945"/>
      <c r="H37" s="945"/>
      <c r="I37" s="945"/>
      <c r="J37" s="945"/>
      <c r="K37" s="945"/>
      <c r="L37" s="945"/>
      <c r="M37" s="945"/>
      <c r="N37" s="945"/>
      <c r="O37" s="945"/>
      <c r="P37" s="945"/>
      <c r="Q37" s="945"/>
      <c r="R37" s="945"/>
      <c r="S37" s="945"/>
      <c r="T37" s="945"/>
      <c r="U37" s="945"/>
      <c r="V37" s="945"/>
      <c r="W37" s="945"/>
      <c r="X37" s="945"/>
      <c r="Y37" s="945"/>
      <c r="Z37" s="945"/>
      <c r="AA37" s="945"/>
      <c r="AB37" s="945"/>
      <c r="AC37" s="945"/>
      <c r="AD37" s="945"/>
      <c r="AE37" s="945"/>
      <c r="AF37" s="945"/>
      <c r="AG37" s="945"/>
      <c r="AH37" s="945"/>
      <c r="AI37" s="945"/>
      <c r="AJ37" s="945"/>
      <c r="AK37" s="945"/>
      <c r="AL37" s="945"/>
      <c r="AM37" s="945"/>
      <c r="AN37" s="945"/>
      <c r="AO37" s="945"/>
      <c r="AP37" s="945"/>
      <c r="AQ37" s="945"/>
      <c r="AR37" s="945"/>
      <c r="AS37" s="945"/>
      <c r="AT37" s="945"/>
      <c r="AU37" s="945"/>
      <c r="AV37" s="945"/>
      <c r="AW37" s="945"/>
      <c r="AX37" s="945"/>
      <c r="AY37" s="945"/>
      <c r="AZ37" s="945"/>
      <c r="BA37" s="945"/>
      <c r="BB37" s="945"/>
      <c r="BC37" s="945"/>
      <c r="BD37" s="945"/>
      <c r="BE37" s="945"/>
      <c r="BF37" s="945"/>
      <c r="BG37" s="945"/>
      <c r="BH37" s="945"/>
      <c r="BI37" s="945"/>
      <c r="BJ37" s="945"/>
      <c r="BK37" s="945"/>
      <c r="BL37" s="945"/>
      <c r="BM37" s="945"/>
      <c r="BN37" s="945"/>
      <c r="BO37" s="945"/>
      <c r="BP37" s="945"/>
      <c r="BQ37" s="945"/>
      <c r="BR37" s="945"/>
      <c r="BS37" s="945"/>
      <c r="BT37" s="945"/>
      <c r="BU37" s="945"/>
      <c r="BV37" s="945"/>
      <c r="BW37" s="945"/>
      <c r="BX37" s="945"/>
      <c r="BY37" s="945"/>
      <c r="BZ37" s="945"/>
      <c r="CA37" s="945"/>
      <c r="CB37" s="945"/>
      <c r="CC37" s="945"/>
      <c r="CD37" s="945"/>
      <c r="CE37" s="945"/>
      <c r="CF37" s="945"/>
      <c r="CG37" s="945"/>
      <c r="CH37" s="945"/>
      <c r="CI37" s="945"/>
      <c r="CJ37" s="945"/>
      <c r="CK37" s="945"/>
      <c r="CL37" s="945"/>
      <c r="CM37" s="945"/>
      <c r="CN37" s="945"/>
      <c r="CO37" s="945"/>
      <c r="CP37" s="945"/>
      <c r="CQ37" s="945"/>
      <c r="CR37" s="945"/>
      <c r="CS37" s="945"/>
      <c r="CT37" s="945"/>
      <c r="CU37" s="945"/>
      <c r="CV37" s="945"/>
      <c r="CW37" s="945"/>
      <c r="CX37" s="945"/>
      <c r="CY37" s="945"/>
      <c r="CZ37" s="945"/>
      <c r="DA37" s="945"/>
      <c r="DB37" s="945"/>
      <c r="DH37" s="141"/>
    </row>
    <row r="38" spans="1:112" ht="9" customHeight="1">
      <c r="A38" s="945"/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5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5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5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5"/>
      <c r="BV38" s="945"/>
      <c r="BW38" s="945"/>
      <c r="BX38" s="945"/>
      <c r="BY38" s="945"/>
      <c r="BZ38" s="945"/>
      <c r="CA38" s="945"/>
      <c r="CB38" s="945"/>
      <c r="CC38" s="945"/>
      <c r="CD38" s="945"/>
      <c r="CE38" s="945"/>
      <c r="CF38" s="945"/>
      <c r="CG38" s="945"/>
      <c r="CH38" s="945"/>
      <c r="CI38" s="945"/>
      <c r="CJ38" s="945"/>
      <c r="CK38" s="945"/>
      <c r="CL38" s="945"/>
      <c r="CM38" s="945"/>
      <c r="CN38" s="945"/>
      <c r="CO38" s="945"/>
      <c r="CP38" s="945"/>
      <c r="CQ38" s="945"/>
      <c r="CR38" s="945"/>
      <c r="CS38" s="945"/>
      <c r="CT38" s="945"/>
      <c r="CU38" s="945"/>
      <c r="CV38" s="945"/>
      <c r="CW38" s="945"/>
      <c r="CX38" s="945"/>
      <c r="CY38" s="945"/>
      <c r="CZ38" s="945"/>
      <c r="DA38" s="945"/>
      <c r="DB38" s="945"/>
    </row>
    <row r="39" spans="1:112" ht="41.5" customHeight="1">
      <c r="A39" s="767" t="s">
        <v>15</v>
      </c>
      <c r="B39" s="767"/>
      <c r="C39" s="767"/>
      <c r="D39" s="767"/>
      <c r="E39" s="767"/>
      <c r="F39" s="767"/>
      <c r="G39" s="767"/>
      <c r="H39" s="767"/>
      <c r="I39" s="767"/>
      <c r="J39" s="767"/>
      <c r="K39" s="767"/>
      <c r="L39" s="767"/>
      <c r="M39" s="767"/>
      <c r="N39" s="767"/>
      <c r="O39" s="767"/>
      <c r="P39" s="767"/>
      <c r="Q39" s="767"/>
      <c r="R39" s="767"/>
      <c r="S39" s="767"/>
      <c r="T39" s="767"/>
      <c r="U39" s="767"/>
      <c r="V39" s="767"/>
      <c r="W39" s="767"/>
      <c r="X39" s="767"/>
      <c r="Y39" s="767"/>
      <c r="Z39" s="767"/>
      <c r="AA39" s="767"/>
      <c r="AB39" s="767"/>
      <c r="AC39" s="767"/>
      <c r="AD39" s="767"/>
      <c r="AE39" s="767"/>
      <c r="AF39" s="767"/>
      <c r="AG39" s="767"/>
      <c r="AH39" s="767"/>
      <c r="AI39" s="767"/>
      <c r="AJ39" s="767"/>
      <c r="AK39" s="767"/>
      <c r="AL39" s="767"/>
      <c r="AM39" s="767"/>
      <c r="AN39" s="767"/>
      <c r="AO39" s="767"/>
      <c r="AP39" s="767"/>
      <c r="AQ39" s="767"/>
      <c r="AR39" s="767"/>
      <c r="AS39" s="767"/>
      <c r="AT39" s="767"/>
      <c r="AU39" s="767"/>
      <c r="AV39" s="767"/>
      <c r="AW39" s="767"/>
      <c r="AX39" s="767"/>
      <c r="AY39" s="767"/>
      <c r="AZ39" s="767"/>
      <c r="BA39" s="767"/>
      <c r="BB39" s="767"/>
      <c r="BC39" s="767"/>
      <c r="BD39" s="19"/>
      <c r="BE39" s="19"/>
      <c r="BF39" s="19"/>
      <c r="BG39" s="19"/>
      <c r="BH39" s="19"/>
      <c r="BI39" s="760"/>
      <c r="BJ39" s="760"/>
      <c r="BK39" s="760"/>
      <c r="BL39" s="760"/>
      <c r="BM39" s="760"/>
      <c r="BN39" s="760"/>
      <c r="BO39" s="760"/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19"/>
      <c r="CD39" s="19"/>
      <c r="CE39" s="19"/>
      <c r="CF39" s="758" t="str">
        <f>ПОДПИСИ!E5</f>
        <v>Д.М. Чечин</v>
      </c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50" t="s">
        <v>11</v>
      </c>
      <c r="BJ40" s="750"/>
      <c r="BK40" s="750"/>
      <c r="BL40" s="750"/>
      <c r="BM40" s="750"/>
      <c r="BN40" s="750"/>
      <c r="BO40" s="750"/>
      <c r="BP40" s="750"/>
      <c r="BQ40" s="750"/>
      <c r="BR40" s="750"/>
      <c r="BS40" s="750"/>
      <c r="BT40" s="750"/>
      <c r="BU40" s="750"/>
      <c r="BV40" s="750"/>
      <c r="BW40" s="750"/>
      <c r="BX40" s="750"/>
      <c r="BY40" s="750"/>
      <c r="BZ40" s="750"/>
      <c r="CA40" s="750"/>
      <c r="CB40" s="750"/>
      <c r="CC40" s="227"/>
      <c r="CD40" s="227"/>
      <c r="CE40" s="227"/>
      <c r="CF40" s="749" t="s">
        <v>50</v>
      </c>
      <c r="CG40" s="749"/>
      <c r="CH40" s="749"/>
      <c r="CI40" s="749"/>
      <c r="CJ40" s="749"/>
      <c r="CK40" s="749"/>
      <c r="CL40" s="749"/>
      <c r="CM40" s="749"/>
      <c r="CN40" s="749"/>
      <c r="CO40" s="749"/>
      <c r="CP40" s="749"/>
      <c r="CQ40" s="749"/>
      <c r="CR40" s="749"/>
      <c r="CS40" s="749"/>
      <c r="CT40" s="749"/>
      <c r="CU40" s="749"/>
      <c r="CV40" s="749"/>
      <c r="CW40" s="749"/>
      <c r="CX40" s="749"/>
      <c r="CY40" s="749"/>
      <c r="CZ40" s="749"/>
      <c r="DA40" s="749"/>
      <c r="DB40" s="749"/>
      <c r="DH40" s="228"/>
    </row>
    <row r="41" spans="1:112" ht="41.5" customHeight="1">
      <c r="A41" s="767" t="s">
        <v>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67"/>
      <c r="S41" s="767"/>
      <c r="T41" s="767"/>
      <c r="U41" s="767"/>
      <c r="V41" s="767"/>
      <c r="W41" s="767"/>
      <c r="X41" s="767"/>
      <c r="Y41" s="767"/>
      <c r="Z41" s="767"/>
      <c r="AA41" s="767"/>
      <c r="AB41" s="767"/>
      <c r="AC41" s="767"/>
      <c r="AD41" s="767"/>
      <c r="AE41" s="767"/>
      <c r="AF41" s="767"/>
      <c r="AG41" s="767"/>
      <c r="AH41" s="767"/>
      <c r="AI41" s="767"/>
      <c r="AJ41" s="767"/>
      <c r="AK41" s="767"/>
      <c r="AL41" s="767"/>
      <c r="AM41" s="767"/>
      <c r="AN41" s="767"/>
      <c r="AO41" s="767"/>
      <c r="AP41" s="767"/>
      <c r="AQ41" s="767"/>
      <c r="AR41" s="767"/>
      <c r="AS41" s="767"/>
      <c r="AT41" s="767"/>
      <c r="AU41" s="767"/>
      <c r="AV41" s="767"/>
      <c r="AW41" s="767"/>
      <c r="AX41" s="767"/>
      <c r="AY41" s="767"/>
      <c r="AZ41" s="767"/>
      <c r="BA41" s="767"/>
      <c r="BB41" s="767"/>
      <c r="BC41" s="767"/>
      <c r="BD41" s="19"/>
      <c r="BE41" s="19"/>
      <c r="BF41" s="19"/>
      <c r="BG41" s="19"/>
      <c r="BH41" s="19"/>
      <c r="BI41" s="760"/>
      <c r="BJ41" s="760"/>
      <c r="BK41" s="760"/>
      <c r="BL41" s="760"/>
      <c r="BM41" s="760"/>
      <c r="BN41" s="760"/>
      <c r="BO41" s="760"/>
      <c r="BP41" s="760"/>
      <c r="BQ41" s="760"/>
      <c r="BR41" s="760"/>
      <c r="BS41" s="760"/>
      <c r="BT41" s="760"/>
      <c r="BU41" s="760"/>
      <c r="BV41" s="760"/>
      <c r="BW41" s="760"/>
      <c r="BX41" s="760"/>
      <c r="BY41" s="760"/>
      <c r="BZ41" s="760"/>
      <c r="CA41" s="760"/>
      <c r="CB41" s="760"/>
      <c r="CC41" s="19"/>
      <c r="CD41" s="19"/>
      <c r="CE41" s="19"/>
      <c r="CF41" s="758" t="str">
        <f>IF(ПОДПИСИ!E15=0," ",ПОДПИСИ!E15)</f>
        <v>А.С. Матвеев</v>
      </c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</row>
    <row r="42" spans="1:112" s="226" customFormat="1" ht="9.65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50" t="s">
        <v>11</v>
      </c>
      <c r="BJ42" s="750"/>
      <c r="BK42" s="750"/>
      <c r="BL42" s="750"/>
      <c r="BM42" s="750"/>
      <c r="BN42" s="750"/>
      <c r="BO42" s="750"/>
      <c r="BP42" s="750"/>
      <c r="BQ42" s="750"/>
      <c r="BR42" s="750"/>
      <c r="BS42" s="750"/>
      <c r="BT42" s="750"/>
      <c r="BU42" s="750"/>
      <c r="BV42" s="750"/>
      <c r="BW42" s="750"/>
      <c r="BX42" s="750"/>
      <c r="BY42" s="750"/>
      <c r="BZ42" s="750"/>
      <c r="CA42" s="750"/>
      <c r="CB42" s="750"/>
      <c r="CC42" s="227"/>
      <c r="CD42" s="227"/>
      <c r="CE42" s="227"/>
      <c r="CF42" s="750" t="s">
        <v>50</v>
      </c>
      <c r="CG42" s="750"/>
      <c r="CH42" s="750"/>
      <c r="CI42" s="750"/>
      <c r="CJ42" s="750"/>
      <c r="CK42" s="750"/>
      <c r="CL42" s="750"/>
      <c r="CM42" s="750"/>
      <c r="CN42" s="750"/>
      <c r="CO42" s="750"/>
      <c r="CP42" s="750"/>
      <c r="CQ42" s="750"/>
      <c r="CR42" s="750"/>
      <c r="CS42" s="750"/>
      <c r="CT42" s="750"/>
      <c r="CU42" s="750"/>
      <c r="CV42" s="750"/>
      <c r="CW42" s="750"/>
      <c r="CX42" s="750"/>
      <c r="CY42" s="750"/>
      <c r="CZ42" s="750"/>
      <c r="DA42" s="750"/>
      <c r="DB42" s="750"/>
      <c r="DH42" s="228"/>
    </row>
    <row r="43" spans="1:112" ht="41.5" customHeight="1">
      <c r="A43" s="767" t="s">
        <v>16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19"/>
      <c r="BE43" s="19"/>
      <c r="BF43" s="19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19"/>
      <c r="CD43" s="19"/>
      <c r="CE43" s="19"/>
      <c r="CF43" s="758" t="str">
        <f>ПОДПИСИ!E12</f>
        <v>А.Р. Махмадов</v>
      </c>
      <c r="CG43" s="758"/>
      <c r="CH43" s="758"/>
      <c r="CI43" s="758"/>
      <c r="CJ43" s="758"/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s="226" customFormat="1" ht="9.65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50" t="s">
        <v>11</v>
      </c>
      <c r="BJ44" s="750"/>
      <c r="BK44" s="750"/>
      <c r="BL44" s="750"/>
      <c r="BM44" s="750"/>
      <c r="BN44" s="750"/>
      <c r="BO44" s="750"/>
      <c r="BP44" s="750"/>
      <c r="BQ44" s="750"/>
      <c r="BR44" s="750"/>
      <c r="BS44" s="750"/>
      <c r="BT44" s="750"/>
      <c r="BU44" s="750"/>
      <c r="BV44" s="750"/>
      <c r="BW44" s="750"/>
      <c r="BX44" s="750"/>
      <c r="BY44" s="750"/>
      <c r="BZ44" s="750"/>
      <c r="CA44" s="750"/>
      <c r="CB44" s="750"/>
      <c r="CC44" s="227"/>
      <c r="CD44" s="227"/>
      <c r="CE44" s="227"/>
      <c r="CF44" s="750" t="s">
        <v>50</v>
      </c>
      <c r="CG44" s="750"/>
      <c r="CH44" s="750"/>
      <c r="CI44" s="750"/>
      <c r="CJ44" s="750"/>
      <c r="CK44" s="750"/>
      <c r="CL44" s="750"/>
      <c r="CM44" s="750"/>
      <c r="CN44" s="750"/>
      <c r="CO44" s="750"/>
      <c r="CP44" s="750"/>
      <c r="CQ44" s="750"/>
      <c r="CR44" s="750"/>
      <c r="CS44" s="750"/>
      <c r="CT44" s="750"/>
      <c r="CU44" s="750"/>
      <c r="CV44" s="750"/>
      <c r="CW44" s="750"/>
      <c r="CX44" s="750"/>
      <c r="CY44" s="750"/>
      <c r="CZ44" s="750"/>
      <c r="DA44" s="750"/>
      <c r="DB44" s="750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115" priority="4" operator="equal">
      <formula>0</formula>
    </cfRule>
  </conditionalFormatting>
  <conditionalFormatting sqref="DH2:DH7">
    <cfRule type="cellIs" dxfId="114" priority="2" operator="equal">
      <formula>0</formula>
    </cfRule>
  </conditionalFormatting>
  <conditionalFormatting sqref="DH9">
    <cfRule type="cellIs" dxfId="1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activeCell="F7" sqref="F7:H7"/>
    </sheetView>
  </sheetViews>
  <sheetFormatPr defaultColWidth="9.1796875" defaultRowHeight="14"/>
  <cols>
    <col min="1" max="1" width="18.7265625" style="63" customWidth="1"/>
    <col min="2" max="2" width="10.7265625" style="63" customWidth="1"/>
    <col min="3" max="3" width="9.1796875" style="63"/>
    <col min="4" max="4" width="8.26953125" style="63" customWidth="1"/>
    <col min="5" max="5" width="5.7265625" style="63" customWidth="1"/>
    <col min="6" max="7" width="9.1796875" style="63"/>
    <col min="8" max="8" width="23.81640625" style="63" customWidth="1"/>
    <col min="9" max="9" width="9.1796875" style="63"/>
    <col min="10" max="12" width="15.7265625" style="63" customWidth="1"/>
    <col min="13" max="16384" width="9.1796875" style="63"/>
  </cols>
  <sheetData>
    <row r="1" spans="1:13" ht="14.5">
      <c r="H1" s="64" t="s">
        <v>135</v>
      </c>
      <c r="I1"/>
      <c r="J1"/>
      <c r="K1"/>
      <c r="L1"/>
      <c r="M1"/>
    </row>
    <row r="2" spans="1:13" ht="15" customHeight="1">
      <c r="F2" s="951" t="s">
        <v>71</v>
      </c>
      <c r="G2" s="951"/>
      <c r="H2" s="951"/>
      <c r="I2"/>
      <c r="J2"/>
      <c r="K2"/>
      <c r="L2"/>
      <c r="M2"/>
    </row>
    <row r="3" spans="1:13" ht="15" customHeight="1">
      <c r="F3" s="923" t="s">
        <v>0</v>
      </c>
      <c r="G3" s="923"/>
      <c r="H3" s="923"/>
    </row>
    <row r="4" spans="1:13" ht="15" customHeight="1">
      <c r="A4" s="951" t="str">
        <f>ФОРМА!B4</f>
        <v>ООО «БЭСК»</v>
      </c>
      <c r="B4" s="951"/>
      <c r="F4" s="953" t="str">
        <f>ФОРМА!B2</f>
        <v>ПАО "Россети Ленэнерго"</v>
      </c>
      <c r="G4" s="953"/>
      <c r="H4" s="953"/>
    </row>
    <row r="5" spans="1:13" ht="15" customHeight="1">
      <c r="A5" s="919" t="s">
        <v>44</v>
      </c>
      <c r="B5" s="919"/>
      <c r="F5" s="919" t="s">
        <v>2</v>
      </c>
      <c r="G5" s="927"/>
      <c r="H5" s="927"/>
    </row>
    <row r="6" spans="1:13" ht="122.5" customHeight="1">
      <c r="A6" s="951"/>
      <c r="B6" s="951"/>
      <c r="F6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5"/>
      <c r="H6" s="955"/>
    </row>
    <row r="7" spans="1:13" ht="15" customHeight="1">
      <c r="A7" s="923" t="s">
        <v>45</v>
      </c>
      <c r="B7" s="923"/>
      <c r="F7" s="929" t="s">
        <v>38</v>
      </c>
      <c r="G7" s="929"/>
      <c r="H7" s="929"/>
    </row>
    <row r="8" spans="1:13" ht="15" customHeight="1">
      <c r="A8" s="922"/>
      <c r="B8" s="922"/>
      <c r="F8" s="956">
        <f>ФОРМА!B14</f>
        <v>45320</v>
      </c>
      <c r="G8" s="953"/>
      <c r="H8" s="953"/>
    </row>
    <row r="9" spans="1:13" ht="15" customHeight="1">
      <c r="A9" s="923" t="s">
        <v>1</v>
      </c>
      <c r="B9" s="923"/>
      <c r="F9" s="929" t="s">
        <v>3</v>
      </c>
      <c r="G9" s="929"/>
      <c r="H9" s="929"/>
    </row>
    <row r="11" spans="1:13">
      <c r="A11" s="954" t="s">
        <v>255</v>
      </c>
      <c r="B11" s="954"/>
      <c r="C11" s="954"/>
      <c r="D11" s="954"/>
      <c r="E11" s="954"/>
      <c r="F11" s="954"/>
      <c r="G11" s="954"/>
      <c r="H11" s="954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52" t="s">
        <v>114</v>
      </c>
      <c r="B15" s="952"/>
      <c r="C15" s="952"/>
      <c r="D15" s="952"/>
      <c r="E15" s="921" t="str">
        <f>ПОДПИСИ!B12</f>
        <v xml:space="preserve">Производитель работ ООО«БЭСК» </v>
      </c>
      <c r="F15" s="921"/>
      <c r="G15" s="921"/>
      <c r="H15" s="921"/>
    </row>
    <row r="16" spans="1:13">
      <c r="A16" s="921" t="str">
        <f>ПОДПИСИ!C12</f>
        <v>Махмадов А.Р.</v>
      </c>
      <c r="B16" s="921"/>
      <c r="C16" s="921"/>
      <c r="D16" s="921"/>
      <c r="E16" s="921"/>
      <c r="F16" s="921"/>
      <c r="G16" s="921"/>
      <c r="H16" s="921"/>
    </row>
    <row r="17" spans="1:8">
      <c r="A17" s="919" t="s">
        <v>166</v>
      </c>
      <c r="B17" s="919"/>
      <c r="C17" s="919"/>
      <c r="D17" s="919"/>
      <c r="E17" s="919"/>
      <c r="F17" s="919"/>
      <c r="G17" s="919"/>
      <c r="H17" s="919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52" t="s">
        <v>115</v>
      </c>
      <c r="B19" s="952"/>
      <c r="C19" s="932" t="str">
        <f>ПОДПИСИ!B7</f>
        <v>Начальник мастерского участка №1 Курортного РЭС ПАО «Россети Ленэнерго» «СЭС»</v>
      </c>
      <c r="D19" s="932"/>
      <c r="E19" s="932"/>
      <c r="F19" s="932"/>
      <c r="G19" s="932"/>
      <c r="H19" s="932"/>
    </row>
    <row r="20" spans="1:8">
      <c r="A20" s="921" t="str">
        <f>ПОДПИСИ!C7</f>
        <v>Чечин Д.М.</v>
      </c>
      <c r="B20" s="921"/>
      <c r="C20" s="921"/>
      <c r="D20" s="921"/>
      <c r="E20" s="921"/>
      <c r="F20" s="921"/>
      <c r="G20" s="921"/>
      <c r="H20" s="921"/>
    </row>
    <row r="21" spans="1:8" ht="16.5" customHeight="1">
      <c r="A21" s="919" t="s">
        <v>166</v>
      </c>
      <c r="B21" s="919"/>
      <c r="C21" s="919"/>
      <c r="D21" s="919"/>
      <c r="E21" s="919"/>
      <c r="F21" s="919"/>
      <c r="G21" s="919"/>
      <c r="H21" s="919"/>
    </row>
    <row r="22" spans="1:8">
      <c r="A22" s="63" t="s">
        <v>256</v>
      </c>
      <c r="B22" s="73" t="str">
        <f>ФОРМА!B15</f>
        <v>ТЗК</v>
      </c>
      <c r="C22" s="63" t="s">
        <v>257</v>
      </c>
      <c r="F22" s="951" t="s">
        <v>258</v>
      </c>
      <c r="G22" s="951"/>
    </row>
    <row r="23" spans="1:8">
      <c r="A23" s="932" t="s">
        <v>1707</v>
      </c>
      <c r="B23" s="921"/>
      <c r="C23" s="921"/>
      <c r="D23" s="921"/>
      <c r="E23" s="921"/>
      <c r="F23" s="921"/>
      <c r="G23" s="921"/>
      <c r="H23" s="921"/>
    </row>
    <row r="24" spans="1:8">
      <c r="A24" s="66" t="s">
        <v>125</v>
      </c>
    </row>
    <row r="25" spans="1:8" ht="2.25" customHeight="1">
      <c r="A25" s="66"/>
    </row>
    <row r="26" spans="1:8">
      <c r="A26" s="915" t="s">
        <v>259</v>
      </c>
      <c r="B26" s="915"/>
      <c r="C26" s="915"/>
      <c r="D26" s="915"/>
      <c r="E26" s="932" t="str">
        <f>CONCATENATE("Шифр ",ФОРМА!B9)</f>
        <v>Шифр СЭС-23-32939-ЭС-ТКР2</v>
      </c>
      <c r="F26" s="932"/>
      <c r="G26" s="932"/>
      <c r="H26" s="932"/>
    </row>
    <row r="27" spans="1:8">
      <c r="A27" s="63" t="s">
        <v>136</v>
      </c>
      <c r="B27" s="921" t="str">
        <f>ФОРМА!B8</f>
        <v>ООО «Строительные энергетические технологии»</v>
      </c>
      <c r="C27" s="921"/>
      <c r="D27" s="921"/>
      <c r="E27" s="921"/>
      <c r="F27" s="921"/>
      <c r="G27" s="921"/>
      <c r="H27" s="921"/>
    </row>
    <row r="28" spans="1:8" ht="12.75" customHeight="1">
      <c r="A28" s="69"/>
      <c r="B28" s="919" t="s">
        <v>260</v>
      </c>
      <c r="C28" s="919"/>
      <c r="D28" s="919"/>
      <c r="E28" s="919"/>
      <c r="F28" s="919"/>
      <c r="G28" s="919"/>
      <c r="H28" s="919"/>
    </row>
    <row r="29" spans="1:8" ht="18.75" customHeight="1">
      <c r="A29" s="915" t="s">
        <v>261</v>
      </c>
      <c r="B29" s="915"/>
      <c r="C29" s="915"/>
      <c r="D29" s="915"/>
      <c r="E29" s="915"/>
      <c r="F29" s="915"/>
      <c r="G29" s="915"/>
      <c r="H29" s="915"/>
    </row>
    <row r="30" spans="1:8" ht="18.75" customHeight="1">
      <c r="A30" s="921" t="s">
        <v>263</v>
      </c>
      <c r="B30" s="921"/>
      <c r="C30" s="921"/>
      <c r="D30" s="921"/>
      <c r="E30" s="921"/>
      <c r="F30" s="921"/>
      <c r="G30" s="921"/>
      <c r="H30" s="921"/>
    </row>
    <row r="31" spans="1:8" ht="15" customHeight="1">
      <c r="A31" s="919" t="s">
        <v>262</v>
      </c>
      <c r="B31" s="919"/>
      <c r="C31" s="919"/>
      <c r="D31" s="919"/>
      <c r="E31" s="919"/>
      <c r="F31" s="919"/>
      <c r="G31" s="919"/>
      <c r="H31" s="919"/>
    </row>
    <row r="32" spans="1:8">
      <c r="A32" s="63" t="s">
        <v>134</v>
      </c>
      <c r="C32" s="951"/>
      <c r="D32" s="951"/>
      <c r="E32" s="63" t="s">
        <v>264</v>
      </c>
    </row>
    <row r="33" spans="1:8">
      <c r="A33" s="63" t="s">
        <v>265</v>
      </c>
      <c r="B33" s="951" t="s">
        <v>65</v>
      </c>
      <c r="C33" s="951"/>
      <c r="D33" s="951"/>
      <c r="E33" s="951"/>
      <c r="F33" s="951"/>
      <c r="G33" s="951"/>
      <c r="H33" s="951"/>
    </row>
    <row r="34" spans="1:8">
      <c r="B34" s="919" t="s">
        <v>266</v>
      </c>
      <c r="C34" s="919"/>
      <c r="D34" s="919"/>
      <c r="E34" s="919"/>
      <c r="F34" s="919"/>
      <c r="G34" s="919"/>
      <c r="H34" s="919"/>
    </row>
    <row r="35" spans="1:8">
      <c r="A35" s="915" t="s">
        <v>133</v>
      </c>
      <c r="B35" s="915"/>
      <c r="C35" s="915"/>
      <c r="D35" s="915"/>
      <c r="E35" s="915"/>
      <c r="F35" s="915"/>
      <c r="G35" s="915"/>
      <c r="H35" s="915"/>
    </row>
    <row r="36" spans="1:8">
      <c r="A36" s="915" t="s">
        <v>267</v>
      </c>
      <c r="B36" s="915"/>
      <c r="C36" s="915"/>
      <c r="D36" s="915"/>
      <c r="E36" s="915"/>
      <c r="F36" s="915"/>
      <c r="G36" s="915"/>
      <c r="H36" s="915"/>
    </row>
    <row r="37" spans="1:8">
      <c r="A37" s="917"/>
      <c r="B37" s="917"/>
      <c r="C37" s="917"/>
      <c r="D37" s="917"/>
      <c r="E37" s="917"/>
      <c r="F37" s="917"/>
      <c r="G37" s="917"/>
      <c r="H37" s="917"/>
    </row>
    <row r="38" spans="1:8">
      <c r="A38" s="66" t="s">
        <v>112</v>
      </c>
    </row>
    <row r="39" spans="1:8">
      <c r="A39" s="915" t="s">
        <v>167</v>
      </c>
      <c r="B39" s="915"/>
      <c r="C39" s="915"/>
      <c r="D39" s="915"/>
      <c r="E39" s="915"/>
      <c r="F39" s="915"/>
      <c r="G39" s="915"/>
      <c r="H39" s="915"/>
    </row>
    <row r="40" spans="1:8">
      <c r="A40" s="915" t="s">
        <v>268</v>
      </c>
      <c r="B40" s="915"/>
      <c r="C40" s="915"/>
      <c r="D40" s="915"/>
      <c r="E40" s="915"/>
      <c r="F40" s="915"/>
      <c r="G40" s="915"/>
      <c r="H40" s="915"/>
    </row>
    <row r="42" spans="1:8" ht="28.9" customHeight="1">
      <c r="A42" s="915" t="s">
        <v>15</v>
      </c>
      <c r="B42" s="915"/>
      <c r="E42" s="949"/>
      <c r="F42" s="949"/>
      <c r="H42" s="445" t="str">
        <f>ПОДПИСИ!E7</f>
        <v>Д.М. Чечин</v>
      </c>
    </row>
    <row r="43" spans="1:8" ht="31.15" customHeight="1">
      <c r="A43" s="70"/>
      <c r="B43" s="70"/>
      <c r="E43" s="950" t="s">
        <v>49</v>
      </c>
      <c r="F43" s="950"/>
      <c r="H43" s="452" t="s">
        <v>50</v>
      </c>
    </row>
    <row r="44" spans="1:8">
      <c r="A44" s="915" t="s">
        <v>16</v>
      </c>
      <c r="B44" s="915"/>
      <c r="C44" s="915"/>
      <c r="D44" s="915"/>
      <c r="E44" s="949"/>
      <c r="F44" s="949"/>
      <c r="H44" s="445" t="str">
        <f>ПОДПИСИ!E12</f>
        <v>А.Р. Махмадов</v>
      </c>
    </row>
    <row r="45" spans="1:8">
      <c r="E45" s="950" t="s">
        <v>49</v>
      </c>
      <c r="F45" s="950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9" zoomScale="60" zoomScaleNormal="100" workbookViewId="0">
      <selection activeCell="A33" sqref="A33:H33"/>
    </sheetView>
  </sheetViews>
  <sheetFormatPr defaultColWidth="9.1796875" defaultRowHeight="14" outlineLevelRow="1"/>
  <cols>
    <col min="1" max="1" width="18.7265625" style="63" customWidth="1"/>
    <col min="2" max="2" width="10.7265625" style="63" customWidth="1"/>
    <col min="3" max="3" width="9.1796875" style="63"/>
    <col min="4" max="4" width="5.1796875" style="63" customWidth="1"/>
    <col min="5" max="5" width="5.7265625" style="63" customWidth="1"/>
    <col min="6" max="7" width="9.1796875" style="63"/>
    <col min="8" max="8" width="23.81640625" style="63" customWidth="1"/>
    <col min="9" max="9" width="9.1796875" style="63"/>
    <col min="10" max="12" width="15.7265625" style="63" customWidth="1"/>
    <col min="13" max="13" width="9.1796875" style="63"/>
    <col min="14" max="14" width="48.81640625" style="123" customWidth="1"/>
    <col min="15" max="16384" width="9.1796875" style="63"/>
  </cols>
  <sheetData>
    <row r="1" spans="1:14" ht="14.5" outlineLevel="1">
      <c r="A1" s="925"/>
      <c r="B1" s="925"/>
      <c r="C1" s="925"/>
      <c r="H1" s="64" t="s">
        <v>116</v>
      </c>
      <c r="I1"/>
      <c r="J1"/>
      <c r="K1"/>
      <c r="L1"/>
    </row>
    <row r="2" spans="1:14" ht="14.5" outlineLevel="1">
      <c r="A2" s="925"/>
      <c r="B2" s="925"/>
      <c r="C2" s="925"/>
      <c r="H2" s="65"/>
      <c r="I2"/>
      <c r="J2"/>
      <c r="K2"/>
      <c r="L2"/>
    </row>
    <row r="3" spans="1:14" ht="15" customHeight="1" outlineLevel="1">
      <c r="A3" s="925"/>
      <c r="B3" s="925"/>
      <c r="C3" s="925"/>
      <c r="F3" s="951" t="str">
        <f>ФОРМА!G2</f>
        <v>Санкт-Петербург</v>
      </c>
      <c r="G3" s="951"/>
      <c r="H3" s="951"/>
    </row>
    <row r="4" spans="1:14" ht="15" customHeight="1" outlineLevel="1">
      <c r="A4" s="925"/>
      <c r="B4" s="925"/>
      <c r="C4" s="925"/>
      <c r="F4" s="923" t="s">
        <v>0</v>
      </c>
      <c r="G4" s="923"/>
      <c r="H4" s="923"/>
    </row>
    <row r="5" spans="1:14" ht="15" customHeight="1" outlineLevel="1">
      <c r="A5" s="951" t="str">
        <f>ФОРМА!B4</f>
        <v>ООО «БЭСК»</v>
      </c>
      <c r="B5" s="951"/>
      <c r="C5" s="951"/>
      <c r="F5" s="953" t="str">
        <f>ФОРМА!B2</f>
        <v>ПАО "Россети Ленэнерго"</v>
      </c>
      <c r="G5" s="953"/>
      <c r="H5" s="953"/>
      <c r="N5" s="123" t="str">
        <f>F5</f>
        <v>ПАО "Россети Ленэнерго"</v>
      </c>
    </row>
    <row r="6" spans="1:14" ht="15" customHeight="1" outlineLevel="1">
      <c r="A6" s="923" t="s">
        <v>44</v>
      </c>
      <c r="B6" s="923"/>
      <c r="C6" s="923"/>
      <c r="F6" s="919" t="s">
        <v>2</v>
      </c>
      <c r="G6" s="927"/>
      <c r="H6" s="927"/>
    </row>
    <row r="7" spans="1:14" ht="126" outlineLevel="1">
      <c r="A7" s="922"/>
      <c r="B7" s="922"/>
      <c r="C7" s="922"/>
      <c r="F7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55"/>
      <c r="H7" s="955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23" t="s">
        <v>45</v>
      </c>
      <c r="B8" s="923"/>
      <c r="C8" s="923"/>
      <c r="F8" s="919" t="s">
        <v>38</v>
      </c>
      <c r="G8" s="919"/>
      <c r="H8" s="919"/>
    </row>
    <row r="9" spans="1:14" ht="15" customHeight="1" outlineLevel="1">
      <c r="A9" s="922"/>
      <c r="B9" s="922"/>
      <c r="C9" s="922"/>
      <c r="F9" s="956">
        <f>ФОРМА!D14</f>
        <v>45320</v>
      </c>
      <c r="G9" s="953"/>
      <c r="H9" s="953"/>
    </row>
    <row r="10" spans="1:14" ht="15" customHeight="1" outlineLevel="1">
      <c r="A10" s="923" t="s">
        <v>1</v>
      </c>
      <c r="B10" s="923"/>
      <c r="C10" s="923"/>
      <c r="F10" s="919" t="s">
        <v>3</v>
      </c>
      <c r="G10" s="919"/>
      <c r="H10" s="919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64" t="s">
        <v>503</v>
      </c>
      <c r="B12" s="931"/>
      <c r="C12" s="931"/>
      <c r="D12" s="931"/>
      <c r="E12" s="931"/>
      <c r="F12" s="931"/>
      <c r="G12" s="931"/>
      <c r="H12" s="931"/>
    </row>
    <row r="13" spans="1:14" ht="9" customHeight="1"/>
    <row r="14" spans="1:14">
      <c r="A14" s="952" t="s">
        <v>4</v>
      </c>
      <c r="B14" s="952"/>
      <c r="C14" s="952"/>
      <c r="D14" s="952"/>
      <c r="E14" s="952"/>
      <c r="F14" s="952"/>
      <c r="G14" s="952"/>
      <c r="H14" s="952"/>
    </row>
    <row r="15" spans="1:14">
      <c r="A15" s="915" t="s">
        <v>338</v>
      </c>
      <c r="B15" s="915"/>
      <c r="C15" s="915"/>
      <c r="D15" s="915"/>
      <c r="E15" s="965"/>
      <c r="F15" s="965"/>
      <c r="G15" s="965"/>
      <c r="H15" s="965"/>
    </row>
    <row r="16" spans="1:14">
      <c r="A16" s="921" t="str">
        <f>ПОДПИСИ!B7</f>
        <v>Начальник мастерского участка №1 Курортного РЭС ПАО «Россети Ленэнерго» «СЭС»</v>
      </c>
      <c r="B16" s="921"/>
      <c r="C16" s="921"/>
      <c r="D16" s="921"/>
      <c r="E16" s="921"/>
      <c r="F16" s="921"/>
      <c r="G16" s="921"/>
      <c r="H16" s="921"/>
    </row>
    <row r="17" spans="1:8">
      <c r="A17" s="921" t="str">
        <f>ПОДПИСИ!C7</f>
        <v>Чечин Д.М.</v>
      </c>
      <c r="B17" s="921"/>
      <c r="C17" s="921"/>
      <c r="D17" s="921"/>
      <c r="E17" s="921"/>
      <c r="F17" s="921"/>
      <c r="G17" s="921"/>
      <c r="H17" s="921"/>
    </row>
    <row r="18" spans="1:8" ht="9.65" customHeight="1">
      <c r="A18" s="919" t="s">
        <v>269</v>
      </c>
      <c r="B18" s="919"/>
      <c r="C18" s="919"/>
      <c r="D18" s="919"/>
      <c r="E18" s="919"/>
      <c r="F18" s="919"/>
      <c r="G18" s="919"/>
      <c r="H18" s="919"/>
    </row>
    <row r="19" spans="1:8">
      <c r="A19" s="915" t="s">
        <v>340</v>
      </c>
      <c r="B19" s="915"/>
      <c r="C19" s="915"/>
      <c r="D19" s="965"/>
      <c r="E19" s="965"/>
      <c r="F19" s="965"/>
      <c r="G19" s="965"/>
      <c r="H19" s="965"/>
    </row>
    <row r="20" spans="1:8">
      <c r="A20" s="921" t="str">
        <f>ПОДПИСИ!B15</f>
        <v xml:space="preserve">Заместитель генерального директора ООО «БЭСК» </v>
      </c>
      <c r="B20" s="921"/>
      <c r="C20" s="921"/>
      <c r="D20" s="921"/>
      <c r="E20" s="921"/>
      <c r="F20" s="921"/>
      <c r="G20" s="921"/>
      <c r="H20" s="921"/>
    </row>
    <row r="21" spans="1:8">
      <c r="A21" s="966" t="str">
        <f>ПОДПИСИ!C15</f>
        <v>Матвеев А.С.</v>
      </c>
      <c r="B21" s="966"/>
      <c r="C21" s="966"/>
      <c r="D21" s="966"/>
      <c r="E21" s="966"/>
      <c r="F21" s="966"/>
      <c r="G21" s="966"/>
      <c r="H21" s="966"/>
    </row>
    <row r="22" spans="1:8" ht="9.65" customHeight="1">
      <c r="A22" s="919" t="s">
        <v>269</v>
      </c>
      <c r="B22" s="919"/>
      <c r="C22" s="919"/>
      <c r="D22" s="919"/>
      <c r="E22" s="919"/>
      <c r="F22" s="919"/>
      <c r="G22" s="919"/>
      <c r="H22" s="919"/>
    </row>
    <row r="23" spans="1:8">
      <c r="A23" s="915" t="s">
        <v>114</v>
      </c>
      <c r="B23" s="915"/>
      <c r="C23" s="915"/>
      <c r="D23" s="915"/>
      <c r="E23" s="969"/>
      <c r="F23" s="969"/>
      <c r="G23" s="969"/>
      <c r="H23" s="969"/>
    </row>
    <row r="24" spans="1:8">
      <c r="A24" s="921" t="str">
        <f>ПОДПИСИ!B12</f>
        <v xml:space="preserve">Производитель работ ООО«БЭСК» </v>
      </c>
      <c r="B24" s="921"/>
      <c r="C24" s="921"/>
      <c r="D24" s="921"/>
      <c r="E24" s="921"/>
      <c r="F24" s="921"/>
      <c r="G24" s="921"/>
      <c r="H24" s="921"/>
    </row>
    <row r="25" spans="1:8">
      <c r="A25" s="921" t="str">
        <f>ПОДПИСИ!C12</f>
        <v>Махмадов А.Р.</v>
      </c>
      <c r="B25" s="921"/>
      <c r="C25" s="921"/>
      <c r="D25" s="921"/>
      <c r="E25" s="921"/>
      <c r="F25" s="921"/>
      <c r="G25" s="921"/>
      <c r="H25" s="921"/>
    </row>
    <row r="26" spans="1:8" ht="9.65" customHeight="1">
      <c r="A26" s="919" t="s">
        <v>269</v>
      </c>
      <c r="B26" s="919"/>
      <c r="C26" s="919"/>
      <c r="D26" s="919"/>
      <c r="E26" s="919"/>
      <c r="F26" s="919"/>
      <c r="G26" s="919"/>
      <c r="H26" s="919"/>
    </row>
    <row r="27" spans="1:8">
      <c r="A27" s="63" t="s">
        <v>270</v>
      </c>
      <c r="D27" s="951" t="str">
        <f>ФОРМА!B4</f>
        <v>ООО «БЭСК»</v>
      </c>
      <c r="E27" s="951"/>
      <c r="F27" s="951"/>
      <c r="G27" s="951"/>
      <c r="H27" s="951"/>
    </row>
    <row r="28" spans="1:8" ht="9.65" customHeight="1">
      <c r="A28" s="917"/>
      <c r="B28" s="917"/>
      <c r="C28" s="917"/>
      <c r="D28" s="919" t="s">
        <v>272</v>
      </c>
      <c r="E28" s="919"/>
      <c r="F28" s="919"/>
      <c r="G28" s="919"/>
      <c r="H28" s="919"/>
    </row>
    <row r="29" spans="1:8">
      <c r="A29" s="915" t="s">
        <v>271</v>
      </c>
      <c r="B29" s="915"/>
      <c r="C29" s="915"/>
      <c r="D29" s="915"/>
      <c r="E29" s="915"/>
      <c r="F29" s="915"/>
      <c r="G29" s="915"/>
      <c r="H29" s="915"/>
    </row>
    <row r="30" spans="1:8">
      <c r="A30" s="917"/>
      <c r="B30" s="917"/>
      <c r="C30" s="917"/>
      <c r="D30" s="917"/>
      <c r="E30" s="917"/>
      <c r="F30" s="917"/>
      <c r="G30" s="917"/>
      <c r="H30" s="917"/>
    </row>
    <row r="31" spans="1:8">
      <c r="A31" s="63" t="s">
        <v>113</v>
      </c>
      <c r="F31" s="951" t="s">
        <v>633</v>
      </c>
      <c r="G31" s="951"/>
      <c r="H31" s="951"/>
    </row>
    <row r="32" spans="1:8">
      <c r="A32" s="951" t="s">
        <v>1710</v>
      </c>
      <c r="B32" s="951"/>
      <c r="C32" s="951"/>
      <c r="D32" s="951"/>
      <c r="E32" s="951"/>
      <c r="F32" s="951"/>
      <c r="G32" s="951"/>
      <c r="H32" s="951"/>
    </row>
    <row r="33" spans="1:14" s="248" customFormat="1" ht="9.65" customHeight="1">
      <c r="A33" s="958" t="s">
        <v>273</v>
      </c>
      <c r="B33" s="958"/>
      <c r="C33" s="958"/>
      <c r="D33" s="958"/>
      <c r="E33" s="958"/>
      <c r="F33" s="958"/>
      <c r="G33" s="958"/>
      <c r="H33" s="958"/>
      <c r="N33" s="249"/>
    </row>
    <row r="34" spans="1:14" ht="20.25" customHeight="1">
      <c r="A34" s="915" t="s">
        <v>274</v>
      </c>
      <c r="B34" s="915"/>
      <c r="C34" s="915"/>
      <c r="D34" s="915"/>
      <c r="E34" s="915"/>
      <c r="F34" s="915"/>
      <c r="G34" s="915"/>
      <c r="H34" s="915"/>
    </row>
    <row r="35" spans="1:14" ht="15" customHeight="1">
      <c r="A35" s="951" t="str">
        <f>CONCATENATE(ФОРМА!B8,", шифр ",ФОРМА!B9)</f>
        <v>ООО «Строительные энергетические технологии», шифр СЭС-23-32939-ЭС-ТКР2</v>
      </c>
      <c r="B35" s="951"/>
      <c r="C35" s="951"/>
      <c r="D35" s="951"/>
      <c r="E35" s="951"/>
      <c r="F35" s="951"/>
      <c r="G35" s="951"/>
      <c r="H35" s="951"/>
    </row>
    <row r="36" spans="1:14" ht="9.65" customHeight="1">
      <c r="A36" s="919" t="s">
        <v>275</v>
      </c>
      <c r="B36" s="919"/>
      <c r="C36" s="919"/>
      <c r="D36" s="919"/>
      <c r="E36" s="919"/>
      <c r="F36" s="919"/>
      <c r="G36" s="919"/>
      <c r="H36" s="919"/>
    </row>
    <row r="37" spans="1:14" ht="15" customHeight="1">
      <c r="A37" s="76" t="s">
        <v>276</v>
      </c>
      <c r="B37" s="76"/>
      <c r="C37" s="951" t="s">
        <v>248</v>
      </c>
      <c r="D37" s="951"/>
      <c r="E37" s="951"/>
      <c r="F37" s="951"/>
      <c r="G37" s="951"/>
      <c r="H37" s="76"/>
    </row>
    <row r="38" spans="1:14" ht="9.65" customHeight="1">
      <c r="A38" s="76"/>
      <c r="B38" s="76"/>
      <c r="C38" s="919" t="s">
        <v>277</v>
      </c>
      <c r="D38" s="919"/>
      <c r="E38" s="919"/>
      <c r="F38" s="919"/>
      <c r="G38" s="919"/>
      <c r="H38" s="76"/>
    </row>
    <row r="39" spans="1:14" ht="15" customHeight="1">
      <c r="A39" s="76" t="s">
        <v>278</v>
      </c>
      <c r="B39" s="951"/>
      <c r="C39" s="951"/>
      <c r="D39" s="951"/>
      <c r="E39" s="951"/>
      <c r="F39" s="951"/>
      <c r="G39" s="951"/>
      <c r="H39" s="76"/>
    </row>
    <row r="40" spans="1:14" ht="9.65" customHeight="1">
      <c r="A40" s="76"/>
      <c r="B40" s="919" t="s">
        <v>279</v>
      </c>
      <c r="C40" s="919"/>
      <c r="D40" s="919"/>
      <c r="E40" s="919"/>
      <c r="F40" s="919"/>
      <c r="G40" s="919"/>
      <c r="H40" s="76"/>
    </row>
    <row r="41" spans="1:14" ht="15" customHeight="1">
      <c r="A41" s="968" t="s">
        <v>280</v>
      </c>
      <c r="B41" s="968"/>
      <c r="C41" s="968"/>
      <c r="D41" s="968"/>
      <c r="E41" s="951" t="s">
        <v>281</v>
      </c>
      <c r="F41" s="951"/>
      <c r="G41" s="951"/>
      <c r="H41" s="76" t="s">
        <v>283</v>
      </c>
    </row>
    <row r="42" spans="1:14" ht="9.65" customHeight="1">
      <c r="A42" s="967"/>
      <c r="B42" s="967"/>
      <c r="C42" s="967"/>
      <c r="D42" s="967"/>
      <c r="E42" s="919" t="s">
        <v>282</v>
      </c>
      <c r="F42" s="919"/>
      <c r="G42" s="919"/>
      <c r="H42" s="75"/>
    </row>
    <row r="43" spans="1:14" ht="15" customHeight="1">
      <c r="A43" s="968" t="s">
        <v>284</v>
      </c>
      <c r="B43" s="968"/>
      <c r="C43" s="968"/>
      <c r="D43" s="968"/>
      <c r="E43" s="968"/>
      <c r="F43" s="968"/>
      <c r="G43" s="968"/>
      <c r="H43" s="968"/>
    </row>
    <row r="44" spans="1:14" ht="15" customHeight="1">
      <c r="A44" s="75" t="s">
        <v>285</v>
      </c>
      <c r="B44" s="951" t="s">
        <v>286</v>
      </c>
      <c r="C44" s="951"/>
      <c r="D44" s="951"/>
      <c r="E44" s="75" t="s">
        <v>287</v>
      </c>
      <c r="F44" s="75"/>
      <c r="G44" s="73">
        <v>150</v>
      </c>
      <c r="H44" s="75" t="s">
        <v>336</v>
      </c>
    </row>
    <row r="45" spans="1:14" ht="15" customHeight="1">
      <c r="A45" s="75" t="s">
        <v>288</v>
      </c>
      <c r="B45" s="963" t="str">
        <f>ФОРМА!B15</f>
        <v>ТЗК</v>
      </c>
      <c r="C45" s="963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5" customHeight="1">
      <c r="A46" s="120"/>
      <c r="B46" s="919" t="s">
        <v>290</v>
      </c>
      <c r="C46" s="919"/>
      <c r="D46" s="121"/>
      <c r="E46" s="120"/>
      <c r="F46" s="120"/>
      <c r="G46" s="121"/>
      <c r="H46" s="120"/>
      <c r="N46" s="247"/>
    </row>
    <row r="47" spans="1:14" ht="15" customHeight="1">
      <c r="A47" s="951" t="s">
        <v>65</v>
      </c>
      <c r="B47" s="951"/>
      <c r="C47" s="951"/>
      <c r="D47" s="951"/>
      <c r="E47" s="75"/>
      <c r="F47" s="75"/>
      <c r="G47" s="74"/>
      <c r="H47" s="75"/>
    </row>
    <row r="48" spans="1:14" ht="9.65" customHeight="1">
      <c r="A48" s="960" t="s">
        <v>292</v>
      </c>
      <c r="B48" s="960"/>
      <c r="C48" s="960"/>
      <c r="D48" s="960"/>
      <c r="E48" s="75"/>
      <c r="F48" s="75"/>
      <c r="G48" s="74"/>
      <c r="H48" s="75"/>
    </row>
    <row r="49" spans="1:8" ht="15" customHeight="1">
      <c r="A49" s="962" t="s">
        <v>293</v>
      </c>
      <c r="B49" s="962"/>
      <c r="C49" s="962"/>
      <c r="D49" s="962"/>
      <c r="E49" s="962"/>
      <c r="F49" s="962"/>
      <c r="G49" s="962"/>
      <c r="H49" s="962"/>
    </row>
    <row r="50" spans="1:8" ht="15" customHeight="1">
      <c r="A50" s="962" t="s">
        <v>294</v>
      </c>
      <c r="B50" s="962"/>
      <c r="C50" s="962"/>
      <c r="D50" s="962"/>
      <c r="E50" s="962"/>
      <c r="F50" s="962"/>
      <c r="G50" s="962"/>
      <c r="H50" s="962"/>
    </row>
    <row r="51" spans="1:8" ht="15" customHeight="1">
      <c r="A51" s="962" t="s">
        <v>295</v>
      </c>
      <c r="B51" s="962"/>
      <c r="C51" s="962"/>
      <c r="D51" s="962"/>
      <c r="E51" s="962"/>
      <c r="F51" s="962"/>
      <c r="G51" s="122"/>
      <c r="H51" s="122"/>
    </row>
    <row r="52" spans="1:8" ht="15" customHeight="1">
      <c r="A52" s="962" t="s">
        <v>296</v>
      </c>
      <c r="B52" s="962"/>
      <c r="C52" s="962"/>
      <c r="D52" s="962"/>
      <c r="E52" s="962"/>
      <c r="F52" s="962"/>
      <c r="G52" s="962"/>
      <c r="H52" s="962"/>
    </row>
    <row r="53" spans="1:8" ht="15" customHeight="1">
      <c r="A53" s="75" t="s">
        <v>297</v>
      </c>
      <c r="B53" s="961"/>
      <c r="C53" s="961"/>
      <c r="D53" s="961"/>
      <c r="E53" s="961"/>
      <c r="F53" s="961"/>
      <c r="G53" s="961"/>
      <c r="H53" s="961"/>
    </row>
    <row r="54" spans="1:8">
      <c r="A54" s="952" t="s">
        <v>112</v>
      </c>
      <c r="B54" s="952"/>
      <c r="C54" s="952"/>
      <c r="D54" s="952"/>
      <c r="E54" s="952"/>
      <c r="F54" s="952"/>
      <c r="G54" s="952"/>
      <c r="H54" s="952"/>
    </row>
    <row r="55" spans="1:8">
      <c r="A55" s="915" t="s">
        <v>298</v>
      </c>
      <c r="B55" s="915"/>
      <c r="C55" s="915"/>
      <c r="D55" s="915"/>
      <c r="E55" s="915"/>
      <c r="F55" s="915"/>
      <c r="G55" s="915"/>
      <c r="H55" s="915"/>
    </row>
    <row r="56" spans="1:8" hidden="1" outlineLevel="1">
      <c r="A56" s="959" t="s">
        <v>299</v>
      </c>
      <c r="B56" s="959"/>
      <c r="C56" s="959"/>
      <c r="D56" s="959"/>
      <c r="E56" s="959"/>
      <c r="F56" s="959"/>
      <c r="G56" s="959"/>
      <c r="H56" s="959"/>
    </row>
    <row r="57" spans="1:8" hidden="1" outlineLevel="1">
      <c r="A57" s="959" t="s">
        <v>300</v>
      </c>
      <c r="B57" s="959"/>
      <c r="C57" s="959"/>
      <c r="D57" s="959"/>
      <c r="E57" s="959"/>
      <c r="F57" s="959"/>
      <c r="G57" s="959"/>
      <c r="H57" s="959"/>
    </row>
    <row r="58" spans="1:8" ht="48" customHeight="1" collapsed="1">
      <c r="A58" s="920" t="s">
        <v>501</v>
      </c>
      <c r="B58" s="920"/>
      <c r="C58" s="920"/>
      <c r="D58" s="949"/>
      <c r="E58" s="949"/>
      <c r="F58" s="949"/>
      <c r="H58" s="445" t="str">
        <f>ПОДПИСИ!E7</f>
        <v>Д.М. Чечин</v>
      </c>
    </row>
    <row r="59" spans="1:8" ht="9" customHeight="1">
      <c r="A59" s="917"/>
      <c r="B59" s="917"/>
      <c r="C59" s="917"/>
      <c r="D59" s="957" t="s">
        <v>49</v>
      </c>
      <c r="E59" s="957"/>
      <c r="F59" s="957"/>
      <c r="H59" s="451" t="s">
        <v>50</v>
      </c>
    </row>
    <row r="60" spans="1:8" ht="8.25" customHeight="1">
      <c r="A60" s="917"/>
      <c r="B60" s="917"/>
      <c r="C60" s="917"/>
      <c r="D60" s="917"/>
      <c r="E60" s="917"/>
      <c r="F60" s="917"/>
      <c r="G60" s="917"/>
      <c r="H60" s="917"/>
    </row>
    <row r="61" spans="1:8" ht="28.5" customHeight="1">
      <c r="A61" s="920" t="s">
        <v>502</v>
      </c>
      <c r="B61" s="920"/>
      <c r="C61" s="920"/>
      <c r="D61" s="949"/>
      <c r="E61" s="949"/>
      <c r="F61" s="949"/>
      <c r="H61" s="445" t="str">
        <f>ПОДПИСИ!E15</f>
        <v>А.С. Матвеев</v>
      </c>
    </row>
    <row r="62" spans="1:8" ht="10.5" customHeight="1">
      <c r="A62" s="917"/>
      <c r="B62" s="917"/>
      <c r="C62" s="917"/>
      <c r="D62" s="957" t="s">
        <v>49</v>
      </c>
      <c r="E62" s="957"/>
      <c r="F62" s="957"/>
      <c r="H62" s="451" t="s">
        <v>50</v>
      </c>
    </row>
    <row r="63" spans="1:8" ht="9" customHeight="1">
      <c r="A63" s="917"/>
      <c r="B63" s="917"/>
      <c r="C63" s="917"/>
      <c r="D63" s="917"/>
      <c r="E63" s="917"/>
      <c r="F63" s="917"/>
      <c r="G63" s="917"/>
      <c r="H63" s="917"/>
    </row>
    <row r="64" spans="1:8" ht="28.5" customHeight="1">
      <c r="A64" s="920" t="s">
        <v>477</v>
      </c>
      <c r="B64" s="920"/>
      <c r="C64" s="920"/>
      <c r="D64" s="949"/>
      <c r="E64" s="949"/>
      <c r="F64" s="949"/>
      <c r="H64" s="445" t="str">
        <f>ПОДПИСИ!E12</f>
        <v>А.Р. Махмадов</v>
      </c>
    </row>
    <row r="65" spans="1:8" ht="11.25" customHeight="1">
      <c r="A65" s="917"/>
      <c r="B65" s="917"/>
      <c r="C65" s="917"/>
      <c r="D65" s="957" t="s">
        <v>49</v>
      </c>
      <c r="E65" s="957"/>
      <c r="F65" s="957"/>
      <c r="H65" s="451" t="s">
        <v>50</v>
      </c>
    </row>
    <row r="66" spans="1:8" hidden="1">
      <c r="A66" s="920" t="s">
        <v>253</v>
      </c>
      <c r="B66" s="920"/>
      <c r="C66" s="920"/>
      <c r="D66" s="949"/>
      <c r="E66" s="949"/>
      <c r="F66" s="949"/>
      <c r="H66" s="77"/>
    </row>
    <row r="67" spans="1:8" hidden="1">
      <c r="D67" s="957" t="s">
        <v>49</v>
      </c>
      <c r="E67" s="957"/>
      <c r="F67" s="957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4"/>
  <sheetViews>
    <sheetView view="pageBreakPreview" zoomScale="60" zoomScaleNormal="100" workbookViewId="0">
      <selection activeCell="L17" sqref="L17"/>
    </sheetView>
  </sheetViews>
  <sheetFormatPr defaultColWidth="9.1796875" defaultRowHeight="14"/>
  <cols>
    <col min="1" max="1" width="8.81640625" style="60" customWidth="1"/>
    <col min="2" max="2" width="25.453125" style="60" customWidth="1"/>
    <col min="3" max="3" width="8.453125" style="60" customWidth="1"/>
    <col min="4" max="4" width="22.7265625" style="60" customWidth="1"/>
    <col min="5" max="5" width="10" style="60" customWidth="1"/>
    <col min="6" max="6" width="10.7265625" style="60" customWidth="1"/>
    <col min="7" max="7" width="10" style="60" customWidth="1"/>
    <col min="8" max="8" width="9.81640625" style="60" customWidth="1"/>
    <col min="9" max="9" width="13.26953125" style="60" customWidth="1"/>
    <col min="10" max="10" width="14.26953125" style="60" customWidth="1"/>
    <col min="11" max="11" width="7.26953125" style="60" customWidth="1"/>
    <col min="12" max="14" width="15.7265625" style="60" customWidth="1"/>
    <col min="15" max="15" width="9.1796875" style="60"/>
    <col min="16" max="16" width="55.26953125" style="180" customWidth="1"/>
    <col min="17" max="19" width="47.54296875" style="60" customWidth="1"/>
    <col min="20" max="16384" width="9.1796875" style="60"/>
  </cols>
  <sheetData>
    <row r="1" spans="1:19" ht="14.5">
      <c r="A1" s="981"/>
      <c r="B1" s="981"/>
      <c r="C1" s="981"/>
      <c r="J1" s="80" t="s">
        <v>111</v>
      </c>
      <c r="K1"/>
      <c r="L1"/>
      <c r="M1"/>
      <c r="N1"/>
      <c r="S1" s="80"/>
    </row>
    <row r="2" spans="1:19" ht="14.5">
      <c r="A2" s="982"/>
      <c r="B2" s="982"/>
      <c r="C2" s="982"/>
      <c r="J2" s="61"/>
      <c r="K2"/>
      <c r="L2"/>
      <c r="M2"/>
      <c r="N2"/>
      <c r="S2" s="61"/>
    </row>
    <row r="3" spans="1:19" ht="15" customHeight="1">
      <c r="A3" s="981"/>
      <c r="B3" s="981"/>
      <c r="C3" s="981"/>
      <c r="G3" s="971" t="str">
        <f>ФОРМА!G2</f>
        <v>Санкт-Петербург</v>
      </c>
      <c r="H3" s="971"/>
      <c r="I3" s="971"/>
      <c r="J3" s="971"/>
      <c r="P3" s="178"/>
      <c r="Q3" s="174"/>
      <c r="R3" s="174"/>
      <c r="S3" s="174"/>
    </row>
    <row r="4" spans="1:19" ht="15" customHeight="1">
      <c r="A4" s="981"/>
      <c r="B4" s="981"/>
      <c r="C4" s="981"/>
      <c r="G4" s="972" t="s">
        <v>0</v>
      </c>
      <c r="H4" s="972"/>
      <c r="I4" s="972"/>
      <c r="J4" s="972"/>
      <c r="P4" s="181"/>
      <c r="Q4" s="79"/>
      <c r="R4" s="79"/>
      <c r="S4" s="79"/>
    </row>
    <row r="5" spans="1:19">
      <c r="A5" s="971" t="str">
        <f>ФОРМА!B4</f>
        <v>ООО «БЭСК»</v>
      </c>
      <c r="B5" s="971"/>
      <c r="C5" s="971"/>
      <c r="G5" s="971" t="str">
        <f>ФОРМА!B2</f>
        <v>ПАО "Россети Ленэнерго"</v>
      </c>
      <c r="H5" s="971"/>
      <c r="I5" s="971"/>
      <c r="J5" s="971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72" t="s">
        <v>44</v>
      </c>
      <c r="B6" s="972"/>
      <c r="C6" s="972"/>
      <c r="G6" s="972" t="s">
        <v>2</v>
      </c>
      <c r="H6" s="972"/>
      <c r="I6" s="972"/>
      <c r="J6" s="972"/>
      <c r="P6" s="181"/>
      <c r="Q6" s="79"/>
      <c r="R6" s="79"/>
      <c r="S6" s="79"/>
    </row>
    <row r="7" spans="1:19" ht="112">
      <c r="A7" s="984"/>
      <c r="B7" s="984"/>
      <c r="C7" s="984"/>
      <c r="G7" s="9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85"/>
      <c r="I7" s="985"/>
      <c r="J7" s="985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72" t="s">
        <v>45</v>
      </c>
      <c r="B8" s="972"/>
      <c r="C8" s="972"/>
      <c r="G8" s="972" t="s">
        <v>38</v>
      </c>
      <c r="H8" s="972"/>
      <c r="I8" s="972"/>
      <c r="J8" s="972"/>
      <c r="P8" s="181"/>
      <c r="Q8" s="79"/>
      <c r="R8" s="79"/>
      <c r="S8" s="79"/>
    </row>
    <row r="9" spans="1:19" ht="15" customHeight="1">
      <c r="A9" s="984"/>
      <c r="B9" s="984"/>
      <c r="C9" s="984"/>
      <c r="G9" s="973">
        <f>ФОРМА!D12</f>
        <v>45320</v>
      </c>
      <c r="H9" s="973"/>
      <c r="I9" s="973"/>
      <c r="J9" s="973"/>
      <c r="P9" s="183"/>
      <c r="Q9" s="177"/>
      <c r="R9" s="177"/>
      <c r="S9" s="177"/>
    </row>
    <row r="10" spans="1:19" ht="15" customHeight="1">
      <c r="A10" s="972" t="s">
        <v>1</v>
      </c>
      <c r="B10" s="972"/>
      <c r="C10" s="972"/>
      <c r="G10" s="972" t="s">
        <v>3</v>
      </c>
      <c r="H10" s="972"/>
      <c r="I10" s="972"/>
      <c r="J10" s="972"/>
      <c r="P10" s="181"/>
      <c r="Q10" s="79"/>
      <c r="R10" s="79"/>
      <c r="S10" s="79"/>
    </row>
    <row r="11" spans="1:19" ht="15" customHeight="1">
      <c r="A11" s="983"/>
      <c r="B11" s="983"/>
      <c r="C11" s="983"/>
      <c r="D11" s="983"/>
      <c r="E11" s="983"/>
      <c r="F11" s="983"/>
      <c r="G11" s="983"/>
      <c r="H11" s="983"/>
      <c r="I11" s="983"/>
      <c r="J11" s="983"/>
    </row>
    <row r="12" spans="1:19" ht="31.9" customHeight="1">
      <c r="A12" s="976" t="s">
        <v>504</v>
      </c>
      <c r="B12" s="976"/>
      <c r="C12" s="976"/>
      <c r="D12" s="976"/>
      <c r="E12" s="976"/>
      <c r="F12" s="976"/>
      <c r="G12" s="976"/>
      <c r="H12" s="976"/>
      <c r="I12" s="976"/>
      <c r="J12" s="976"/>
    </row>
    <row r="13" spans="1:19">
      <c r="A13" s="974"/>
      <c r="B13" s="974"/>
      <c r="C13" s="974"/>
      <c r="D13" s="974"/>
      <c r="E13" s="974"/>
      <c r="F13" s="974"/>
      <c r="G13" s="974"/>
      <c r="H13" s="974"/>
      <c r="I13" s="974"/>
      <c r="J13" s="974"/>
    </row>
    <row r="14" spans="1:19" ht="18" customHeight="1">
      <c r="A14" s="975" t="s">
        <v>110</v>
      </c>
      <c r="B14" s="975" t="s">
        <v>109</v>
      </c>
      <c r="C14" s="975" t="s">
        <v>108</v>
      </c>
      <c r="D14" s="980" t="s">
        <v>107</v>
      </c>
      <c r="E14" s="975" t="s">
        <v>106</v>
      </c>
      <c r="F14" s="975" t="s">
        <v>105</v>
      </c>
      <c r="G14" s="975"/>
      <c r="H14" s="975"/>
      <c r="I14" s="975" t="s">
        <v>104</v>
      </c>
      <c r="J14" s="975" t="s">
        <v>99</v>
      </c>
      <c r="R14" s="173"/>
      <c r="S14" s="173"/>
    </row>
    <row r="15" spans="1:19" ht="21" customHeight="1">
      <c r="A15" s="975"/>
      <c r="B15" s="975"/>
      <c r="C15" s="975"/>
      <c r="D15" s="980"/>
      <c r="E15" s="975"/>
      <c r="F15" s="78" t="s">
        <v>103</v>
      </c>
      <c r="G15" s="78" t="s">
        <v>102</v>
      </c>
      <c r="H15" s="78" t="s">
        <v>101</v>
      </c>
      <c r="I15" s="975"/>
      <c r="J15" s="975"/>
      <c r="P15" s="179"/>
      <c r="Q15" s="173"/>
      <c r="R15" s="173"/>
      <c r="S15" s="173"/>
    </row>
    <row r="16" spans="1:19" ht="28.9" customHeight="1">
      <c r="A16" s="62" t="s">
        <v>954</v>
      </c>
      <c r="B16" s="62" t="s">
        <v>1496</v>
      </c>
      <c r="C16" s="62">
        <v>652</v>
      </c>
      <c r="D16" s="62" t="s">
        <v>955</v>
      </c>
      <c r="E16" s="412" t="s">
        <v>956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 ht="28.9" customHeight="1">
      <c r="A17" s="62" t="s">
        <v>954</v>
      </c>
      <c r="B17" s="62" t="s">
        <v>1496</v>
      </c>
      <c r="C17" s="62">
        <v>652</v>
      </c>
      <c r="D17" s="62" t="s">
        <v>955</v>
      </c>
      <c r="E17" s="412" t="s">
        <v>956</v>
      </c>
      <c r="F17" s="95" t="s">
        <v>333</v>
      </c>
      <c r="G17" s="95" t="s">
        <v>333</v>
      </c>
      <c r="H17" s="95" t="s">
        <v>333</v>
      </c>
      <c r="I17" s="95" t="s">
        <v>334</v>
      </c>
      <c r="J17" s="95" t="s">
        <v>335</v>
      </c>
      <c r="P17" s="179"/>
      <c r="Q17" s="173"/>
      <c r="R17" s="173"/>
      <c r="S17" s="173"/>
    </row>
    <row r="18" spans="1:19">
      <c r="A18" s="977" t="s">
        <v>449</v>
      </c>
      <c r="B18" s="977"/>
      <c r="C18" s="977"/>
      <c r="D18" s="977"/>
      <c r="E18" s="977"/>
      <c r="F18" s="977"/>
      <c r="G18" s="977"/>
      <c r="H18" s="977"/>
      <c r="I18" s="977"/>
      <c r="J18" s="977"/>
    </row>
    <row r="20" spans="1:19" ht="21" customHeight="1">
      <c r="A20" s="978" t="s">
        <v>301</v>
      </c>
      <c r="B20" s="978"/>
      <c r="C20" s="979"/>
      <c r="D20" s="979"/>
      <c r="F20" s="971" t="str">
        <f>ПОДПИСИ!E12</f>
        <v>А.Р. Махмадов</v>
      </c>
      <c r="G20" s="971"/>
      <c r="P20" s="184"/>
    </row>
    <row r="21" spans="1:19">
      <c r="C21" s="970" t="s">
        <v>49</v>
      </c>
      <c r="D21" s="970"/>
      <c r="F21" s="972" t="s">
        <v>50</v>
      </c>
      <c r="G21" s="972"/>
      <c r="R21" s="79"/>
      <c r="S21" s="79"/>
    </row>
    <row r="22" spans="1:19" ht="22.15" customHeight="1">
      <c r="A22" s="978" t="s">
        <v>15</v>
      </c>
      <c r="B22" s="978"/>
      <c r="C22" s="979"/>
      <c r="D22" s="979"/>
      <c r="F22" s="971" t="str">
        <f>ПОДПИСИ!E7</f>
        <v>Д.М. Чечин</v>
      </c>
      <c r="G22" s="971"/>
    </row>
    <row r="23" spans="1:19">
      <c r="C23" s="970" t="s">
        <v>49</v>
      </c>
      <c r="D23" s="970"/>
      <c r="F23" s="972" t="s">
        <v>50</v>
      </c>
      <c r="G23" s="972"/>
    </row>
    <row r="24" spans="1:19" ht="49.5" customHeight="1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0:B20"/>
    <mergeCell ref="A22:B22"/>
    <mergeCell ref="C20:D20"/>
    <mergeCell ref="C22:D22"/>
    <mergeCell ref="A14:A15"/>
    <mergeCell ref="B14:B15"/>
    <mergeCell ref="C14:C15"/>
    <mergeCell ref="D14:D15"/>
    <mergeCell ref="C23:D23"/>
    <mergeCell ref="F22:G22"/>
    <mergeCell ref="F23:G23"/>
    <mergeCell ref="G9:J9"/>
    <mergeCell ref="G8:J8"/>
    <mergeCell ref="F20:G20"/>
    <mergeCell ref="C21:D21"/>
    <mergeCell ref="F21:G21"/>
    <mergeCell ref="A13:J13"/>
    <mergeCell ref="I14:I15"/>
    <mergeCell ref="J14:J15"/>
    <mergeCell ref="F14:H14"/>
    <mergeCell ref="G10:J10"/>
    <mergeCell ref="A10:C10"/>
    <mergeCell ref="A12:J12"/>
    <mergeCell ref="A18:J18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34" zoomScale="60" zoomScaleNormal="100" workbookViewId="0">
      <selection sqref="A1:C1"/>
    </sheetView>
  </sheetViews>
  <sheetFormatPr defaultColWidth="9.1796875" defaultRowHeight="14"/>
  <cols>
    <col min="1" max="1" width="18.7265625" style="63" customWidth="1"/>
    <col min="2" max="2" width="10.7265625" style="63" customWidth="1"/>
    <col min="3" max="3" width="9.1796875" style="63"/>
    <col min="4" max="4" width="8.26953125" style="63" customWidth="1"/>
    <col min="5" max="5" width="5.7265625" style="63" customWidth="1"/>
    <col min="6" max="7" width="9.1796875" style="63"/>
    <col min="8" max="8" width="23.81640625" style="63" customWidth="1"/>
    <col min="9" max="9" width="9.1796875" style="63"/>
    <col min="10" max="12" width="15.7265625" style="63" customWidth="1"/>
    <col min="13" max="16384" width="9.1796875" style="63"/>
  </cols>
  <sheetData>
    <row r="1" spans="1:12" ht="14.5">
      <c r="A1" s="925"/>
      <c r="B1" s="925"/>
      <c r="C1" s="925"/>
      <c r="H1" s="64" t="s">
        <v>126</v>
      </c>
      <c r="I1"/>
      <c r="J1"/>
      <c r="K1"/>
      <c r="L1"/>
    </row>
    <row r="2" spans="1:12" ht="15" customHeight="1">
      <c r="A2" s="925"/>
      <c r="B2" s="925"/>
      <c r="C2" s="925"/>
      <c r="F2" s="951" t="str">
        <f>ФОРМА!G2</f>
        <v>Санкт-Петербург</v>
      </c>
      <c r="G2" s="951"/>
      <c r="H2" s="951"/>
      <c r="I2"/>
      <c r="J2"/>
      <c r="K2"/>
      <c r="L2"/>
    </row>
    <row r="3" spans="1:12" ht="10.9" customHeight="1">
      <c r="A3" s="925"/>
      <c r="B3" s="925"/>
      <c r="C3" s="925"/>
      <c r="F3" s="923" t="s">
        <v>0</v>
      </c>
      <c r="G3" s="923"/>
      <c r="H3" s="923"/>
    </row>
    <row r="4" spans="1:12" ht="15" customHeight="1">
      <c r="A4" s="951" t="str">
        <f>ФОРМА!B4</f>
        <v>ООО «БЭСК»</v>
      </c>
      <c r="B4" s="951"/>
      <c r="C4" s="951"/>
      <c r="F4" s="953" t="str">
        <f>ФОРМА!B2</f>
        <v>ПАО "Россети Ленэнерго"</v>
      </c>
      <c r="G4" s="953"/>
      <c r="H4" s="953"/>
    </row>
    <row r="5" spans="1:12" ht="10.9" customHeight="1">
      <c r="A5" s="923" t="s">
        <v>44</v>
      </c>
      <c r="B5" s="923"/>
      <c r="C5" s="923"/>
      <c r="F5" s="929" t="s">
        <v>2</v>
      </c>
      <c r="G5" s="987"/>
      <c r="H5" s="987"/>
    </row>
    <row r="6" spans="1:12" ht="115.5" customHeight="1">
      <c r="A6" s="922"/>
      <c r="B6" s="922"/>
      <c r="C6" s="922"/>
      <c r="F6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5"/>
      <c r="H6" s="955"/>
    </row>
    <row r="7" spans="1:12" ht="10.9" customHeight="1">
      <c r="A7" s="923" t="s">
        <v>45</v>
      </c>
      <c r="B7" s="923"/>
      <c r="C7" s="923"/>
      <c r="F7" s="919" t="s">
        <v>38</v>
      </c>
      <c r="G7" s="919"/>
      <c r="H7" s="919"/>
    </row>
    <row r="8" spans="1:12" ht="15" customHeight="1">
      <c r="A8" s="922"/>
      <c r="B8" s="922"/>
      <c r="C8" s="922"/>
      <c r="F8" s="956">
        <f>ФОРМА!D13</f>
        <v>45320</v>
      </c>
      <c r="G8" s="953"/>
      <c r="H8" s="953"/>
    </row>
    <row r="9" spans="1:12" ht="10.9" customHeight="1">
      <c r="A9" s="923" t="s">
        <v>1</v>
      </c>
      <c r="B9" s="923"/>
      <c r="C9" s="923"/>
      <c r="F9" s="919" t="s">
        <v>3</v>
      </c>
      <c r="G9" s="919"/>
      <c r="H9" s="919"/>
    </row>
    <row r="11" spans="1:12" ht="29.5" customHeight="1">
      <c r="A11" s="964" t="s">
        <v>505</v>
      </c>
      <c r="B11" s="964"/>
      <c r="C11" s="964"/>
      <c r="D11" s="964"/>
      <c r="E11" s="964"/>
      <c r="F11" s="964"/>
      <c r="G11" s="964"/>
      <c r="H11" s="964"/>
    </row>
    <row r="12" spans="1:12" ht="14.25" customHeight="1"/>
    <row r="13" spans="1:12">
      <c r="A13" s="66" t="s">
        <v>4</v>
      </c>
    </row>
    <row r="14" spans="1:12">
      <c r="A14" s="63" t="s">
        <v>338</v>
      </c>
      <c r="C14" s="89"/>
      <c r="E14" s="89"/>
      <c r="F14" s="89"/>
      <c r="G14" s="89"/>
      <c r="H14" s="89"/>
    </row>
    <row r="15" spans="1:12">
      <c r="A15" s="921" t="str">
        <f>ПОДПИСИ!B7</f>
        <v>Начальник мастерского участка №1 Курортного РЭС ПАО «Россети Ленэнерго» «СЭС»</v>
      </c>
      <c r="B15" s="921"/>
      <c r="C15" s="921"/>
      <c r="D15" s="921"/>
      <c r="E15" s="921"/>
      <c r="F15" s="921"/>
      <c r="G15" s="921"/>
      <c r="H15" s="921"/>
    </row>
    <row r="16" spans="1:12">
      <c r="A16" s="921" t="str">
        <f>ПОДПИСИ!C7</f>
        <v>Чечин Д.М.</v>
      </c>
      <c r="B16" s="921"/>
      <c r="C16" s="921"/>
      <c r="D16" s="921"/>
      <c r="E16" s="921"/>
      <c r="F16" s="921"/>
      <c r="G16" s="921"/>
      <c r="H16" s="921"/>
    </row>
    <row r="17" spans="1:8" ht="10.9" customHeight="1">
      <c r="A17" s="919" t="s">
        <v>303</v>
      </c>
      <c r="B17" s="919"/>
      <c r="C17" s="919"/>
      <c r="D17" s="919"/>
      <c r="E17" s="919"/>
      <c r="F17" s="919"/>
      <c r="G17" s="919"/>
      <c r="H17" s="919"/>
    </row>
    <row r="18" spans="1:8">
      <c r="A18" s="915" t="s">
        <v>302</v>
      </c>
      <c r="B18" s="915"/>
      <c r="C18" s="915"/>
      <c r="D18" s="915"/>
      <c r="E18" s="965"/>
      <c r="F18" s="965"/>
      <c r="G18" s="965"/>
      <c r="H18" s="965"/>
    </row>
    <row r="19" spans="1:8">
      <c r="A19" s="921" t="str">
        <f>ПОДПИСИ!B15</f>
        <v xml:space="preserve">Заместитель генерального директора ООО «БЭСК» </v>
      </c>
      <c r="B19" s="921"/>
      <c r="C19" s="921"/>
      <c r="D19" s="921"/>
      <c r="E19" s="921"/>
      <c r="F19" s="921"/>
      <c r="G19" s="921"/>
      <c r="H19" s="921"/>
    </row>
    <row r="20" spans="1:8">
      <c r="A20" s="966" t="str">
        <f>ПОДПИСИ!C15</f>
        <v>Матвеев А.С.</v>
      </c>
      <c r="B20" s="966"/>
      <c r="C20" s="966"/>
      <c r="D20" s="966"/>
      <c r="E20" s="966"/>
      <c r="F20" s="966"/>
      <c r="G20" s="966"/>
      <c r="H20" s="966"/>
    </row>
    <row r="21" spans="1:8" ht="10.9" customHeight="1">
      <c r="A21" s="919" t="s">
        <v>303</v>
      </c>
      <c r="B21" s="919"/>
      <c r="C21" s="919"/>
      <c r="D21" s="919"/>
      <c r="E21" s="919"/>
      <c r="F21" s="919"/>
      <c r="G21" s="919"/>
      <c r="H21" s="919"/>
    </row>
    <row r="22" spans="1:8">
      <c r="A22" s="915" t="s">
        <v>114</v>
      </c>
      <c r="B22" s="915"/>
      <c r="C22" s="915"/>
      <c r="D22" s="915"/>
      <c r="E22" s="969"/>
      <c r="F22" s="969"/>
      <c r="G22" s="969"/>
      <c r="H22" s="969"/>
    </row>
    <row r="23" spans="1:8">
      <c r="A23" s="921" t="str">
        <f>ПОДПИСИ!B12</f>
        <v xml:space="preserve">Производитель работ ООО«БЭСК» </v>
      </c>
      <c r="B23" s="921"/>
      <c r="C23" s="921"/>
      <c r="D23" s="921"/>
      <c r="E23" s="921"/>
      <c r="F23" s="921"/>
      <c r="G23" s="921"/>
      <c r="H23" s="921"/>
    </row>
    <row r="24" spans="1:8">
      <c r="A24" s="921" t="str">
        <f>ПОДПИСИ!C12</f>
        <v>Махмадов А.Р.</v>
      </c>
      <c r="B24" s="921"/>
      <c r="C24" s="921"/>
      <c r="D24" s="921"/>
      <c r="E24" s="921"/>
      <c r="F24" s="921"/>
      <c r="G24" s="921"/>
      <c r="H24" s="921"/>
    </row>
    <row r="25" spans="1:8" ht="10.9" customHeight="1">
      <c r="A25" s="919" t="s">
        <v>303</v>
      </c>
      <c r="B25" s="919"/>
      <c r="C25" s="919"/>
      <c r="D25" s="919"/>
      <c r="E25" s="919"/>
      <c r="F25" s="919"/>
      <c r="G25" s="919"/>
      <c r="H25" s="919"/>
    </row>
    <row r="26" spans="1:8">
      <c r="A26" s="263" t="s">
        <v>304</v>
      </c>
      <c r="D26" s="951" t="s">
        <v>258</v>
      </c>
      <c r="E26" s="951"/>
      <c r="F26" s="951"/>
      <c r="G26" s="63" t="s">
        <v>305</v>
      </c>
    </row>
    <row r="27" spans="1:8" s="248" customFormat="1" ht="10.9" customHeight="1">
      <c r="D27" s="958" t="s">
        <v>306</v>
      </c>
      <c r="E27" s="958"/>
      <c r="F27" s="958"/>
      <c r="G27" s="250"/>
    </row>
    <row r="28" spans="1:8">
      <c r="A28" s="66" t="s">
        <v>307</v>
      </c>
    </row>
    <row r="29" spans="1:8" ht="3.65" customHeight="1">
      <c r="A29" s="66"/>
    </row>
    <row r="30" spans="1:8">
      <c r="A30" s="63" t="s">
        <v>308</v>
      </c>
      <c r="D30" s="986" t="str">
        <f>CONCATENATE(ФОРМА!B8,", шифр ",ФОРМА!B9)</f>
        <v>ООО «Строительные энергетические технологии», шифр СЭС-23-32939-ЭС-ТКР2</v>
      </c>
      <c r="E30" s="986"/>
      <c r="F30" s="986"/>
      <c r="G30" s="986"/>
      <c r="H30" s="986"/>
    </row>
    <row r="31" spans="1:8" ht="10.9" customHeight="1">
      <c r="D31" s="919" t="s">
        <v>309</v>
      </c>
      <c r="E31" s="919"/>
      <c r="F31" s="919"/>
      <c r="G31" s="919"/>
      <c r="H31" s="919"/>
    </row>
    <row r="32" spans="1:8">
      <c r="A32" s="915" t="s">
        <v>310</v>
      </c>
      <c r="B32" s="915"/>
      <c r="C32" s="915"/>
      <c r="D32" s="915"/>
      <c r="E32" s="915"/>
      <c r="F32" s="915"/>
      <c r="G32" s="67"/>
      <c r="H32" s="63" t="s">
        <v>311</v>
      </c>
    </row>
    <row r="33" spans="1:8" ht="17.25" customHeight="1">
      <c r="A33" s="925" t="s">
        <v>634</v>
      </c>
      <c r="B33" s="925"/>
      <c r="C33" s="925"/>
      <c r="D33" s="925"/>
      <c r="E33" s="925"/>
      <c r="F33" s="925"/>
      <c r="G33" s="925"/>
      <c r="H33" s="925"/>
    </row>
    <row r="34" spans="1:8">
      <c r="A34" s="925" t="s">
        <v>312</v>
      </c>
      <c r="B34" s="925"/>
      <c r="C34" s="925"/>
      <c r="D34" s="925"/>
      <c r="E34" s="925"/>
      <c r="F34" s="925"/>
      <c r="G34" s="925"/>
      <c r="H34" s="925"/>
    </row>
    <row r="35" spans="1:8">
      <c r="A35" s="925" t="s">
        <v>313</v>
      </c>
      <c r="B35" s="925"/>
      <c r="C35" s="925"/>
      <c r="D35" s="925"/>
      <c r="E35" s="925"/>
      <c r="F35" s="925"/>
      <c r="G35" s="925"/>
      <c r="H35" s="925"/>
    </row>
    <row r="36" spans="1:8">
      <c r="A36" s="925" t="s">
        <v>314</v>
      </c>
      <c r="B36" s="925"/>
      <c r="C36" s="925"/>
      <c r="D36" s="925"/>
      <c r="E36" s="925"/>
      <c r="F36" s="925"/>
      <c r="G36" s="925"/>
      <c r="H36" s="925"/>
    </row>
    <row r="37" spans="1:8">
      <c r="A37" s="63" t="s">
        <v>315</v>
      </c>
      <c r="C37" s="73" t="s">
        <v>65</v>
      </c>
      <c r="D37" s="63" t="s">
        <v>316</v>
      </c>
    </row>
    <row r="38" spans="1:8">
      <c r="A38" s="915" t="s">
        <v>317</v>
      </c>
      <c r="B38" s="915"/>
      <c r="C38" s="915"/>
      <c r="D38" s="915"/>
      <c r="E38" s="915"/>
      <c r="F38" s="915"/>
      <c r="G38" s="915"/>
      <c r="H38" s="915"/>
    </row>
    <row r="39" spans="1:8">
      <c r="A39" s="63" t="s">
        <v>318</v>
      </c>
      <c r="E39" s="951" t="s">
        <v>339</v>
      </c>
      <c r="F39" s="951"/>
      <c r="G39" s="951"/>
      <c r="H39" s="951"/>
    </row>
    <row r="40" spans="1:8" ht="10.9" customHeight="1">
      <c r="E40" s="919" t="s">
        <v>319</v>
      </c>
      <c r="F40" s="919"/>
      <c r="G40" s="919"/>
      <c r="H40" s="919"/>
    </row>
    <row r="41" spans="1:8">
      <c r="A41" s="63" t="s">
        <v>320</v>
      </c>
      <c r="E41" s="68"/>
      <c r="F41" s="68"/>
      <c r="G41" s="68"/>
      <c r="H41" s="68"/>
    </row>
    <row r="42" spans="1:8">
      <c r="A42" s="951"/>
      <c r="B42" s="951"/>
      <c r="C42" s="951"/>
      <c r="D42" s="951"/>
      <c r="E42" s="951"/>
      <c r="F42" s="951"/>
      <c r="G42" s="951"/>
      <c r="H42" s="951"/>
    </row>
    <row r="43" spans="1:8" ht="10.9" customHeight="1">
      <c r="A43" s="919" t="s">
        <v>321</v>
      </c>
      <c r="B43" s="919"/>
      <c r="C43" s="919"/>
      <c r="D43" s="919"/>
      <c r="E43" s="919"/>
      <c r="F43" s="919"/>
      <c r="G43" s="919"/>
      <c r="H43" s="919"/>
    </row>
    <row r="44" spans="1:8">
      <c r="A44" s="915" t="s">
        <v>322</v>
      </c>
      <c r="B44" s="915"/>
      <c r="C44" s="915"/>
      <c r="D44" s="915"/>
      <c r="E44" s="915"/>
      <c r="F44" s="915"/>
      <c r="G44" s="915"/>
      <c r="H44" s="915"/>
    </row>
    <row r="45" spans="1:8">
      <c r="A45" s="921"/>
      <c r="B45" s="921"/>
      <c r="C45" s="921"/>
      <c r="D45" s="921"/>
      <c r="E45" s="921"/>
      <c r="F45" s="921"/>
      <c r="G45" s="921"/>
      <c r="H45" s="921"/>
    </row>
    <row r="46" spans="1:8" ht="10.9" customHeight="1">
      <c r="A46" s="919" t="s">
        <v>323</v>
      </c>
      <c r="B46" s="919"/>
      <c r="C46" s="919"/>
      <c r="D46" s="919"/>
      <c r="E46" s="919"/>
      <c r="F46" s="919"/>
      <c r="G46" s="919"/>
      <c r="H46" s="919"/>
    </row>
    <row r="47" spans="1:8">
      <c r="A47" s="915" t="s">
        <v>124</v>
      </c>
      <c r="B47" s="915"/>
      <c r="C47" s="915"/>
      <c r="D47" s="915"/>
      <c r="E47" s="915"/>
      <c r="F47" s="915"/>
      <c r="G47" s="915"/>
      <c r="H47" s="915"/>
    </row>
    <row r="48" spans="1:8">
      <c r="A48" s="70" t="s">
        <v>324</v>
      </c>
      <c r="B48" s="70"/>
      <c r="C48" s="70"/>
      <c r="D48" s="70"/>
      <c r="E48" s="949"/>
      <c r="F48" s="949"/>
      <c r="G48" s="949"/>
      <c r="H48" s="949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52" t="s">
        <v>325</v>
      </c>
      <c r="B50" s="952"/>
      <c r="C50" s="952"/>
      <c r="D50" s="952"/>
      <c r="E50" s="952"/>
      <c r="F50" s="952"/>
      <c r="G50" s="952"/>
      <c r="H50" s="952"/>
    </row>
    <row r="51" spans="1:8" ht="5.5" customHeight="1"/>
    <row r="52" spans="1:8" ht="28.9" customHeight="1">
      <c r="A52" s="920" t="s">
        <v>501</v>
      </c>
      <c r="B52" s="920"/>
      <c r="D52" s="949"/>
      <c r="E52" s="949"/>
      <c r="F52" s="949"/>
      <c r="H52" s="445" t="str">
        <f>ПОДПИСИ!E7</f>
        <v>Д.М. Чечин</v>
      </c>
    </row>
    <row r="53" spans="1:8" ht="12" customHeight="1">
      <c r="A53" s="70"/>
      <c r="B53" s="70"/>
      <c r="D53" s="957" t="s">
        <v>49</v>
      </c>
      <c r="E53" s="957"/>
      <c r="F53" s="957"/>
      <c r="H53" s="452" t="s">
        <v>50</v>
      </c>
    </row>
    <row r="54" spans="1:8" ht="28.15" customHeight="1">
      <c r="A54" s="920" t="s">
        <v>15</v>
      </c>
      <c r="B54" s="920"/>
      <c r="D54" s="949"/>
      <c r="E54" s="949"/>
      <c r="F54" s="949"/>
      <c r="H54" s="445" t="str">
        <f>ПОДПИСИ!E15</f>
        <v>А.С. Матвеев</v>
      </c>
    </row>
    <row r="55" spans="1:8" ht="9.75" customHeight="1">
      <c r="D55" s="957" t="s">
        <v>49</v>
      </c>
      <c r="E55" s="957"/>
      <c r="F55" s="957"/>
      <c r="H55" s="452" t="s">
        <v>50</v>
      </c>
    </row>
    <row r="56" spans="1:8" ht="28.9" customHeight="1">
      <c r="A56" s="920" t="s">
        <v>477</v>
      </c>
      <c r="B56" s="920"/>
      <c r="C56" s="123"/>
      <c r="D56" s="949"/>
      <c r="E56" s="949"/>
      <c r="F56" s="949"/>
      <c r="H56" s="445" t="str">
        <f>ПОДПИСИ!E12</f>
        <v>А.Р. Махмадов</v>
      </c>
    </row>
    <row r="57" spans="1:8" ht="12.75" customHeight="1">
      <c r="D57" s="957" t="s">
        <v>49</v>
      </c>
      <c r="E57" s="957"/>
      <c r="F57" s="957"/>
      <c r="H57" s="68" t="s">
        <v>50</v>
      </c>
    </row>
    <row r="58" spans="1:8" hidden="1">
      <c r="A58" s="920" t="s">
        <v>253</v>
      </c>
      <c r="B58" s="920"/>
      <c r="C58" s="920"/>
      <c r="D58" s="949"/>
      <c r="E58" s="949"/>
      <c r="F58" s="949"/>
      <c r="H58" s="77" t="s">
        <v>337</v>
      </c>
    </row>
    <row r="59" spans="1:8" hidden="1">
      <c r="D59" s="957" t="s">
        <v>49</v>
      </c>
      <c r="E59" s="957"/>
      <c r="F59" s="957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V38"/>
  <sheetViews>
    <sheetView view="pageBreakPreview" zoomScale="60" zoomScaleNormal="100" workbookViewId="0">
      <selection activeCell="G26" sqref="G26"/>
    </sheetView>
  </sheetViews>
  <sheetFormatPr defaultColWidth="9.1796875" defaultRowHeight="14"/>
  <cols>
    <col min="1" max="1" width="11" style="63" customWidth="1"/>
    <col min="2" max="2" width="32.1796875" style="63" customWidth="1"/>
    <col min="3" max="3" width="23.1796875" style="63" customWidth="1"/>
    <col min="4" max="4" width="11.26953125" style="63" customWidth="1"/>
    <col min="5" max="5" width="20.1796875" style="63" customWidth="1"/>
    <col min="6" max="6" width="16.81640625" style="63" customWidth="1"/>
    <col min="7" max="7" width="17.1796875" style="63" customWidth="1"/>
    <col min="8" max="8" width="17.54296875" style="63" customWidth="1"/>
    <col min="9" max="9" width="21.1796875" style="63" customWidth="1"/>
    <col min="10" max="10" width="9.1796875" style="63"/>
    <col min="11" max="13" width="15.7265625" style="63" customWidth="1"/>
    <col min="14" max="14" width="9.1796875" style="63"/>
    <col min="15" max="15" width="59.453125" style="123" customWidth="1"/>
    <col min="16" max="16384" width="9.1796875" style="63"/>
  </cols>
  <sheetData>
    <row r="1" spans="1:22" ht="14.5">
      <c r="A1" s="925"/>
      <c r="B1" s="925"/>
      <c r="I1" s="90" t="s">
        <v>132</v>
      </c>
      <c r="J1"/>
      <c r="K1"/>
      <c r="L1"/>
      <c r="M1"/>
    </row>
    <row r="2" spans="1:22" ht="15" customHeight="1">
      <c r="A2" s="925"/>
      <c r="B2" s="925"/>
      <c r="F2" s="86"/>
      <c r="G2" s="951" t="str">
        <f>ФОРМА!G2</f>
        <v>Санкт-Петербург</v>
      </c>
      <c r="H2" s="951"/>
      <c r="I2" s="951"/>
      <c r="J2"/>
      <c r="K2"/>
      <c r="L2"/>
      <c r="M2"/>
    </row>
    <row r="3" spans="1:22" s="112" customFormat="1" ht="10.5">
      <c r="A3" s="988"/>
      <c r="B3" s="988"/>
      <c r="F3" s="85"/>
      <c r="G3" s="919" t="s">
        <v>0</v>
      </c>
      <c r="H3" s="919"/>
      <c r="I3" s="919"/>
      <c r="O3" s="247"/>
    </row>
    <row r="4" spans="1:22" ht="15" customHeight="1">
      <c r="A4" s="951" t="str">
        <f>ФОРМА!B4</f>
        <v>ООО «БЭСК»</v>
      </c>
      <c r="B4" s="951"/>
      <c r="F4" s="87"/>
      <c r="G4" s="951" t="str">
        <f>ФОРМА!B2</f>
        <v>ПАО "Россети Ленэнерго"</v>
      </c>
      <c r="H4" s="951"/>
      <c r="I4" s="951"/>
      <c r="O4" s="123" t="str">
        <f>G4</f>
        <v>ПАО "Россети Ленэнерго"</v>
      </c>
    </row>
    <row r="5" spans="1:22" ht="15" customHeight="1">
      <c r="A5" s="919" t="s">
        <v>44</v>
      </c>
      <c r="B5" s="919"/>
      <c r="F5" s="84"/>
      <c r="G5" s="919" t="s">
        <v>2</v>
      </c>
      <c r="H5" s="919"/>
      <c r="I5" s="919"/>
    </row>
    <row r="6" spans="1:22" ht="119.5" customHeight="1">
      <c r="A6" s="951"/>
      <c r="B6" s="951"/>
      <c r="F6" s="88"/>
      <c r="G6" s="9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28"/>
      <c r="I6" s="928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22" ht="15" customHeight="1">
      <c r="A7" s="919" t="s">
        <v>45</v>
      </c>
      <c r="B7" s="919"/>
      <c r="F7" s="85"/>
      <c r="G7" s="919" t="s">
        <v>38</v>
      </c>
      <c r="H7" s="919"/>
      <c r="I7" s="919"/>
    </row>
    <row r="8" spans="1:22" ht="15" customHeight="1">
      <c r="A8" s="951"/>
      <c r="B8" s="951"/>
      <c r="F8" s="87"/>
      <c r="G8" s="916">
        <f>ФОРМА!D12</f>
        <v>45320</v>
      </c>
      <c r="H8" s="951"/>
      <c r="I8" s="951"/>
    </row>
    <row r="9" spans="1:22" ht="15" customHeight="1">
      <c r="A9" s="919" t="s">
        <v>1</v>
      </c>
      <c r="B9" s="919"/>
      <c r="F9" s="82"/>
      <c r="G9" s="919" t="s">
        <v>3</v>
      </c>
      <c r="H9" s="919"/>
      <c r="I9" s="919"/>
    </row>
    <row r="10" spans="1:22" ht="15" customHeight="1">
      <c r="A10" s="72"/>
      <c r="B10" s="72"/>
      <c r="F10" s="82"/>
      <c r="G10" s="82"/>
      <c r="H10" s="83"/>
    </row>
    <row r="11" spans="1:22" ht="15" customHeight="1">
      <c r="A11" s="931" t="s">
        <v>327</v>
      </c>
      <c r="B11" s="931"/>
      <c r="C11" s="931"/>
      <c r="D11" s="931"/>
      <c r="E11" s="931"/>
      <c r="F11" s="931"/>
      <c r="G11" s="931"/>
      <c r="H11" s="931"/>
      <c r="I11" s="931"/>
    </row>
    <row r="12" spans="1:22" ht="15" customHeight="1">
      <c r="A12" s="72"/>
      <c r="B12" s="72"/>
    </row>
    <row r="13" spans="1:22" ht="42" customHeight="1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22" ht="39">
      <c r="A14" s="405">
        <v>45320</v>
      </c>
      <c r="B14" s="406" t="str">
        <f>M14</f>
        <v>КЛ-0,4 кВ к КК №1 от КТП-2</v>
      </c>
      <c r="C14" s="100" t="s">
        <v>1496</v>
      </c>
      <c r="D14" s="407">
        <v>132.47</v>
      </c>
      <c r="E14" s="408" t="s">
        <v>952</v>
      </c>
      <c r="F14" s="409" t="s">
        <v>65</v>
      </c>
      <c r="G14" s="410" t="s">
        <v>1719</v>
      </c>
      <c r="H14" s="100" t="s">
        <v>331</v>
      </c>
      <c r="I14" s="100" t="str">
        <f>$C$31</f>
        <v>А.Р. Махмадов</v>
      </c>
      <c r="M14" s="881" t="s">
        <v>1711</v>
      </c>
      <c r="N14" s="882"/>
      <c r="O14" s="882"/>
      <c r="P14" s="882"/>
      <c r="Q14" s="882"/>
      <c r="R14" s="882"/>
      <c r="S14" s="882"/>
      <c r="T14" s="882"/>
      <c r="U14" s="882"/>
      <c r="V14" s="883"/>
    </row>
    <row r="15" spans="1:22" ht="39">
      <c r="A15" s="405">
        <v>45320</v>
      </c>
      <c r="B15" s="406" t="str">
        <f>M14</f>
        <v>КЛ-0,4 кВ к КК №1 от КТП-2</v>
      </c>
      <c r="C15" s="100" t="s">
        <v>1496</v>
      </c>
      <c r="D15" s="407">
        <v>132.47</v>
      </c>
      <c r="E15" s="408" t="s">
        <v>952</v>
      </c>
      <c r="F15" s="409" t="s">
        <v>65</v>
      </c>
      <c r="G15" s="410" t="s">
        <v>1719</v>
      </c>
      <c r="H15" s="100" t="s">
        <v>331</v>
      </c>
      <c r="I15" s="100" t="str">
        <f>$C$31</f>
        <v>А.Р. Махмадов</v>
      </c>
      <c r="M15" s="881" t="s">
        <v>1712</v>
      </c>
      <c r="N15" s="882" t="s">
        <v>1501</v>
      </c>
      <c r="O15" s="882"/>
      <c r="P15" s="882"/>
      <c r="Q15" s="882"/>
      <c r="R15" s="882"/>
      <c r="S15" s="882"/>
      <c r="T15" s="882"/>
      <c r="U15" s="882"/>
      <c r="V15" s="883"/>
    </row>
    <row r="16" spans="1:22" ht="39">
      <c r="A16" s="405">
        <v>45320</v>
      </c>
      <c r="B16" s="406" t="str">
        <f>M15</f>
        <v>КЛ-0,4 кВ к КК №2 от КТП-2</v>
      </c>
      <c r="C16" s="100" t="s">
        <v>1496</v>
      </c>
      <c r="D16" s="407">
        <v>132.47</v>
      </c>
      <c r="E16" s="408" t="s">
        <v>952</v>
      </c>
      <c r="F16" s="409" t="s">
        <v>65</v>
      </c>
      <c r="G16" s="410" t="s">
        <v>1721</v>
      </c>
      <c r="H16" s="100" t="s">
        <v>331</v>
      </c>
      <c r="I16" s="100" t="str">
        <f>$C$31</f>
        <v>А.Р. Махмадов</v>
      </c>
      <c r="M16" s="881" t="s">
        <v>1713</v>
      </c>
      <c r="N16" s="882"/>
      <c r="O16" s="882"/>
      <c r="P16" s="882"/>
      <c r="Q16" s="882"/>
      <c r="R16" s="882"/>
      <c r="S16" s="882"/>
      <c r="T16" s="882"/>
      <c r="U16" s="882"/>
      <c r="V16" s="883"/>
    </row>
    <row r="17" spans="1:22" ht="39">
      <c r="A17" s="405">
        <v>45320</v>
      </c>
      <c r="B17" s="406" t="str">
        <f>M15</f>
        <v>КЛ-0,4 кВ к КК №2 от КТП-2</v>
      </c>
      <c r="C17" s="100" t="s">
        <v>1496</v>
      </c>
      <c r="D17" s="407">
        <v>132.47</v>
      </c>
      <c r="E17" s="408" t="s">
        <v>952</v>
      </c>
      <c r="F17" s="409" t="s">
        <v>65</v>
      </c>
      <c r="G17" s="410" t="s">
        <v>1721</v>
      </c>
      <c r="H17" s="100" t="s">
        <v>331</v>
      </c>
      <c r="I17" s="100" t="str">
        <f>$C$31</f>
        <v>А.Р. Махмадов</v>
      </c>
      <c r="M17" s="881" t="s">
        <v>1714</v>
      </c>
      <c r="N17" s="882"/>
      <c r="O17" s="882"/>
      <c r="P17" s="882"/>
      <c r="Q17" s="882"/>
      <c r="R17" s="882"/>
      <c r="S17" s="882"/>
      <c r="T17" s="882"/>
      <c r="U17" s="882"/>
      <c r="V17" s="883"/>
    </row>
    <row r="18" spans="1:22" ht="39">
      <c r="A18" s="405">
        <v>45320</v>
      </c>
      <c r="B18" s="406" t="str">
        <f>M16</f>
        <v>КЛ-0,4 кВ к КК №3 от КТП-2</v>
      </c>
      <c r="C18" s="100" t="s">
        <v>1496</v>
      </c>
      <c r="D18" s="407">
        <v>132.47</v>
      </c>
      <c r="E18" s="408" t="s">
        <v>952</v>
      </c>
      <c r="F18" s="409" t="s">
        <v>65</v>
      </c>
      <c r="G18" s="410" t="s">
        <v>1719</v>
      </c>
      <c r="H18" s="100" t="s">
        <v>331</v>
      </c>
      <c r="I18" s="100" t="str">
        <f>$C$31</f>
        <v>А.Р. Махмадов</v>
      </c>
      <c r="M18" s="881" t="s">
        <v>1715</v>
      </c>
      <c r="N18" s="882"/>
      <c r="O18" s="882"/>
      <c r="P18" s="882"/>
      <c r="Q18" s="882"/>
      <c r="R18" s="882"/>
      <c r="S18" s="882"/>
      <c r="T18" s="882"/>
      <c r="U18" s="882"/>
      <c r="V18" s="883"/>
    </row>
    <row r="19" spans="1:22" ht="39">
      <c r="A19" s="405">
        <v>45320</v>
      </c>
      <c r="B19" s="406" t="str">
        <f>M16</f>
        <v>КЛ-0,4 кВ к КК №3 от КТП-2</v>
      </c>
      <c r="C19" s="100" t="s">
        <v>1496</v>
      </c>
      <c r="D19" s="407">
        <v>132.47</v>
      </c>
      <c r="E19" s="408" t="s">
        <v>952</v>
      </c>
      <c r="F19" s="409" t="s">
        <v>65</v>
      </c>
      <c r="G19" s="410" t="s">
        <v>1719</v>
      </c>
      <c r="H19" s="100" t="s">
        <v>331</v>
      </c>
      <c r="I19" s="100" t="str">
        <f>$C$31</f>
        <v>А.Р. Махмадов</v>
      </c>
      <c r="M19" s="881" t="s">
        <v>1716</v>
      </c>
      <c r="N19" s="882"/>
      <c r="O19" s="882"/>
      <c r="P19" s="882"/>
      <c r="Q19" s="882"/>
      <c r="R19" s="882"/>
      <c r="S19" s="882"/>
      <c r="T19" s="882"/>
      <c r="U19" s="882"/>
      <c r="V19" s="883"/>
    </row>
    <row r="20" spans="1:22" ht="39">
      <c r="A20" s="405">
        <v>45320</v>
      </c>
      <c r="B20" s="406" t="str">
        <f>M17</f>
        <v>КЛ-0,4 кВ к КК №4 от КТП-2</v>
      </c>
      <c r="C20" s="100" t="s">
        <v>1496</v>
      </c>
      <c r="D20" s="407">
        <v>132.47</v>
      </c>
      <c r="E20" s="408" t="s">
        <v>952</v>
      </c>
      <c r="F20" s="409" t="s">
        <v>65</v>
      </c>
      <c r="G20" s="410" t="s">
        <v>1724</v>
      </c>
      <c r="H20" s="100" t="s">
        <v>331</v>
      </c>
      <c r="I20" s="100" t="str">
        <f>$C$31</f>
        <v>А.Р. Махмадов</v>
      </c>
      <c r="M20" s="881" t="s">
        <v>1717</v>
      </c>
      <c r="N20" s="882"/>
      <c r="O20" s="882"/>
      <c r="P20" s="882"/>
      <c r="Q20" s="882"/>
      <c r="R20" s="882"/>
      <c r="S20" s="882"/>
      <c r="T20" s="882"/>
      <c r="U20" s="882"/>
      <c r="V20" s="883"/>
    </row>
    <row r="21" spans="1:22" ht="39">
      <c r="A21" s="405">
        <v>45320</v>
      </c>
      <c r="B21" s="406" t="str">
        <f>M17</f>
        <v>КЛ-0,4 кВ к КК №4 от КТП-2</v>
      </c>
      <c r="C21" s="100" t="s">
        <v>1496</v>
      </c>
      <c r="D21" s="407">
        <v>132.47</v>
      </c>
      <c r="E21" s="408" t="s">
        <v>952</v>
      </c>
      <c r="F21" s="409" t="s">
        <v>65</v>
      </c>
      <c r="G21" s="410" t="s">
        <v>1724</v>
      </c>
      <c r="H21" s="100" t="s">
        <v>331</v>
      </c>
      <c r="I21" s="100" t="str">
        <f>$C$31</f>
        <v>А.Р. Махмадов</v>
      </c>
      <c r="M21" s="881" t="s">
        <v>1718</v>
      </c>
      <c r="N21" s="882"/>
      <c r="O21" s="882"/>
      <c r="P21" s="882"/>
      <c r="Q21" s="882"/>
      <c r="R21" s="882"/>
      <c r="S21" s="882"/>
      <c r="T21" s="882"/>
      <c r="U21" s="882"/>
      <c r="V21" s="883"/>
    </row>
    <row r="22" spans="1:22" ht="39">
      <c r="A22" s="405">
        <v>45320</v>
      </c>
      <c r="B22" s="406" t="str">
        <f>M18</f>
        <v>КЛ-0,4 кВ к КК №5 от КТП-1</v>
      </c>
      <c r="C22" s="100" t="s">
        <v>1496</v>
      </c>
      <c r="D22" s="407">
        <v>132.47</v>
      </c>
      <c r="E22" s="408" t="s">
        <v>952</v>
      </c>
      <c r="F22" s="409" t="s">
        <v>65</v>
      </c>
      <c r="G22" s="410" t="s">
        <v>1723</v>
      </c>
      <c r="H22" s="100" t="s">
        <v>331</v>
      </c>
      <c r="I22" s="100" t="str">
        <f>$C$31</f>
        <v>А.Р. Махмадов</v>
      </c>
      <c r="M22" s="881" t="s">
        <v>1718</v>
      </c>
      <c r="N22" s="882"/>
      <c r="O22" s="882"/>
      <c r="P22" s="882"/>
      <c r="Q22" s="882"/>
      <c r="R22" s="882"/>
      <c r="S22" s="882"/>
      <c r="T22" s="882"/>
      <c r="U22" s="882"/>
      <c r="V22" s="883"/>
    </row>
    <row r="23" spans="1:22" ht="39">
      <c r="A23" s="405">
        <v>45320</v>
      </c>
      <c r="B23" s="406" t="str">
        <f>M18</f>
        <v>КЛ-0,4 кВ к КК №5 от КТП-1</v>
      </c>
      <c r="C23" s="100" t="s">
        <v>1496</v>
      </c>
      <c r="D23" s="407">
        <v>132.47</v>
      </c>
      <c r="E23" s="408" t="s">
        <v>952</v>
      </c>
      <c r="F23" s="409" t="s">
        <v>65</v>
      </c>
      <c r="G23" s="410" t="s">
        <v>1723</v>
      </c>
      <c r="H23" s="100" t="s">
        <v>331</v>
      </c>
      <c r="I23" s="100" t="str">
        <f>$C$31</f>
        <v>А.Р. Махмадов</v>
      </c>
      <c r="M23" s="881" t="s">
        <v>1718</v>
      </c>
      <c r="N23" s="882"/>
      <c r="O23" s="882"/>
      <c r="P23" s="882"/>
      <c r="Q23" s="882"/>
      <c r="R23" s="882"/>
      <c r="S23" s="882"/>
      <c r="T23" s="882"/>
      <c r="U23" s="882"/>
      <c r="V23" s="883"/>
    </row>
    <row r="24" spans="1:22" ht="39">
      <c r="A24" s="405">
        <v>45320</v>
      </c>
      <c r="B24" s="406" t="str">
        <f>M19</f>
        <v>КЛ-0,4 кВ к КК №6 от КТП-1</v>
      </c>
      <c r="C24" s="100" t="s">
        <v>1496</v>
      </c>
      <c r="D24" s="407">
        <v>132.47</v>
      </c>
      <c r="E24" s="408" t="s">
        <v>952</v>
      </c>
      <c r="F24" s="409" t="s">
        <v>65</v>
      </c>
      <c r="G24" s="410" t="s">
        <v>1722</v>
      </c>
      <c r="H24" s="100" t="s">
        <v>331</v>
      </c>
      <c r="I24" s="100" t="str">
        <f>$C$31</f>
        <v>А.Р. Махмадов</v>
      </c>
      <c r="M24" s="881" t="s">
        <v>1718</v>
      </c>
      <c r="N24" s="882"/>
      <c r="O24" s="882"/>
      <c r="P24" s="882"/>
      <c r="Q24" s="882"/>
      <c r="R24" s="882"/>
      <c r="S24" s="882"/>
      <c r="T24" s="882"/>
      <c r="U24" s="882"/>
      <c r="V24" s="883"/>
    </row>
    <row r="25" spans="1:22" ht="39">
      <c r="A25" s="405">
        <v>45320</v>
      </c>
      <c r="B25" s="406" t="str">
        <f>M19</f>
        <v>КЛ-0,4 кВ к КК №6 от КТП-1</v>
      </c>
      <c r="C25" s="100" t="s">
        <v>1496</v>
      </c>
      <c r="D25" s="407">
        <v>132.47</v>
      </c>
      <c r="E25" s="408" t="s">
        <v>952</v>
      </c>
      <c r="F25" s="409" t="s">
        <v>1707</v>
      </c>
      <c r="G25" s="410" t="s">
        <v>1722</v>
      </c>
      <c r="H25" s="100" t="s">
        <v>331</v>
      </c>
      <c r="I25" s="100" t="str">
        <f>$C$31</f>
        <v>А.Р. Махмадов</v>
      </c>
      <c r="M25" s="881" t="s">
        <v>1718</v>
      </c>
      <c r="N25" s="882"/>
      <c r="O25" s="882"/>
      <c r="P25" s="882"/>
      <c r="Q25" s="882"/>
      <c r="R25" s="882"/>
      <c r="S25" s="882"/>
      <c r="T25" s="882"/>
      <c r="U25" s="882"/>
      <c r="V25" s="883"/>
    </row>
    <row r="26" spans="1:22" ht="39">
      <c r="A26" s="405">
        <v>45320</v>
      </c>
      <c r="B26" s="406" t="str">
        <f>M20</f>
        <v>КЛ-0,4 кВ к КК №7 от КТП-1</v>
      </c>
      <c r="C26" s="100" t="s">
        <v>1496</v>
      </c>
      <c r="D26" s="407">
        <v>132.47</v>
      </c>
      <c r="E26" s="408" t="s">
        <v>952</v>
      </c>
      <c r="F26" s="409" t="s">
        <v>65</v>
      </c>
      <c r="G26" s="410" t="s">
        <v>1719</v>
      </c>
      <c r="H26" s="100" t="s">
        <v>331</v>
      </c>
      <c r="I26" s="100" t="str">
        <f>$C$31</f>
        <v>А.Р. Махмадов</v>
      </c>
      <c r="M26" s="881" t="s">
        <v>1718</v>
      </c>
      <c r="N26" s="882"/>
      <c r="O26" s="882"/>
      <c r="P26" s="882"/>
      <c r="Q26" s="882"/>
      <c r="R26" s="882"/>
      <c r="S26" s="882"/>
      <c r="T26" s="882"/>
      <c r="U26" s="882"/>
      <c r="V26" s="883"/>
    </row>
    <row r="27" spans="1:22" ht="39">
      <c r="A27" s="405">
        <v>45320</v>
      </c>
      <c r="B27" s="406" t="str">
        <f>M20</f>
        <v>КЛ-0,4 кВ к КК №7 от КТП-1</v>
      </c>
      <c r="C27" s="100" t="s">
        <v>1496</v>
      </c>
      <c r="D27" s="407">
        <v>132.47</v>
      </c>
      <c r="E27" s="408" t="s">
        <v>952</v>
      </c>
      <c r="F27" s="409" t="s">
        <v>65</v>
      </c>
      <c r="G27" s="410" t="s">
        <v>1720</v>
      </c>
      <c r="H27" s="100" t="s">
        <v>331</v>
      </c>
      <c r="I27" s="100" t="str">
        <f>$C$31</f>
        <v>А.Р. Махмадов</v>
      </c>
      <c r="M27" s="881" t="s">
        <v>1718</v>
      </c>
      <c r="N27" s="882"/>
      <c r="O27" s="882"/>
      <c r="P27" s="882"/>
      <c r="Q27" s="882"/>
      <c r="R27" s="882"/>
      <c r="S27" s="882"/>
      <c r="T27" s="882"/>
      <c r="U27" s="882"/>
      <c r="V27" s="883"/>
    </row>
    <row r="28" spans="1:22" ht="39">
      <c r="A28" s="405">
        <v>45320</v>
      </c>
      <c r="B28" s="406" t="str">
        <f>M21</f>
        <v>КЛ-0,4 кВ к КК №8 от КТП-1</v>
      </c>
      <c r="C28" s="100" t="s">
        <v>1496</v>
      </c>
      <c r="D28" s="407">
        <v>132.47</v>
      </c>
      <c r="E28" s="408" t="s">
        <v>952</v>
      </c>
      <c r="F28" s="409" t="s">
        <v>65</v>
      </c>
      <c r="G28" s="410" t="s">
        <v>1722</v>
      </c>
      <c r="H28" s="100" t="s">
        <v>331</v>
      </c>
      <c r="I28" s="100" t="str">
        <f>$C$31</f>
        <v>А.Р. Махмадов</v>
      </c>
      <c r="M28" s="881" t="s">
        <v>1718</v>
      </c>
      <c r="N28" s="882"/>
      <c r="O28" s="882"/>
      <c r="P28" s="882"/>
      <c r="Q28" s="882"/>
      <c r="R28" s="882"/>
      <c r="S28" s="882"/>
      <c r="T28" s="882"/>
      <c r="U28" s="882"/>
      <c r="V28" s="883"/>
    </row>
    <row r="29" spans="1:22" ht="39">
      <c r="A29" s="405">
        <v>45320</v>
      </c>
      <c r="B29" s="406" t="str">
        <f>M22</f>
        <v>КЛ-0,4 кВ к КК №8 от КТП-1</v>
      </c>
      <c r="C29" s="100" t="s">
        <v>1496</v>
      </c>
      <c r="D29" s="407">
        <v>132.47</v>
      </c>
      <c r="E29" s="408" t="s">
        <v>952</v>
      </c>
      <c r="F29" s="409" t="s">
        <v>65</v>
      </c>
      <c r="G29" s="410" t="s">
        <v>1719</v>
      </c>
      <c r="H29" s="100" t="s">
        <v>331</v>
      </c>
      <c r="I29" s="100" t="str">
        <f>$C$31</f>
        <v>А.Р. Махмадов</v>
      </c>
      <c r="M29" s="881" t="s">
        <v>1718</v>
      </c>
      <c r="N29" s="882"/>
      <c r="O29" s="882"/>
      <c r="P29" s="882"/>
      <c r="Q29" s="882"/>
      <c r="R29" s="882"/>
      <c r="S29" s="882"/>
      <c r="T29" s="882"/>
      <c r="U29" s="882"/>
      <c r="V29" s="883"/>
    </row>
    <row r="31" spans="1:22">
      <c r="A31" s="89" t="s">
        <v>137</v>
      </c>
      <c r="B31" s="89"/>
      <c r="C31" s="73" t="str">
        <f>ПОДПИСИ!E12</f>
        <v>А.Р. Махмадов</v>
      </c>
    </row>
    <row r="32" spans="1:22" ht="10.5" customHeight="1">
      <c r="A32" s="69"/>
      <c r="B32" s="69" t="s">
        <v>1053</v>
      </c>
      <c r="C32" s="68" t="s">
        <v>50</v>
      </c>
    </row>
    <row r="38" ht="49.5" customHeight="1"/>
  </sheetData>
  <mergeCells count="34">
    <mergeCell ref="M26:V26"/>
    <mergeCell ref="M27:V27"/>
    <mergeCell ref="M28:V28"/>
    <mergeCell ref="M29:V29"/>
    <mergeCell ref="M21:V21"/>
    <mergeCell ref="M22:V22"/>
    <mergeCell ref="M23:V23"/>
    <mergeCell ref="M24:V24"/>
    <mergeCell ref="M25:V25"/>
    <mergeCell ref="M16:V16"/>
    <mergeCell ref="M17:V17"/>
    <mergeCell ref="M18:V18"/>
    <mergeCell ref="M19:V19"/>
    <mergeCell ref="M20:V20"/>
    <mergeCell ref="A1:B1"/>
    <mergeCell ref="A2:B2"/>
    <mergeCell ref="A3:B3"/>
    <mergeCell ref="M14:V14"/>
    <mergeCell ref="M15:V15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2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5"/>
  <sheetViews>
    <sheetView view="pageBreakPreview" topLeftCell="A16" zoomScale="60" zoomScaleNormal="100" workbookViewId="0">
      <selection activeCell="G26" sqref="G26"/>
    </sheetView>
  </sheetViews>
  <sheetFormatPr defaultColWidth="9.1796875" defaultRowHeight="14"/>
  <cols>
    <col min="1" max="1" width="12" style="63" customWidth="1"/>
    <col min="2" max="2" width="8" style="63" customWidth="1"/>
    <col min="3" max="3" width="13.81640625" style="63" customWidth="1"/>
    <col min="4" max="4" width="7" style="63" customWidth="1"/>
    <col min="5" max="5" width="14.26953125" style="63" customWidth="1"/>
    <col min="6" max="6" width="24.54296875" style="63" customWidth="1"/>
    <col min="7" max="7" width="14.26953125" style="63" customWidth="1"/>
    <col min="8" max="8" width="16.453125" style="63" customWidth="1"/>
    <col min="9" max="9" width="9.1796875" style="63"/>
    <col min="10" max="12" width="15.7265625" style="63" customWidth="1"/>
    <col min="13" max="13" width="9.1796875" style="63"/>
    <col min="14" max="14" width="54" style="241" customWidth="1"/>
    <col min="15" max="16384" width="9.1796875" style="63"/>
  </cols>
  <sheetData>
    <row r="1" spans="1:14" ht="14.5">
      <c r="A1" s="925"/>
      <c r="B1" s="925"/>
      <c r="C1" s="925"/>
      <c r="D1" s="925"/>
      <c r="H1" s="64" t="s">
        <v>138</v>
      </c>
      <c r="I1"/>
      <c r="J1"/>
      <c r="K1"/>
      <c r="L1"/>
    </row>
    <row r="2" spans="1:14" ht="14.5">
      <c r="A2" s="925"/>
      <c r="B2" s="925"/>
      <c r="C2" s="925"/>
      <c r="D2" s="925"/>
      <c r="F2" s="917"/>
      <c r="G2" s="917"/>
      <c r="H2" s="917"/>
      <c r="I2"/>
      <c r="J2"/>
      <c r="K2"/>
      <c r="L2"/>
    </row>
    <row r="3" spans="1:14" ht="15" customHeight="1">
      <c r="A3" s="925"/>
      <c r="B3" s="925"/>
      <c r="C3" s="925"/>
      <c r="D3" s="925"/>
      <c r="F3" s="951" t="str">
        <f>ФОРМА!G2</f>
        <v>Санкт-Петербург</v>
      </c>
      <c r="G3" s="951"/>
      <c r="H3" s="951"/>
    </row>
    <row r="4" spans="1:14" ht="15" customHeight="1">
      <c r="A4" s="925"/>
      <c r="B4" s="925"/>
      <c r="C4" s="925"/>
      <c r="D4" s="925"/>
      <c r="F4" s="923" t="s">
        <v>0</v>
      </c>
      <c r="G4" s="923"/>
      <c r="H4" s="923"/>
    </row>
    <row r="5" spans="1:14" ht="15" customHeight="1">
      <c r="A5" s="951" t="str">
        <f>ФОРМА!B4</f>
        <v>ООО «БЭСК»</v>
      </c>
      <c r="B5" s="951"/>
      <c r="C5" s="951"/>
      <c r="D5" s="951"/>
      <c r="F5" s="953" t="str">
        <f>ФОРМА!B2</f>
        <v>ПАО "Россети Ленэнерго"</v>
      </c>
      <c r="G5" s="953"/>
      <c r="H5" s="953"/>
      <c r="N5" s="241" t="str">
        <f>F5</f>
        <v>ПАО "Россети Ленэнерго"</v>
      </c>
    </row>
    <row r="6" spans="1:14" ht="15" customHeight="1">
      <c r="A6" s="923" t="s">
        <v>44</v>
      </c>
      <c r="B6" s="923"/>
      <c r="C6" s="923"/>
      <c r="D6" s="923"/>
      <c r="F6" s="919" t="s">
        <v>2</v>
      </c>
      <c r="G6" s="927"/>
      <c r="H6" s="927"/>
    </row>
    <row r="7" spans="1:14" ht="112">
      <c r="A7" s="922"/>
      <c r="B7" s="922"/>
      <c r="C7" s="922"/>
      <c r="D7" s="922"/>
      <c r="F7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55"/>
      <c r="H7" s="955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23" t="s">
        <v>45</v>
      </c>
      <c r="B8" s="923"/>
      <c r="C8" s="923"/>
      <c r="D8" s="923"/>
      <c r="F8" s="919" t="s">
        <v>38</v>
      </c>
      <c r="G8" s="919"/>
      <c r="H8" s="919"/>
    </row>
    <row r="9" spans="1:14" ht="15" customHeight="1">
      <c r="A9" s="922"/>
      <c r="B9" s="922"/>
      <c r="C9" s="922"/>
      <c r="D9" s="922"/>
      <c r="F9" s="956">
        <f>ФОРМА!D16</f>
        <v>45322</v>
      </c>
      <c r="G9" s="953"/>
      <c r="H9" s="953"/>
    </row>
    <row r="10" spans="1:14" ht="15" customHeight="1">
      <c r="A10" s="923" t="s">
        <v>1</v>
      </c>
      <c r="B10" s="923"/>
      <c r="C10" s="923"/>
      <c r="D10" s="923"/>
      <c r="F10" s="919" t="s">
        <v>3</v>
      </c>
      <c r="G10" s="919"/>
      <c r="H10" s="919"/>
    </row>
    <row r="11" spans="1:14" ht="15" customHeight="1">
      <c r="A11" s="72"/>
      <c r="B11" s="72"/>
      <c r="F11" s="72"/>
      <c r="G11" s="72"/>
      <c r="H11" s="72"/>
    </row>
    <row r="12" spans="1:14" ht="35.5" customHeight="1">
      <c r="A12" s="992" t="s">
        <v>123</v>
      </c>
      <c r="B12" s="992"/>
      <c r="C12" s="992"/>
      <c r="D12" s="992"/>
      <c r="E12" s="992"/>
      <c r="F12" s="992"/>
      <c r="G12" s="992"/>
      <c r="H12" s="992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999" t="s">
        <v>96</v>
      </c>
      <c r="B14" s="999"/>
      <c r="C14" s="999"/>
      <c r="D14" s="999"/>
      <c r="E14" s="989" t="s">
        <v>122</v>
      </c>
      <c r="F14" s="989"/>
      <c r="G14" s="989"/>
      <c r="H14" s="990" t="s">
        <v>100</v>
      </c>
    </row>
    <row r="15" spans="1:14" ht="42.75" customHeight="1">
      <c r="A15" s="989" t="s">
        <v>121</v>
      </c>
      <c r="B15" s="989"/>
      <c r="C15" s="989" t="s">
        <v>120</v>
      </c>
      <c r="D15" s="989"/>
      <c r="E15" s="93" t="s">
        <v>119</v>
      </c>
      <c r="F15" s="93" t="s">
        <v>118</v>
      </c>
      <c r="G15" s="94" t="s">
        <v>117</v>
      </c>
      <c r="H15" s="991"/>
    </row>
    <row r="16" spans="1:14" ht="26">
      <c r="A16" s="993" t="s">
        <v>935</v>
      </c>
      <c r="B16" s="994"/>
      <c r="C16" s="997" t="s">
        <v>1496</v>
      </c>
      <c r="D16" s="997"/>
      <c r="E16" s="100" t="s">
        <v>332</v>
      </c>
      <c r="F16" s="408" t="s">
        <v>953</v>
      </c>
      <c r="G16" s="405">
        <v>45322</v>
      </c>
      <c r="H16" s="411" t="str">
        <f>$E$30</f>
        <v>А.Р. Махмадов</v>
      </c>
    </row>
    <row r="17" spans="1:8" ht="26">
      <c r="A17" s="995"/>
      <c r="B17" s="996"/>
      <c r="C17" s="997"/>
      <c r="D17" s="997"/>
      <c r="E17" s="100" t="s">
        <v>332</v>
      </c>
      <c r="F17" s="408" t="s">
        <v>953</v>
      </c>
      <c r="G17" s="405">
        <v>45322</v>
      </c>
      <c r="H17" s="411" t="str">
        <f t="shared" ref="H17:H29" si="0">$E$30</f>
        <v>А.Р. Махмадов</v>
      </c>
    </row>
    <row r="18" spans="1:8" ht="26">
      <c r="A18" s="993" t="s">
        <v>935</v>
      </c>
      <c r="B18" s="994"/>
      <c r="C18" s="997" t="s">
        <v>1496</v>
      </c>
      <c r="D18" s="997"/>
      <c r="E18" s="100" t="s">
        <v>332</v>
      </c>
      <c r="F18" s="408" t="s">
        <v>953</v>
      </c>
      <c r="G18" s="405">
        <v>45322</v>
      </c>
      <c r="H18" s="411" t="str">
        <f t="shared" si="0"/>
        <v>А.Р. Махмадов</v>
      </c>
    </row>
    <row r="19" spans="1:8" ht="26">
      <c r="A19" s="995"/>
      <c r="B19" s="996"/>
      <c r="C19" s="997"/>
      <c r="D19" s="997"/>
      <c r="E19" s="100" t="s">
        <v>332</v>
      </c>
      <c r="F19" s="408" t="s">
        <v>953</v>
      </c>
      <c r="G19" s="405">
        <v>45322</v>
      </c>
      <c r="H19" s="411" t="str">
        <f t="shared" si="0"/>
        <v>А.Р. Махмадов</v>
      </c>
    </row>
    <row r="20" spans="1:8" ht="26">
      <c r="A20" s="993" t="s">
        <v>935</v>
      </c>
      <c r="B20" s="994"/>
      <c r="C20" s="997" t="s">
        <v>1496</v>
      </c>
      <c r="D20" s="997"/>
      <c r="E20" s="100" t="s">
        <v>332</v>
      </c>
      <c r="F20" s="408" t="s">
        <v>953</v>
      </c>
      <c r="G20" s="405">
        <v>45322</v>
      </c>
      <c r="H20" s="411" t="str">
        <f t="shared" si="0"/>
        <v>А.Р. Махмадов</v>
      </c>
    </row>
    <row r="21" spans="1:8" ht="26">
      <c r="A21" s="995"/>
      <c r="B21" s="996"/>
      <c r="C21" s="997"/>
      <c r="D21" s="997"/>
      <c r="E21" s="100" t="s">
        <v>332</v>
      </c>
      <c r="F21" s="408" t="s">
        <v>953</v>
      </c>
      <c r="G21" s="405">
        <v>45322</v>
      </c>
      <c r="H21" s="411" t="str">
        <f t="shared" si="0"/>
        <v>А.Р. Махмадов</v>
      </c>
    </row>
    <row r="22" spans="1:8" ht="26">
      <c r="A22" s="993" t="s">
        <v>935</v>
      </c>
      <c r="B22" s="994"/>
      <c r="C22" s="997" t="s">
        <v>1496</v>
      </c>
      <c r="D22" s="997"/>
      <c r="E22" s="100" t="s">
        <v>332</v>
      </c>
      <c r="F22" s="408" t="s">
        <v>953</v>
      </c>
      <c r="G22" s="405">
        <v>45322</v>
      </c>
      <c r="H22" s="411" t="str">
        <f t="shared" si="0"/>
        <v>А.Р. Махмадов</v>
      </c>
    </row>
    <row r="23" spans="1:8" ht="26">
      <c r="A23" s="995"/>
      <c r="B23" s="996"/>
      <c r="C23" s="997"/>
      <c r="D23" s="997"/>
      <c r="E23" s="100" t="s">
        <v>332</v>
      </c>
      <c r="F23" s="408" t="s">
        <v>953</v>
      </c>
      <c r="G23" s="405">
        <v>45322</v>
      </c>
      <c r="H23" s="411" t="str">
        <f t="shared" si="0"/>
        <v>А.Р. Махмадов</v>
      </c>
    </row>
    <row r="24" spans="1:8" ht="26">
      <c r="A24" s="993" t="s">
        <v>935</v>
      </c>
      <c r="B24" s="994"/>
      <c r="C24" s="997" t="s">
        <v>1496</v>
      </c>
      <c r="D24" s="997"/>
      <c r="E24" s="100" t="s">
        <v>332</v>
      </c>
      <c r="F24" s="408" t="s">
        <v>953</v>
      </c>
      <c r="G24" s="405">
        <v>45322</v>
      </c>
      <c r="H24" s="411" t="str">
        <f t="shared" si="0"/>
        <v>А.Р. Махмадов</v>
      </c>
    </row>
    <row r="25" spans="1:8" ht="26">
      <c r="A25" s="995"/>
      <c r="B25" s="996"/>
      <c r="C25" s="997"/>
      <c r="D25" s="997"/>
      <c r="E25" s="100" t="s">
        <v>332</v>
      </c>
      <c r="F25" s="408" t="s">
        <v>953</v>
      </c>
      <c r="G25" s="405">
        <v>45322</v>
      </c>
      <c r="H25" s="411" t="str">
        <f t="shared" si="0"/>
        <v>А.Р. Махмадов</v>
      </c>
    </row>
    <row r="26" spans="1:8" ht="26">
      <c r="A26" s="993" t="s">
        <v>935</v>
      </c>
      <c r="B26" s="994"/>
      <c r="C26" s="997" t="s">
        <v>1496</v>
      </c>
      <c r="D26" s="997"/>
      <c r="E26" s="100" t="s">
        <v>332</v>
      </c>
      <c r="F26" s="408" t="s">
        <v>953</v>
      </c>
      <c r="G26" s="405">
        <v>45322</v>
      </c>
      <c r="H26" s="411" t="str">
        <f t="shared" si="0"/>
        <v>А.Р. Махмадов</v>
      </c>
    </row>
    <row r="27" spans="1:8" ht="26">
      <c r="A27" s="995"/>
      <c r="B27" s="996"/>
      <c r="C27" s="997"/>
      <c r="D27" s="997"/>
      <c r="E27" s="100" t="s">
        <v>332</v>
      </c>
      <c r="F27" s="408" t="s">
        <v>953</v>
      </c>
      <c r="G27" s="405">
        <v>45322</v>
      </c>
      <c r="H27" s="411" t="str">
        <f t="shared" si="0"/>
        <v>А.Р. Махмадов</v>
      </c>
    </row>
    <row r="28" spans="1:8" ht="26">
      <c r="A28" s="993" t="s">
        <v>935</v>
      </c>
      <c r="B28" s="994"/>
      <c r="C28" s="997" t="s">
        <v>1496</v>
      </c>
      <c r="D28" s="997"/>
      <c r="E28" s="100" t="s">
        <v>332</v>
      </c>
      <c r="F28" s="408" t="s">
        <v>953</v>
      </c>
      <c r="G28" s="405">
        <v>45322</v>
      </c>
      <c r="H28" s="411" t="str">
        <f t="shared" si="0"/>
        <v>А.Р. Махмадов</v>
      </c>
    </row>
    <row r="29" spans="1:8" ht="26">
      <c r="A29" s="995"/>
      <c r="B29" s="996"/>
      <c r="C29" s="997"/>
      <c r="D29" s="997"/>
      <c r="E29" s="100" t="s">
        <v>332</v>
      </c>
      <c r="F29" s="408" t="s">
        <v>953</v>
      </c>
      <c r="G29" s="405">
        <v>45322</v>
      </c>
      <c r="H29" s="411" t="str">
        <f t="shared" si="0"/>
        <v>А.Р. Махмадов</v>
      </c>
    </row>
    <row r="30" spans="1:8" ht="39" customHeight="1">
      <c r="A30" s="998" t="s">
        <v>1054</v>
      </c>
      <c r="B30" s="998"/>
      <c r="C30" s="998"/>
      <c r="D30" s="998"/>
      <c r="E30" s="439" t="str">
        <f>ПОДПИСИ!E12</f>
        <v>А.Р. Махмадов</v>
      </c>
      <c r="F30" s="89"/>
    </row>
    <row r="31" spans="1:8" ht="14.5" customHeight="1">
      <c r="C31" s="923" t="s">
        <v>49</v>
      </c>
      <c r="D31" s="923"/>
      <c r="E31" s="68" t="s">
        <v>50</v>
      </c>
    </row>
    <row r="35" ht="49.5" customHeight="1"/>
  </sheetData>
  <mergeCells count="41">
    <mergeCell ref="A24:B25"/>
    <mergeCell ref="C24:D25"/>
    <mergeCell ref="A26:B27"/>
    <mergeCell ref="C26:D27"/>
    <mergeCell ref="A28:B29"/>
    <mergeCell ref="C28:D29"/>
    <mergeCell ref="A18:B19"/>
    <mergeCell ref="C18:D19"/>
    <mergeCell ref="A20:B21"/>
    <mergeCell ref="C20:D21"/>
    <mergeCell ref="A22:B23"/>
    <mergeCell ref="C22:D23"/>
    <mergeCell ref="C31:D31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30:D30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DE6" sqref="DE6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" style="147" customWidth="1"/>
    <col min="113" max="16384" width="9.179687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BC2" s="758" t="str">
        <f>ФОРМА!G2</f>
        <v>Санкт-Петербург</v>
      </c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21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BC3" s="770" t="s">
        <v>0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21"/>
      <c r="AW5" s="21"/>
      <c r="AX5" s="21"/>
      <c r="AY5" s="21"/>
      <c r="AZ5" s="21"/>
      <c r="BA5" s="21"/>
      <c r="BB5" s="21"/>
      <c r="BC5" s="770" t="s">
        <v>2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12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21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21"/>
      <c r="AW7" s="21"/>
      <c r="AX7" s="21"/>
      <c r="AY7" s="21"/>
      <c r="AZ7" s="21"/>
      <c r="BA7" s="21"/>
      <c r="BB7" s="21"/>
      <c r="BC7" s="770" t="s">
        <v>38</v>
      </c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BC8" s="735">
        <f>ФОРМА!B13</f>
        <v>45625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s="24" customFormat="1" ht="1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21"/>
      <c r="AW9" s="21"/>
      <c r="AX9" s="21"/>
      <c r="AY9" s="21"/>
      <c r="AZ9" s="21"/>
      <c r="BA9" s="21"/>
      <c r="BB9" s="21"/>
      <c r="BC9" s="770" t="s">
        <v>3</v>
      </c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21" t="s">
        <v>506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22.5" customHeight="1">
      <c r="A12" s="1021" t="s">
        <v>178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  <c r="BU12" s="1021"/>
      <c r="BV12" s="1021"/>
      <c r="BW12" s="1021"/>
      <c r="BX12" s="1021"/>
      <c r="BY12" s="1021"/>
      <c r="BZ12" s="1021"/>
      <c r="CA12" s="1021"/>
      <c r="CB12" s="1021"/>
      <c r="CC12" s="1021"/>
      <c r="CD12" s="1021"/>
      <c r="CE12" s="1021"/>
      <c r="CF12" s="1021"/>
      <c r="CG12" s="1021"/>
      <c r="CH12" s="1021"/>
      <c r="CI12" s="1021"/>
      <c r="CJ12" s="1021"/>
      <c r="CK12" s="1021"/>
      <c r="CL12" s="1021"/>
      <c r="CM12" s="1021"/>
      <c r="CN12" s="1021"/>
      <c r="CO12" s="1021"/>
      <c r="CP12" s="1021"/>
      <c r="CQ12" s="1021"/>
      <c r="CR12" s="1021"/>
      <c r="CS12" s="1021"/>
      <c r="CT12" s="1021"/>
      <c r="CU12" s="1021"/>
      <c r="CV12" s="1021"/>
      <c r="CW12" s="1021"/>
      <c r="CX12" s="1021"/>
      <c r="CY12" s="1021"/>
      <c r="CZ12" s="1021"/>
      <c r="DA12" s="1021"/>
      <c r="DB12" s="1021"/>
    </row>
    <row r="13" spans="1:112" ht="63" customHeight="1">
      <c r="A13" s="1022" t="s">
        <v>179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11" t="s">
        <v>180</v>
      </c>
      <c r="Y13" s="1011"/>
      <c r="Z13" s="1011"/>
      <c r="AA13" s="1011"/>
      <c r="AB13" s="1011"/>
      <c r="AC13" s="1011"/>
      <c r="AD13" s="1011"/>
      <c r="AE13" s="1011"/>
      <c r="AF13" s="1011"/>
      <c r="AG13" s="1011"/>
      <c r="AH13" s="1011"/>
      <c r="AI13" s="1011"/>
      <c r="AJ13" s="1011"/>
      <c r="AK13" s="1011"/>
      <c r="AL13" s="1011"/>
      <c r="AM13" s="1011"/>
      <c r="AN13" s="1011"/>
      <c r="AO13" s="1011"/>
      <c r="AP13" s="1011" t="s">
        <v>181</v>
      </c>
      <c r="AQ13" s="1011"/>
      <c r="AR13" s="1011"/>
      <c r="AS13" s="1011"/>
      <c r="AT13" s="1011"/>
      <c r="AU13" s="1011"/>
      <c r="AV13" s="1011"/>
      <c r="AW13" s="1011"/>
      <c r="AX13" s="1011"/>
      <c r="AY13" s="1011"/>
      <c r="AZ13" s="1011"/>
      <c r="BA13" s="1011"/>
      <c r="BB13" s="1011"/>
      <c r="BC13" s="1011"/>
      <c r="BD13" s="1011"/>
      <c r="BE13" s="1011"/>
      <c r="BF13" s="1011"/>
      <c r="BG13" s="1011"/>
      <c r="BH13" s="1011"/>
      <c r="BI13" s="1011"/>
      <c r="BJ13" s="1011"/>
      <c r="BK13" s="1011"/>
      <c r="BL13" s="1011" t="s">
        <v>182</v>
      </c>
      <c r="BM13" s="1011"/>
      <c r="BN13" s="1011"/>
      <c r="BO13" s="1011"/>
      <c r="BP13" s="1011"/>
      <c r="BQ13" s="1011"/>
      <c r="BR13" s="1011"/>
      <c r="BS13" s="1011"/>
      <c r="BT13" s="1011"/>
      <c r="BU13" s="1011"/>
      <c r="BV13" s="1011"/>
      <c r="BW13" s="1011"/>
      <c r="BX13" s="1011"/>
      <c r="BY13" s="1011"/>
      <c r="BZ13" s="1011"/>
      <c r="CA13" s="1011"/>
      <c r="CB13" s="1011"/>
      <c r="CC13" s="1011"/>
      <c r="CD13" s="1011"/>
      <c r="CE13" s="1011"/>
      <c r="CF13" s="1011"/>
      <c r="CG13" s="1011" t="s">
        <v>183</v>
      </c>
      <c r="CH13" s="1011"/>
      <c r="CI13" s="1011"/>
      <c r="CJ13" s="1011"/>
      <c r="CK13" s="1011"/>
      <c r="CL13" s="1011"/>
      <c r="CM13" s="1011"/>
      <c r="CN13" s="1011"/>
      <c r="CO13" s="1011"/>
      <c r="CP13" s="1011"/>
      <c r="CQ13" s="1011"/>
      <c r="CR13" s="1011"/>
      <c r="CS13" s="1011"/>
      <c r="CT13" s="1011"/>
      <c r="CU13" s="1011"/>
      <c r="CV13" s="1011"/>
      <c r="CW13" s="1011"/>
      <c r="CX13" s="1011"/>
      <c r="CY13" s="1011"/>
      <c r="CZ13" s="1011"/>
      <c r="DA13" s="1011"/>
      <c r="DB13" s="1011"/>
    </row>
    <row r="14" spans="1:112" ht="30" customHeight="1">
      <c r="A14" s="730" t="s">
        <v>873</v>
      </c>
      <c r="B14" s="731"/>
      <c r="C14" s="731"/>
      <c r="D14" s="731"/>
      <c r="E14" s="731"/>
      <c r="F14" s="731"/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2"/>
      <c r="X14" s="727">
        <v>2</v>
      </c>
      <c r="Y14" s="727"/>
      <c r="Z14" s="727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 t="s">
        <v>870</v>
      </c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 t="s">
        <v>877</v>
      </c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  <c r="BX14" s="727"/>
      <c r="BY14" s="727"/>
      <c r="BZ14" s="727"/>
      <c r="CA14" s="727"/>
      <c r="CB14" s="727"/>
      <c r="CC14" s="727"/>
      <c r="CD14" s="727"/>
      <c r="CE14" s="727"/>
      <c r="CF14" s="727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30" customHeight="1">
      <c r="A15" s="730" t="s">
        <v>872</v>
      </c>
      <c r="B15" s="731"/>
      <c r="C15" s="731"/>
      <c r="D15" s="731"/>
      <c r="E15" s="731"/>
      <c r="F15" s="731"/>
      <c r="G15" s="731"/>
      <c r="H15" s="731"/>
      <c r="I15" s="731"/>
      <c r="J15" s="731"/>
      <c r="K15" s="731"/>
      <c r="L15" s="731"/>
      <c r="M15" s="731"/>
      <c r="N15" s="731"/>
      <c r="O15" s="731"/>
      <c r="P15" s="731"/>
      <c r="Q15" s="731"/>
      <c r="R15" s="731"/>
      <c r="S15" s="731"/>
      <c r="T15" s="731"/>
      <c r="U15" s="731"/>
      <c r="V15" s="731"/>
      <c r="W15" s="732"/>
      <c r="X15" s="727">
        <v>2</v>
      </c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 t="s">
        <v>874</v>
      </c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 t="s">
        <v>881</v>
      </c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  <c r="BX15" s="727"/>
      <c r="BY15" s="727"/>
      <c r="BZ15" s="727"/>
      <c r="CA15" s="727"/>
      <c r="CB15" s="727"/>
      <c r="CC15" s="727"/>
      <c r="CD15" s="727"/>
      <c r="CE15" s="727"/>
      <c r="CF15" s="727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" customHeight="1">
      <c r="A16" s="730" t="s">
        <v>871</v>
      </c>
      <c r="B16" s="731"/>
      <c r="C16" s="731"/>
      <c r="D16" s="731"/>
      <c r="E16" s="731"/>
      <c r="F16" s="731"/>
      <c r="G16" s="731"/>
      <c r="H16" s="731"/>
      <c r="I16" s="731"/>
      <c r="J16" s="731"/>
      <c r="K16" s="731"/>
      <c r="L16" s="731"/>
      <c r="M16" s="731"/>
      <c r="N16" s="731"/>
      <c r="O16" s="731"/>
      <c r="P16" s="731"/>
      <c r="Q16" s="731"/>
      <c r="R16" s="731"/>
      <c r="S16" s="731"/>
      <c r="T16" s="731"/>
      <c r="U16" s="731"/>
      <c r="V16" s="731"/>
      <c r="W16" s="732"/>
      <c r="X16" s="727">
        <v>2</v>
      </c>
      <c r="Y16" s="727"/>
      <c r="Z16" s="727"/>
      <c r="AA16" s="727"/>
      <c r="AB16" s="727"/>
      <c r="AC16" s="727"/>
      <c r="AD16" s="727"/>
      <c r="AE16" s="727"/>
      <c r="AF16" s="727"/>
      <c r="AG16" s="727"/>
      <c r="AH16" s="727"/>
      <c r="AI16" s="727"/>
      <c r="AJ16" s="727"/>
      <c r="AK16" s="727"/>
      <c r="AL16" s="727"/>
      <c r="AM16" s="727"/>
      <c r="AN16" s="727"/>
      <c r="AO16" s="727"/>
      <c r="AP16" s="727" t="s">
        <v>875</v>
      </c>
      <c r="AQ16" s="727"/>
      <c r="AR16" s="727"/>
      <c r="AS16" s="727"/>
      <c r="AT16" s="727"/>
      <c r="AU16" s="727"/>
      <c r="AV16" s="727"/>
      <c r="AW16" s="727"/>
      <c r="AX16" s="727"/>
      <c r="AY16" s="727"/>
      <c r="AZ16" s="727"/>
      <c r="BA16" s="727"/>
      <c r="BB16" s="727"/>
      <c r="BC16" s="727"/>
      <c r="BD16" s="727"/>
      <c r="BE16" s="727"/>
      <c r="BF16" s="727"/>
      <c r="BG16" s="727"/>
      <c r="BH16" s="727"/>
      <c r="BI16" s="727"/>
      <c r="BJ16" s="727"/>
      <c r="BK16" s="727"/>
      <c r="BL16" s="727" t="s">
        <v>876</v>
      </c>
      <c r="BM16" s="727"/>
      <c r="BN16" s="727"/>
      <c r="BO16" s="727"/>
      <c r="BP16" s="727"/>
      <c r="BQ16" s="727"/>
      <c r="BR16" s="727"/>
      <c r="BS16" s="727"/>
      <c r="BT16" s="727"/>
      <c r="BU16" s="727"/>
      <c r="BV16" s="727"/>
      <c r="BW16" s="727"/>
      <c r="BX16" s="727"/>
      <c r="BY16" s="727"/>
      <c r="BZ16" s="727"/>
      <c r="CA16" s="727"/>
      <c r="CB16" s="727"/>
      <c r="CC16" s="727"/>
      <c r="CD16" s="727"/>
      <c r="CE16" s="727"/>
      <c r="CF16" s="727"/>
      <c r="CG16" s="754"/>
      <c r="CH16" s="754"/>
      <c r="CI16" s="754"/>
      <c r="CJ16" s="754"/>
      <c r="CK16" s="754"/>
      <c r="CL16" s="754"/>
      <c r="CM16" s="754"/>
      <c r="CN16" s="754"/>
      <c r="CO16" s="754"/>
      <c r="CP16" s="754"/>
      <c r="CQ16" s="754"/>
      <c r="CR16" s="754"/>
      <c r="CS16" s="754"/>
      <c r="CT16" s="754"/>
      <c r="CU16" s="754"/>
      <c r="CV16" s="754"/>
      <c r="CW16" s="754"/>
      <c r="CX16" s="754"/>
      <c r="CY16" s="754"/>
      <c r="CZ16" s="754"/>
      <c r="DA16" s="754"/>
      <c r="DB16" s="754"/>
    </row>
    <row r="17" spans="1:112" ht="15" customHeight="1">
      <c r="A17" s="1008" t="s">
        <v>184</v>
      </c>
      <c r="B17" s="1009"/>
      <c r="C17" s="1009"/>
      <c r="D17" s="1009"/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10"/>
      <c r="X17" s="754">
        <f>SUM(X14:AO16)</f>
        <v>6</v>
      </c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1011"/>
      <c r="AQ17" s="1011"/>
      <c r="AR17" s="1011"/>
      <c r="AS17" s="1011"/>
      <c r="AT17" s="1011"/>
      <c r="AU17" s="1011"/>
      <c r="AV17" s="1011"/>
      <c r="AW17" s="1011"/>
      <c r="AX17" s="1011"/>
      <c r="AY17" s="1011"/>
      <c r="AZ17" s="1011"/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  <c r="BT17" s="1011"/>
      <c r="BU17" s="1011"/>
      <c r="BV17" s="1011"/>
      <c r="BW17" s="1011"/>
      <c r="BX17" s="1011"/>
      <c r="BY17" s="1011"/>
      <c r="BZ17" s="1011"/>
      <c r="CA17" s="1011"/>
      <c r="CB17" s="1011"/>
      <c r="CC17" s="1011"/>
      <c r="CD17" s="1011"/>
      <c r="CE17" s="1011"/>
      <c r="CF17" s="1011"/>
      <c r="CG17" s="1011"/>
      <c r="CH17" s="1011"/>
      <c r="CI17" s="1011"/>
      <c r="CJ17" s="1011"/>
      <c r="CK17" s="1011"/>
      <c r="CL17" s="1011"/>
      <c r="CM17" s="1011"/>
      <c r="CN17" s="1011"/>
      <c r="CO17" s="1011"/>
      <c r="CP17" s="1011"/>
      <c r="CQ17" s="1011"/>
      <c r="CR17" s="1011"/>
      <c r="CS17" s="1011"/>
      <c r="CT17" s="1011"/>
      <c r="CU17" s="1011"/>
      <c r="CV17" s="1011"/>
      <c r="CW17" s="1011"/>
      <c r="CX17" s="1011"/>
      <c r="CY17" s="1011"/>
      <c r="CZ17" s="1011"/>
      <c r="DA17" s="1011"/>
      <c r="DB17" s="1011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06">
        <v>10</v>
      </c>
      <c r="K22" s="1006"/>
      <c r="L22" s="1006"/>
      <c r="M22" s="1006"/>
      <c r="N22" s="1006"/>
      <c r="O22" s="1006"/>
      <c r="P22" s="1006"/>
      <c r="Q22" s="1006"/>
      <c r="R22" s="1006"/>
      <c r="S22" s="1006"/>
      <c r="T22" s="1006"/>
      <c r="U22" s="1007" t="s">
        <v>188</v>
      </c>
      <c r="V22" s="1007"/>
      <c r="W22" s="1007"/>
      <c r="X22" s="1007"/>
      <c r="Y22" s="1007"/>
      <c r="Z22" s="1007"/>
      <c r="AA22" s="1007"/>
      <c r="AB22" s="1007"/>
      <c r="AC22" s="1007"/>
      <c r="AD22" s="1007"/>
      <c r="AE22" s="1007"/>
      <c r="AF22" s="1007"/>
      <c r="AG22" s="1007"/>
      <c r="AH22" s="1007"/>
      <c r="AI22" s="1007"/>
      <c r="AJ22" s="1007"/>
      <c r="AK22" s="1007"/>
      <c r="AL22" s="1007"/>
      <c r="AM22" s="1007"/>
      <c r="AN22" s="1007"/>
      <c r="AO22" s="1007"/>
      <c r="AP22" s="1007"/>
      <c r="AQ22" s="1007"/>
      <c r="AR22" s="1007"/>
      <c r="AS22" s="1007"/>
      <c r="AT22" s="1007"/>
      <c r="AU22" s="1007"/>
      <c r="AV22" s="1007"/>
      <c r="AW22" s="1007"/>
      <c r="AX22" s="1007"/>
      <c r="AY22" s="1007"/>
      <c r="AZ22" s="1007"/>
      <c r="BA22" s="1007"/>
      <c r="BB22" s="1006" t="s">
        <v>743</v>
      </c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006"/>
      <c r="BM22" s="1007" t="s">
        <v>189</v>
      </c>
      <c r="BN22" s="1007"/>
      <c r="BO22" s="1007"/>
      <c r="BP22" s="1007"/>
      <c r="BQ22" s="1007"/>
      <c r="BR22" s="1007"/>
      <c r="BS22" s="1007"/>
      <c r="BT22" s="1007"/>
      <c r="BU22" s="1007"/>
      <c r="BV22" s="1007"/>
      <c r="BW22" s="1007"/>
      <c r="BX22" s="1007"/>
      <c r="BY22" s="1006" t="s">
        <v>878</v>
      </c>
      <c r="BZ22" s="1006"/>
      <c r="CA22" s="1006"/>
      <c r="CB22" s="1006"/>
      <c r="CC22" s="1006"/>
      <c r="CD22" s="1006"/>
      <c r="CE22" s="1006"/>
      <c r="CF22" s="1006"/>
      <c r="CG22" s="1006"/>
      <c r="CH22" s="1006"/>
      <c r="CI22" s="1006"/>
      <c r="CJ22" s="1006"/>
      <c r="CK22" s="1006"/>
      <c r="CL22" s="1006"/>
      <c r="CM22" s="1006"/>
      <c r="CN22" s="1006"/>
      <c r="CO22" s="1006"/>
      <c r="CP22" s="1006"/>
      <c r="CQ22" s="1006"/>
      <c r="CR22" s="1006"/>
      <c r="CS22" s="1006"/>
      <c r="CT22" s="1006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26" t="s">
        <v>712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726"/>
      <c r="U23" s="726"/>
      <c r="V23" s="726"/>
      <c r="W23" s="726"/>
      <c r="X23" s="758">
        <v>657</v>
      </c>
      <c r="Y23" s="758"/>
      <c r="Z23" s="758"/>
      <c r="AA23" s="758"/>
      <c r="AB23" s="758"/>
      <c r="AC23" s="758"/>
      <c r="AD23" s="758"/>
      <c r="AE23" s="758"/>
      <c r="AF23" s="758"/>
      <c r="AG23" s="758"/>
      <c r="AH23" s="726" t="s">
        <v>193</v>
      </c>
      <c r="AI23" s="726"/>
      <c r="AJ23" s="726"/>
      <c r="AK23" s="726"/>
      <c r="AL23" s="726"/>
      <c r="AM23" s="726"/>
      <c r="AN23" s="726"/>
      <c r="AO23" s="726"/>
      <c r="AP23" s="726"/>
      <c r="AQ23" s="726"/>
      <c r="AR23" s="726"/>
      <c r="AS23" s="726"/>
      <c r="AT23" s="726"/>
      <c r="AU23" s="726"/>
      <c r="AV23" s="726"/>
      <c r="AW23" s="726"/>
      <c r="AX23" s="726"/>
      <c r="AY23" s="726"/>
      <c r="AZ23" s="726"/>
      <c r="BA23" s="726"/>
      <c r="BB23" s="726"/>
      <c r="BC23" s="726"/>
      <c r="BD23" s="726"/>
      <c r="BE23" s="726"/>
      <c r="BF23" s="726"/>
      <c r="BG23" s="726"/>
      <c r="BH23" s="726"/>
      <c r="BI23" s="726"/>
      <c r="BJ23" s="726"/>
      <c r="BK23" s="726"/>
      <c r="BL23" s="726"/>
      <c r="BM23" s="726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771"/>
      <c r="CL23" s="771"/>
      <c r="CM23" s="771"/>
      <c r="CN23" s="771"/>
      <c r="CO23" s="771"/>
      <c r="CP23" s="771"/>
      <c r="CQ23" s="771"/>
      <c r="CR23" s="771"/>
      <c r="CS23" s="771"/>
      <c r="CT23" s="771"/>
      <c r="CU23" s="771"/>
      <c r="CV23" s="50"/>
      <c r="DD23" s="56"/>
      <c r="DE23" s="57"/>
      <c r="DF23" s="57"/>
    </row>
    <row r="24" spans="1:112" ht="10.5" customHeight="1">
      <c r="A24" s="726"/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26"/>
      <c r="AI24" s="726"/>
      <c r="AJ24" s="726"/>
      <c r="AK24" s="726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6" t="s">
        <v>65</v>
      </c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6" t="s">
        <v>65</v>
      </c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6"/>
      <c r="CI25" s="1006"/>
      <c r="CJ25" s="1006"/>
      <c r="CK25" s="1006"/>
      <c r="CL25" s="1006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19" t="s">
        <v>204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12" t="s">
        <v>701</v>
      </c>
      <c r="B31" s="1013"/>
      <c r="C31" s="1013"/>
      <c r="D31" s="1013"/>
      <c r="E31" s="1013"/>
      <c r="F31" s="1013"/>
      <c r="G31" s="1013"/>
      <c r="H31" s="1013"/>
      <c r="I31" s="1013"/>
      <c r="J31" s="1013"/>
      <c r="K31" s="1013"/>
      <c r="L31" s="1013"/>
      <c r="M31" s="1013"/>
      <c r="N31" s="1013"/>
      <c r="O31" s="1013"/>
      <c r="P31" s="1013"/>
      <c r="Q31" s="1013"/>
      <c r="R31" s="1013"/>
      <c r="S31" s="1013"/>
      <c r="T31" s="1013"/>
      <c r="U31" s="1013"/>
      <c r="V31" s="1014"/>
      <c r="W31" s="1012" t="s">
        <v>198</v>
      </c>
      <c r="X31" s="1013"/>
      <c r="Y31" s="1013"/>
      <c r="Z31" s="1013"/>
      <c r="AA31" s="1013"/>
      <c r="AB31" s="1013"/>
      <c r="AC31" s="1013"/>
      <c r="AD31" s="1013"/>
      <c r="AE31" s="1013"/>
      <c r="AF31" s="1013"/>
      <c r="AG31" s="1013"/>
      <c r="AH31" s="1013"/>
      <c r="AI31" s="1013"/>
      <c r="AJ31" s="1013"/>
      <c r="AK31" s="1013"/>
      <c r="AL31" s="1013"/>
      <c r="AM31" s="1013"/>
      <c r="AN31" s="1013"/>
      <c r="AO31" s="1013"/>
      <c r="AP31" s="1013"/>
      <c r="AQ31" s="1013"/>
      <c r="AR31" s="1013"/>
      <c r="AS31" s="1014"/>
      <c r="AT31" s="1012" t="s">
        <v>199</v>
      </c>
      <c r="AU31" s="1013"/>
      <c r="AV31" s="1013"/>
      <c r="AW31" s="1013"/>
      <c r="AX31" s="1013"/>
      <c r="AY31" s="1013"/>
      <c r="AZ31" s="1013"/>
      <c r="BA31" s="1013"/>
      <c r="BB31" s="1013"/>
      <c r="BC31" s="1013"/>
      <c r="BD31" s="1013"/>
      <c r="BE31" s="1013"/>
      <c r="BF31" s="1013"/>
      <c r="BG31" s="1013"/>
      <c r="BH31" s="1013"/>
      <c r="BI31" s="1013"/>
      <c r="BJ31" s="1013"/>
      <c r="BK31" s="1013"/>
      <c r="BL31" s="1013"/>
      <c r="BM31" s="1013"/>
      <c r="BN31" s="1013"/>
      <c r="BO31" s="1013"/>
      <c r="BP31" s="1013"/>
      <c r="BQ31" s="1013"/>
      <c r="BR31" s="1014"/>
      <c r="BS31" s="1020" t="s">
        <v>200</v>
      </c>
      <c r="BT31" s="1020"/>
      <c r="BU31" s="1020"/>
      <c r="BV31" s="1020"/>
      <c r="BW31" s="1020"/>
      <c r="BX31" s="1020"/>
      <c r="BY31" s="1020"/>
      <c r="BZ31" s="1020"/>
      <c r="CA31" s="1020"/>
      <c r="CB31" s="1020"/>
      <c r="CC31" s="1020"/>
      <c r="CD31" s="1020"/>
      <c r="CE31" s="1020"/>
      <c r="CF31" s="1020"/>
      <c r="CG31" s="1020"/>
      <c r="CH31" s="1020"/>
      <c r="CI31" s="1020"/>
      <c r="CJ31" s="1020"/>
      <c r="CK31" s="1020"/>
      <c r="CL31" s="1020"/>
      <c r="CM31" s="1020"/>
      <c r="CN31" s="1020"/>
      <c r="CO31" s="1020"/>
      <c r="CP31" s="1020"/>
      <c r="CQ31" s="1020"/>
      <c r="CR31" s="1020"/>
      <c r="CS31" s="1020"/>
      <c r="CT31" s="1020"/>
      <c r="CU31" s="1020"/>
      <c r="CV31" s="1020"/>
      <c r="CW31" s="1020"/>
      <c r="CX31" s="1020"/>
      <c r="CY31" s="1020"/>
      <c r="CZ31" s="1020"/>
      <c r="DA31" s="1020"/>
      <c r="DB31" s="1020"/>
    </row>
    <row r="32" spans="1:112" ht="39.75" customHeight="1">
      <c r="A32" s="1015"/>
      <c r="B32" s="1016"/>
      <c r="C32" s="1016"/>
      <c r="D32" s="1016"/>
      <c r="E32" s="1016"/>
      <c r="F32" s="1016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7"/>
      <c r="W32" s="1015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7"/>
      <c r="AT32" s="1015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/>
      <c r="BL32" s="1016"/>
      <c r="BM32" s="1016"/>
      <c r="BN32" s="1016"/>
      <c r="BO32" s="1016"/>
      <c r="BP32" s="1016"/>
      <c r="BQ32" s="1016"/>
      <c r="BR32" s="1017"/>
      <c r="BS32" s="1004" t="s">
        <v>201</v>
      </c>
      <c r="BT32" s="1004"/>
      <c r="BU32" s="1004"/>
      <c r="BV32" s="1004"/>
      <c r="BW32" s="1004"/>
      <c r="BX32" s="1004"/>
      <c r="BY32" s="1004"/>
      <c r="BZ32" s="1004"/>
      <c r="CA32" s="1004"/>
      <c r="CB32" s="1004"/>
      <c r="CC32" s="1004"/>
      <c r="CD32" s="1004"/>
      <c r="CE32" s="1004"/>
      <c r="CF32" s="1004"/>
      <c r="CG32" s="1004"/>
      <c r="CH32" s="1004"/>
      <c r="CI32" s="1004"/>
      <c r="CJ32" s="1004"/>
      <c r="CK32" s="1004"/>
      <c r="CL32" s="1004" t="s">
        <v>202</v>
      </c>
      <c r="CM32" s="1004"/>
      <c r="CN32" s="1004"/>
      <c r="CO32" s="1004"/>
      <c r="CP32" s="1004"/>
      <c r="CQ32" s="1004"/>
      <c r="CR32" s="1004"/>
      <c r="CS32" s="1004"/>
      <c r="CT32" s="1004"/>
      <c r="CU32" s="1004"/>
      <c r="CV32" s="1004"/>
      <c r="CW32" s="1004"/>
      <c r="CX32" s="1004"/>
      <c r="CY32" s="1004"/>
      <c r="CZ32" s="1004"/>
      <c r="DA32" s="1004"/>
      <c r="DB32" s="1004"/>
      <c r="DH32" s="149"/>
    </row>
    <row r="33" spans="1:112" ht="15" customHeight="1">
      <c r="A33" s="1005"/>
      <c r="B33" s="1005"/>
      <c r="C33" s="1005"/>
      <c r="D33" s="1005"/>
      <c r="E33" s="1005"/>
      <c r="F33" s="1005"/>
      <c r="G33" s="1005"/>
      <c r="H33" s="1005"/>
      <c r="I33" s="1005"/>
      <c r="J33" s="1005"/>
      <c r="K33" s="1005"/>
      <c r="L33" s="1005"/>
      <c r="M33" s="1005"/>
      <c r="N33" s="1005"/>
      <c r="O33" s="1005"/>
      <c r="P33" s="1005"/>
      <c r="Q33" s="1005"/>
      <c r="R33" s="1005"/>
      <c r="S33" s="1005"/>
      <c r="T33" s="1005"/>
      <c r="U33" s="1005"/>
      <c r="V33" s="1005"/>
      <c r="W33" s="1005"/>
      <c r="X33" s="1005"/>
      <c r="Y33" s="1005"/>
      <c r="Z33" s="1005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  <c r="BU33" s="1005"/>
      <c r="BV33" s="1005"/>
      <c r="BW33" s="1005"/>
      <c r="BX33" s="1005"/>
      <c r="BY33" s="1005"/>
      <c r="BZ33" s="1005"/>
      <c r="CA33" s="1005"/>
      <c r="CB33" s="1005"/>
      <c r="CC33" s="1005"/>
      <c r="CD33" s="1005"/>
      <c r="CE33" s="1005"/>
      <c r="CF33" s="1005"/>
      <c r="CG33" s="1005"/>
      <c r="CH33" s="1005"/>
      <c r="CI33" s="1005"/>
      <c r="CJ33" s="1005"/>
      <c r="CK33" s="1005"/>
      <c r="CL33" s="1005"/>
      <c r="CM33" s="1005"/>
      <c r="CN33" s="1005"/>
      <c r="CO33" s="1005"/>
      <c r="CP33" s="1005"/>
      <c r="CQ33" s="1005"/>
      <c r="CR33" s="1005"/>
      <c r="CS33" s="1005"/>
      <c r="CT33" s="1005"/>
      <c r="CU33" s="1005"/>
      <c r="CV33" s="1005"/>
      <c r="CW33" s="1005"/>
      <c r="CX33" s="1005"/>
      <c r="CY33" s="1005"/>
      <c r="CZ33" s="1005"/>
      <c r="DA33" s="1005"/>
      <c r="DB33" s="1005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18" t="s">
        <v>206</v>
      </c>
      <c r="B39" s="818"/>
      <c r="C39" s="818"/>
      <c r="D39" s="818"/>
      <c r="E39" s="818"/>
      <c r="F39" s="818"/>
      <c r="G39" s="818"/>
      <c r="H39" s="818"/>
      <c r="I39" s="818"/>
      <c r="J39" s="772" t="s">
        <v>744</v>
      </c>
      <c r="K39" s="772"/>
      <c r="L39" s="772"/>
      <c r="M39" s="772"/>
      <c r="N39" s="772"/>
      <c r="O39" s="772"/>
      <c r="P39" s="772"/>
      <c r="Q39" s="772"/>
      <c r="R39" s="772"/>
      <c r="S39" s="49"/>
      <c r="T39" s="818" t="s">
        <v>207</v>
      </c>
      <c r="U39" s="818"/>
      <c r="V39" s="818"/>
      <c r="W39" s="818"/>
      <c r="X39" s="818"/>
      <c r="Y39" s="818"/>
      <c r="Z39" s="818"/>
      <c r="AA39" s="818"/>
      <c r="AB39" s="818"/>
      <c r="AC39" s="818"/>
      <c r="AD39" s="818"/>
      <c r="AE39" s="818"/>
      <c r="AF39" s="818"/>
      <c r="AG39" s="818"/>
      <c r="AH39" s="818"/>
      <c r="AI39" s="81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58"/>
      <c r="V40" s="758"/>
      <c r="W40" s="758"/>
      <c r="X40" s="758"/>
      <c r="Y40" s="758"/>
      <c r="Z40" s="758"/>
      <c r="AA40" s="758"/>
      <c r="AB40" s="758"/>
      <c r="AC40" s="758"/>
      <c r="AD40" s="758"/>
      <c r="AE40" s="758"/>
      <c r="AF40" s="758"/>
      <c r="AG40" s="758"/>
      <c r="AH40" s="758"/>
      <c r="AI40" s="758"/>
      <c r="AJ40" s="758"/>
      <c r="AK40" s="758"/>
      <c r="AL40" s="758"/>
      <c r="AM40" s="758"/>
      <c r="AN40" s="758"/>
      <c r="AO40" s="758"/>
      <c r="AP40" s="758"/>
      <c r="AQ40" s="758"/>
      <c r="AR40" s="758"/>
      <c r="AS40" s="758"/>
      <c r="AT40" s="758"/>
      <c r="AU40" s="758"/>
      <c r="AV40" s="758"/>
      <c r="AW40" s="758"/>
      <c r="AX40" s="758"/>
      <c r="AY40" s="758"/>
      <c r="AZ40" s="758"/>
      <c r="BA40" s="758"/>
      <c r="BB40" s="758"/>
      <c r="BC40" s="758"/>
      <c r="BD40" s="758"/>
      <c r="BE40" s="758"/>
      <c r="BF40" s="758"/>
      <c r="BG40" s="758"/>
      <c r="BH40" s="758"/>
      <c r="BI40" s="758"/>
      <c r="BJ40" s="758"/>
      <c r="BK40" s="758"/>
      <c r="BL40" s="758"/>
      <c r="BM40" s="758"/>
      <c r="BN40" s="19" t="s">
        <v>208</v>
      </c>
      <c r="BZ40" s="1002" t="s">
        <v>879</v>
      </c>
      <c r="CA40" s="1018"/>
      <c r="CB40" s="1018"/>
      <c r="CC40" s="1018"/>
      <c r="CD40" s="1018"/>
      <c r="CE40" s="1018"/>
      <c r="CF40" s="1018"/>
      <c r="CG40" s="1018"/>
      <c r="CH40" s="1018"/>
      <c r="CI40" s="1018"/>
      <c r="CJ40" s="1018"/>
      <c r="CK40" s="1018"/>
      <c r="CL40" s="1018"/>
      <c r="CM40" s="1018"/>
      <c r="CN40" s="1018"/>
      <c r="CO40" s="1018"/>
      <c r="CP40" s="1018"/>
      <c r="CQ40" s="1018"/>
      <c r="CR40" s="1018"/>
      <c r="CS40" s="1018"/>
      <c r="CT40" s="1018"/>
      <c r="CU40" s="1018"/>
      <c r="CV40" s="1018"/>
      <c r="CW40" s="1018"/>
      <c r="CX40" s="1018"/>
      <c r="CY40" s="1018"/>
      <c r="CZ40" s="1018"/>
      <c r="DA40" s="1018"/>
      <c r="DB40" s="1018"/>
      <c r="DH40" s="141"/>
    </row>
    <row r="41" spans="1:112" s="225" customFormat="1" ht="9">
      <c r="BZ41" s="750" t="s">
        <v>209</v>
      </c>
      <c r="CA41" s="750"/>
      <c r="CB41" s="750"/>
      <c r="CC41" s="750"/>
      <c r="CD41" s="750"/>
      <c r="CE41" s="750"/>
      <c r="CF41" s="750"/>
      <c r="CG41" s="750"/>
      <c r="CH41" s="750"/>
      <c r="CI41" s="750"/>
      <c r="CJ41" s="750"/>
      <c r="CK41" s="750"/>
      <c r="CL41" s="750"/>
      <c r="CM41" s="750"/>
      <c r="CN41" s="750"/>
      <c r="CO41" s="750"/>
      <c r="CP41" s="750"/>
      <c r="CQ41" s="750"/>
      <c r="CR41" s="750"/>
      <c r="CS41" s="750"/>
      <c r="CT41" s="750"/>
      <c r="CU41" s="750"/>
      <c r="CV41" s="750"/>
      <c r="CW41" s="750"/>
      <c r="CX41" s="750"/>
      <c r="CY41" s="750"/>
      <c r="CZ41" s="750"/>
      <c r="DA41" s="750"/>
      <c r="DB41" s="750"/>
      <c r="DH41" s="228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1002" t="s">
        <v>892</v>
      </c>
      <c r="Z44" s="1002"/>
      <c r="AA44" s="1002"/>
      <c r="AB44" s="1002"/>
      <c r="AC44" s="1002"/>
      <c r="AD44" s="1002"/>
      <c r="AE44" s="1002"/>
      <c r="AF44" s="1002"/>
      <c r="AG44" s="1002"/>
      <c r="AH44" s="1002"/>
      <c r="AI44" s="1002"/>
      <c r="AJ44" s="1002"/>
      <c r="AK44" s="1002"/>
      <c r="AL44" s="1002"/>
      <c r="AM44" s="1002"/>
      <c r="AN44" s="1002"/>
      <c r="AO44" s="1002"/>
      <c r="AP44" s="1002"/>
      <c r="AQ44" s="1002"/>
      <c r="AR44" s="1002"/>
      <c r="AS44" s="1002"/>
      <c r="AT44" s="1002"/>
      <c r="AU44" s="1002"/>
      <c r="AV44" s="1002"/>
      <c r="AW44" s="1002"/>
      <c r="AX44" s="1002"/>
      <c r="AY44" s="1002"/>
      <c r="AZ44" s="1002"/>
      <c r="BA44" s="1002"/>
      <c r="BB44" s="1002"/>
      <c r="BC44" s="1002"/>
      <c r="BD44" s="1002"/>
      <c r="BE44" s="1002"/>
      <c r="BF44" s="1002"/>
      <c r="BG44" s="1002"/>
      <c r="BH44" s="49"/>
      <c r="BI44" s="1003" t="s">
        <v>208</v>
      </c>
      <c r="BJ44" s="1003"/>
      <c r="BK44" s="1003"/>
      <c r="BL44" s="1003"/>
      <c r="BM44" s="1003"/>
      <c r="BN44" s="1003"/>
      <c r="BO44" s="1003"/>
      <c r="BP44" s="1003"/>
      <c r="BQ44" s="1003"/>
      <c r="BR44" s="1003"/>
      <c r="BS44" s="1003"/>
      <c r="BT44" s="49"/>
      <c r="BU44" s="1002" t="s">
        <v>880</v>
      </c>
      <c r="BV44" s="1002"/>
      <c r="BW44" s="1002"/>
      <c r="BX44" s="1002"/>
      <c r="BY44" s="1002"/>
      <c r="BZ44" s="1002"/>
      <c r="CA44" s="1002"/>
      <c r="CB44" s="1002"/>
      <c r="CC44" s="1002"/>
      <c r="CD44" s="1002"/>
      <c r="CE44" s="1002"/>
      <c r="CF44" s="1002"/>
      <c r="CG44" s="1002"/>
      <c r="CH44" s="1002"/>
      <c r="CI44" s="1002"/>
      <c r="CJ44" s="1002"/>
      <c r="CK44" s="1002"/>
      <c r="CL44" s="1002"/>
      <c r="CM44" s="1002"/>
      <c r="CN44" s="1002"/>
      <c r="CO44" s="1002"/>
      <c r="CP44" s="1002"/>
      <c r="CQ44" s="1002"/>
      <c r="CR44" s="1002"/>
      <c r="CS44" s="1002"/>
      <c r="CT44" s="1002"/>
      <c r="CU44" s="1002"/>
      <c r="CV44" s="1002"/>
      <c r="CW44" s="1002"/>
      <c r="CX44" s="1002"/>
      <c r="CY44" s="1002"/>
      <c r="CZ44" s="1002"/>
      <c r="DA44" s="1002"/>
      <c r="DB44" s="1002"/>
      <c r="DH44" s="150"/>
    </row>
    <row r="45" spans="1:112" s="225" customFormat="1" ht="9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01" t="s">
        <v>212</v>
      </c>
      <c r="BV45" s="1001"/>
      <c r="BW45" s="1001"/>
      <c r="BX45" s="1001"/>
      <c r="BY45" s="1001"/>
      <c r="BZ45" s="1001"/>
      <c r="CA45" s="1001"/>
      <c r="CB45" s="1001"/>
      <c r="CC45" s="1001"/>
      <c r="CD45" s="1001"/>
      <c r="CE45" s="1001"/>
      <c r="CF45" s="1001"/>
      <c r="CG45" s="1001"/>
      <c r="CH45" s="1001"/>
      <c r="CI45" s="1001"/>
      <c r="CJ45" s="1001"/>
      <c r="CK45" s="1001"/>
      <c r="CL45" s="1001"/>
      <c r="CM45" s="1001"/>
      <c r="CN45" s="1001"/>
      <c r="CO45" s="1001"/>
      <c r="CP45" s="1001"/>
      <c r="CQ45" s="1001"/>
      <c r="CR45" s="1001"/>
      <c r="CS45" s="1001"/>
      <c r="CT45" s="1001"/>
      <c r="CU45" s="1001"/>
      <c r="CV45" s="1001"/>
      <c r="CW45" s="1001"/>
      <c r="CX45" s="1001"/>
      <c r="CY45" s="1001"/>
      <c r="CZ45" s="1001"/>
      <c r="DA45" s="1001"/>
      <c r="DB45" s="1001"/>
      <c r="DH45" s="229"/>
    </row>
    <row r="46" spans="1:112" ht="15" customHeight="1">
      <c r="A46" s="19" t="s">
        <v>213</v>
      </c>
      <c r="DH46" s="141"/>
    </row>
    <row r="47" spans="1:112" ht="45.75" customHeight="1">
      <c r="A47" s="912" t="s">
        <v>481</v>
      </c>
      <c r="B47" s="912"/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2"/>
      <c r="AP47" s="912"/>
      <c r="AQ47" s="912"/>
      <c r="AR47" s="912"/>
      <c r="AS47" s="912"/>
      <c r="AT47" s="912"/>
      <c r="AU47" s="912"/>
      <c r="AV47" s="912"/>
      <c r="AW47" s="912"/>
      <c r="AX47" s="912"/>
      <c r="AY47" s="912"/>
      <c r="AZ47" s="912"/>
      <c r="BA47" s="912"/>
      <c r="BB47" s="912"/>
      <c r="BC47" s="912"/>
      <c r="BD47" s="912"/>
      <c r="BE47" s="912"/>
      <c r="BF47" s="912"/>
      <c r="BG47" s="912"/>
      <c r="BH47" s="912"/>
      <c r="BI47" s="912"/>
      <c r="BJ47" s="912"/>
      <c r="BK47" s="912"/>
      <c r="BL47" s="912"/>
      <c r="BM47" s="912"/>
      <c r="BN47" s="912"/>
      <c r="BO47" s="912"/>
      <c r="BP47" s="912"/>
      <c r="BQ47" s="912"/>
      <c r="BR47" s="912"/>
      <c r="BS47" s="912"/>
      <c r="BT47" s="912"/>
      <c r="BU47" s="912"/>
      <c r="BV47" s="912"/>
      <c r="BW47" s="912"/>
      <c r="BX47" s="912"/>
      <c r="BY47" s="912"/>
      <c r="BZ47" s="912"/>
      <c r="CA47" s="912"/>
      <c r="CB47" s="912"/>
      <c r="CC47" s="912"/>
      <c r="CD47" s="912"/>
      <c r="CE47" s="912"/>
      <c r="CF47" s="912"/>
      <c r="CG47" s="912"/>
      <c r="CH47" s="912"/>
      <c r="CI47" s="912"/>
      <c r="CJ47" s="912"/>
      <c r="CK47" s="912"/>
      <c r="CL47" s="912"/>
      <c r="CM47" s="912"/>
      <c r="CN47" s="912"/>
      <c r="CO47" s="912"/>
      <c r="CP47" s="912"/>
      <c r="CQ47" s="912"/>
      <c r="CR47" s="912"/>
      <c r="CS47" s="912"/>
      <c r="CT47" s="912"/>
      <c r="CU47" s="912"/>
      <c r="CV47" s="912"/>
      <c r="CW47" s="912"/>
      <c r="CX47" s="912"/>
      <c r="CY47" s="912"/>
      <c r="CZ47" s="912"/>
      <c r="DA47" s="912"/>
      <c r="DB47" s="912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1" t="s">
        <v>862</v>
      </c>
      <c r="AR49" s="771"/>
      <c r="AS49" s="771"/>
      <c r="AT49" s="771"/>
      <c r="AU49" s="771"/>
      <c r="AV49" s="771"/>
      <c r="AW49" s="771"/>
      <c r="AX49" s="771"/>
      <c r="AY49" s="771"/>
      <c r="AZ49" s="771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58" t="s">
        <v>745</v>
      </c>
      <c r="Q56" s="758"/>
      <c r="R56" s="758"/>
      <c r="S56" s="758"/>
      <c r="T56" s="758"/>
      <c r="U56" s="758"/>
      <c r="V56" s="758"/>
      <c r="W56" s="758"/>
      <c r="X56" s="758"/>
      <c r="Y56" s="758"/>
      <c r="Z56" s="758"/>
      <c r="AA56" s="758"/>
      <c r="AB56" s="758"/>
      <c r="AC56" s="758"/>
      <c r="AD56" s="758"/>
      <c r="AE56" s="758"/>
      <c r="AF56" s="758"/>
      <c r="AG56" s="758"/>
      <c r="AH56" s="758"/>
      <c r="AI56" s="758"/>
      <c r="AJ56" s="758"/>
      <c r="AK56" s="758"/>
      <c r="AL56" s="758"/>
      <c r="AM56" s="758"/>
      <c r="AN56" s="758"/>
      <c r="AO56" s="758"/>
      <c r="AP56" s="758"/>
      <c r="AQ56" s="758"/>
      <c r="AR56" s="758"/>
      <c r="AS56" s="758"/>
      <c r="AT56" s="758"/>
      <c r="AU56" s="758"/>
      <c r="AV56" s="758"/>
      <c r="AW56" s="758"/>
      <c r="AX56" s="758"/>
      <c r="AY56" s="758"/>
      <c r="AZ56" s="758"/>
      <c r="BA56" s="758"/>
      <c r="BB56" s="758"/>
      <c r="BC56" s="758"/>
      <c r="BD56" s="758"/>
      <c r="BE56" s="758"/>
      <c r="BF56" s="758"/>
      <c r="BG56" s="758"/>
      <c r="BH56" s="758"/>
      <c r="BI56" s="758"/>
      <c r="BJ56" s="758"/>
      <c r="BK56" s="758"/>
      <c r="BL56" s="758"/>
      <c r="BM56" s="758"/>
      <c r="BN56" s="758"/>
      <c r="BO56" s="758"/>
      <c r="BP56" s="758"/>
      <c r="BQ56" s="758"/>
      <c r="BR56" s="758"/>
      <c r="BS56" s="758"/>
      <c r="BT56" s="758"/>
      <c r="BU56" s="758"/>
      <c r="BV56" s="758"/>
      <c r="BW56" s="758"/>
      <c r="BX56" s="758"/>
      <c r="BY56" s="758"/>
      <c r="BZ56" s="758"/>
      <c r="CA56" s="758"/>
      <c r="CB56" s="758"/>
      <c r="CC56" s="758"/>
      <c r="CD56" s="758"/>
      <c r="CE56" s="758"/>
      <c r="CF56" s="758"/>
      <c r="CG56" s="758"/>
      <c r="CH56" s="758"/>
      <c r="CI56" s="758"/>
      <c r="CJ56" s="758"/>
      <c r="CK56" s="758"/>
      <c r="CL56" s="758"/>
      <c r="CM56" s="758"/>
      <c r="CN56" s="758"/>
      <c r="CO56" s="758"/>
      <c r="CP56" s="758"/>
      <c r="CQ56" s="758"/>
      <c r="CR56" s="758"/>
      <c r="CS56" s="758"/>
      <c r="CT56" s="758"/>
      <c r="CU56" s="758"/>
      <c r="CV56" s="758"/>
      <c r="CW56" s="758"/>
      <c r="CX56" s="758"/>
      <c r="CY56" s="758"/>
      <c r="CZ56" s="758"/>
      <c r="DA56" s="758"/>
      <c r="DB56" s="758"/>
      <c r="DH56" s="141"/>
    </row>
    <row r="57" spans="1:112" ht="14">
      <c r="A57" s="726"/>
      <c r="B57" s="726"/>
      <c r="C57" s="726"/>
      <c r="D57" s="726"/>
      <c r="E57" s="726"/>
      <c r="F57" s="726"/>
      <c r="G57" s="726"/>
      <c r="H57" s="726"/>
      <c r="I57" s="726"/>
      <c r="J57" s="726"/>
      <c r="K57" s="726"/>
      <c r="L57" s="726"/>
      <c r="M57" s="726"/>
      <c r="N57" s="726"/>
      <c r="O57" s="726"/>
      <c r="P57" s="726"/>
      <c r="Q57" s="726"/>
      <c r="R57" s="726"/>
      <c r="S57" s="726"/>
      <c r="T57" s="726"/>
      <c r="U57" s="726"/>
      <c r="V57" s="726"/>
      <c r="W57" s="726"/>
      <c r="X57" s="726"/>
      <c r="Y57" s="726"/>
      <c r="Z57" s="726"/>
      <c r="AA57" s="726"/>
      <c r="AB57" s="726"/>
      <c r="AC57" s="726"/>
      <c r="AD57" s="726"/>
      <c r="AE57" s="726"/>
      <c r="AF57" s="726"/>
      <c r="AG57" s="726"/>
      <c r="AH57" s="726"/>
      <c r="AI57" s="726"/>
      <c r="AJ57" s="726"/>
      <c r="AK57" s="726"/>
      <c r="AL57" s="726"/>
      <c r="AM57" s="726"/>
      <c r="AN57" s="726"/>
      <c r="AO57" s="726"/>
      <c r="AP57" s="726"/>
      <c r="AQ57" s="726"/>
      <c r="AR57" s="726"/>
      <c r="AS57" s="726"/>
      <c r="AT57" s="726"/>
      <c r="AU57" s="726"/>
      <c r="AV57" s="726"/>
      <c r="AW57" s="726"/>
      <c r="AX57" s="726"/>
      <c r="AY57" s="726"/>
      <c r="AZ57" s="726"/>
      <c r="BA57" s="726"/>
      <c r="BB57" s="726"/>
      <c r="BC57" s="726"/>
      <c r="BD57" s="726"/>
      <c r="BE57" s="726"/>
      <c r="BF57" s="726"/>
      <c r="BG57" s="726"/>
      <c r="BH57" s="726"/>
      <c r="BI57" s="726"/>
      <c r="BJ57" s="726"/>
      <c r="BK57" s="726"/>
      <c r="BL57" s="726"/>
      <c r="BM57" s="726"/>
      <c r="BN57" s="726"/>
      <c r="BO57" s="726"/>
      <c r="BP57" s="726"/>
      <c r="BQ57" s="726"/>
      <c r="BR57" s="726"/>
      <c r="BS57" s="726"/>
      <c r="BT57" s="726"/>
      <c r="BU57" s="726"/>
      <c r="BV57" s="726"/>
      <c r="BW57" s="726"/>
      <c r="BX57" s="726"/>
      <c r="BY57" s="726"/>
      <c r="BZ57" s="726"/>
      <c r="CA57" s="726"/>
      <c r="CB57" s="726"/>
      <c r="CC57" s="726"/>
      <c r="CD57" s="726"/>
      <c r="CE57" s="726"/>
      <c r="CF57" s="726"/>
      <c r="CG57" s="726"/>
      <c r="CH57" s="726"/>
      <c r="CI57" s="726"/>
      <c r="CJ57" s="726"/>
      <c r="CK57" s="726"/>
      <c r="CL57" s="726"/>
      <c r="CM57" s="726"/>
      <c r="CN57" s="726"/>
      <c r="CO57" s="726"/>
      <c r="CP57" s="726"/>
      <c r="CQ57" s="726"/>
      <c r="CR57" s="726"/>
      <c r="CS57" s="726"/>
      <c r="CT57" s="726"/>
      <c r="CU57" s="726"/>
      <c r="CV57" s="726"/>
      <c r="CW57" s="726"/>
      <c r="CX57" s="726"/>
      <c r="CY57" s="726"/>
      <c r="CZ57" s="726"/>
      <c r="DA57" s="726"/>
      <c r="DB57" s="726"/>
      <c r="DH57" s="141"/>
    </row>
    <row r="58" spans="1:112" ht="27.75" customHeight="1">
      <c r="A58" s="767" t="s">
        <v>54</v>
      </c>
      <c r="B58" s="767"/>
      <c r="C58" s="767"/>
      <c r="D58" s="767"/>
      <c r="E58" s="767"/>
      <c r="F58" s="767"/>
      <c r="G58" s="767"/>
      <c r="H58" s="767"/>
      <c r="I58" s="767"/>
      <c r="J58" s="767"/>
      <c r="K58" s="767"/>
      <c r="L58" s="767"/>
      <c r="M58" s="767"/>
      <c r="N58" s="767"/>
      <c r="O58" s="767"/>
      <c r="P58" s="767"/>
      <c r="Q58" s="767"/>
      <c r="R58" s="767"/>
      <c r="S58" s="767"/>
      <c r="T58" s="767"/>
      <c r="U58" s="767"/>
      <c r="V58" s="767"/>
      <c r="W58" s="767"/>
      <c r="X58" s="767"/>
      <c r="Y58" s="767"/>
      <c r="Z58" s="767"/>
      <c r="AB58" s="760"/>
      <c r="AC58" s="760"/>
      <c r="AD58" s="760"/>
      <c r="AE58" s="760"/>
      <c r="AF58" s="760"/>
      <c r="AG58" s="760"/>
      <c r="AH58" s="760"/>
      <c r="AI58" s="760"/>
      <c r="AJ58" s="760"/>
      <c r="AK58" s="760"/>
      <c r="AL58" s="760"/>
      <c r="AM58" s="760"/>
      <c r="AN58" s="760"/>
      <c r="AO58" s="760"/>
      <c r="AP58" s="760"/>
      <c r="AQ58" s="760"/>
      <c r="AR58" s="760"/>
      <c r="AS58" s="760"/>
      <c r="AT58" s="760"/>
      <c r="AU58" s="760"/>
      <c r="AV58" s="760"/>
      <c r="AW58" s="760"/>
      <c r="AX58" s="760"/>
      <c r="AY58" s="760"/>
      <c r="AZ58" s="760"/>
      <c r="BA58" s="760"/>
      <c r="BB58" s="760"/>
      <c r="BC58" s="760"/>
      <c r="BD58" s="760"/>
      <c r="BE58" s="760"/>
      <c r="BF58" s="760"/>
      <c r="BG58" s="760"/>
      <c r="BH58" s="760"/>
      <c r="BI58" s="760"/>
      <c r="BJ58" s="760"/>
      <c r="BK58" s="760"/>
      <c r="BL58" s="760"/>
      <c r="BM58" s="760"/>
      <c r="BN58" s="760"/>
      <c r="BO58" s="760"/>
      <c r="BP58" s="760"/>
      <c r="BQ58" s="760"/>
      <c r="BR58" s="760"/>
      <c r="BS58" s="760"/>
      <c r="BT58" s="760"/>
      <c r="BU58" s="760"/>
      <c r="BV58" s="760"/>
      <c r="BX58" s="771" t="str">
        <f>ПОДПИСИ!E12</f>
        <v>А.Р. Махмадов</v>
      </c>
      <c r="BY58" s="771"/>
      <c r="BZ58" s="771"/>
      <c r="CA58" s="771"/>
      <c r="CB58" s="771"/>
      <c r="CC58" s="771"/>
      <c r="CD58" s="771"/>
      <c r="CE58" s="771"/>
      <c r="CF58" s="771"/>
      <c r="CG58" s="771"/>
      <c r="CH58" s="771"/>
      <c r="CI58" s="771"/>
      <c r="CJ58" s="771"/>
      <c r="CK58" s="771"/>
      <c r="CL58" s="771"/>
      <c r="CM58" s="771"/>
      <c r="CN58" s="771"/>
      <c r="CO58" s="771"/>
      <c r="CP58" s="771"/>
      <c r="CQ58" s="771"/>
      <c r="CR58" s="771"/>
      <c r="CS58" s="771"/>
      <c r="CT58" s="771"/>
      <c r="CU58" s="771"/>
      <c r="CV58" s="771"/>
      <c r="CW58" s="771"/>
      <c r="CX58" s="771"/>
      <c r="CY58" s="771"/>
      <c r="CZ58" s="771"/>
      <c r="DA58" s="771"/>
      <c r="DB58" s="77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112" priority="3" operator="equal">
      <formula>0</formula>
    </cfRule>
  </conditionalFormatting>
  <conditionalFormatting sqref="AV2:BC7 A2:A9 AV8:BB8 AV9:BC9">
    <cfRule type="cellIs" dxfId="111" priority="4" operator="equal">
      <formula>0</formula>
    </cfRule>
  </conditionalFormatting>
  <conditionalFormatting sqref="DH2:DH7">
    <cfRule type="cellIs" dxfId="110" priority="2" operator="equal">
      <formula>0</formula>
    </cfRule>
  </conditionalFormatting>
  <conditionalFormatting sqref="DH9">
    <cfRule type="cellIs" dxfId="10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topLeftCell="A6" zoomScale="60" zoomScaleNormal="100" workbookViewId="0">
      <selection activeCell="C430" sqref="C430:Y430"/>
    </sheetView>
  </sheetViews>
  <sheetFormatPr defaultColWidth="9.1796875" defaultRowHeight="14.5"/>
  <cols>
    <col min="1" max="73" width="0.81640625" style="19" customWidth="1"/>
    <col min="74" max="74" width="1" style="19" customWidth="1"/>
    <col min="75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" style="147" customWidth="1"/>
    <col min="113" max="16384" width="9.179687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BC2" s="758" t="str">
        <f>ФОРМА!G2</f>
        <v>Санкт-Петербург</v>
      </c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21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BC3" s="770" t="s">
        <v>0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21"/>
      <c r="AW5" s="21"/>
      <c r="AX5" s="21"/>
      <c r="AY5" s="21"/>
      <c r="AZ5" s="21"/>
      <c r="BA5" s="21"/>
      <c r="BB5" s="21"/>
      <c r="BC5" s="770" t="s">
        <v>2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31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21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21"/>
      <c r="AW7" s="21"/>
      <c r="AX7" s="21"/>
      <c r="AY7" s="21"/>
      <c r="AZ7" s="21"/>
      <c r="BA7" s="21"/>
      <c r="BB7" s="21"/>
      <c r="BC7" s="770" t="s">
        <v>38</v>
      </c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BC8" s="735">
        <f>ФОРМА!B13</f>
        <v>45625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s="24" customFormat="1" ht="1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21"/>
      <c r="AW9" s="21"/>
      <c r="AX9" s="21"/>
      <c r="AY9" s="21"/>
      <c r="AZ9" s="21"/>
      <c r="BA9" s="21"/>
      <c r="BB9" s="21"/>
      <c r="BC9" s="770" t="s">
        <v>3</v>
      </c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21" t="s">
        <v>506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22.5" customHeight="1">
      <c r="A12" s="1021" t="s">
        <v>178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  <c r="BU12" s="1021"/>
      <c r="BV12" s="1021"/>
      <c r="BW12" s="1021"/>
      <c r="BX12" s="1021"/>
      <c r="BY12" s="1021"/>
      <c r="BZ12" s="1021"/>
      <c r="CA12" s="1021"/>
      <c r="CB12" s="1021"/>
      <c r="CC12" s="1021"/>
      <c r="CD12" s="1021"/>
      <c r="CE12" s="1021"/>
      <c r="CF12" s="1021"/>
      <c r="CG12" s="1021"/>
      <c r="CH12" s="1021"/>
      <c r="CI12" s="1021"/>
      <c r="CJ12" s="1021"/>
      <c r="CK12" s="1021"/>
      <c r="CL12" s="1021"/>
      <c r="CM12" s="1021"/>
      <c r="CN12" s="1021"/>
      <c r="CO12" s="1021"/>
      <c r="CP12" s="1021"/>
      <c r="CQ12" s="1021"/>
      <c r="CR12" s="1021"/>
      <c r="CS12" s="1021"/>
      <c r="CT12" s="1021"/>
      <c r="CU12" s="1021"/>
      <c r="CV12" s="1021"/>
      <c r="CW12" s="1021"/>
      <c r="CX12" s="1021"/>
      <c r="CY12" s="1021"/>
      <c r="CZ12" s="1021"/>
      <c r="DA12" s="1021"/>
      <c r="DB12" s="1021"/>
    </row>
    <row r="13" spans="1:112" ht="71.25" customHeight="1">
      <c r="A13" s="1022" t="s">
        <v>179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11" t="s">
        <v>180</v>
      </c>
      <c r="Y13" s="1011"/>
      <c r="Z13" s="1011"/>
      <c r="AA13" s="1011"/>
      <c r="AB13" s="1011"/>
      <c r="AC13" s="1011"/>
      <c r="AD13" s="1011"/>
      <c r="AE13" s="1011"/>
      <c r="AF13" s="1011"/>
      <c r="AG13" s="1011"/>
      <c r="AH13" s="1011"/>
      <c r="AI13" s="1011"/>
      <c r="AJ13" s="1011"/>
      <c r="AK13" s="1011"/>
      <c r="AL13" s="1011"/>
      <c r="AM13" s="1011"/>
      <c r="AN13" s="1011"/>
      <c r="AO13" s="1011"/>
      <c r="AP13" s="1011" t="s">
        <v>181</v>
      </c>
      <c r="AQ13" s="1011"/>
      <c r="AR13" s="1011"/>
      <c r="AS13" s="1011"/>
      <c r="AT13" s="1011"/>
      <c r="AU13" s="1011"/>
      <c r="AV13" s="1011"/>
      <c r="AW13" s="1011"/>
      <c r="AX13" s="1011"/>
      <c r="AY13" s="1011"/>
      <c r="AZ13" s="1011"/>
      <c r="BA13" s="1011"/>
      <c r="BB13" s="1011"/>
      <c r="BC13" s="1011"/>
      <c r="BD13" s="1011"/>
      <c r="BE13" s="1011"/>
      <c r="BF13" s="1011"/>
      <c r="BG13" s="1011"/>
      <c r="BH13" s="1011"/>
      <c r="BI13" s="1011"/>
      <c r="BJ13" s="1011"/>
      <c r="BK13" s="1011"/>
      <c r="BL13" s="1011" t="s">
        <v>182</v>
      </c>
      <c r="BM13" s="1011"/>
      <c r="BN13" s="1011"/>
      <c r="BO13" s="1011"/>
      <c r="BP13" s="1011"/>
      <c r="BQ13" s="1011"/>
      <c r="BR13" s="1011"/>
      <c r="BS13" s="1011"/>
      <c r="BT13" s="1011"/>
      <c r="BU13" s="1011"/>
      <c r="BV13" s="1011"/>
      <c r="BW13" s="1011"/>
      <c r="BX13" s="1011"/>
      <c r="BY13" s="1011"/>
      <c r="BZ13" s="1011"/>
      <c r="CA13" s="1011"/>
      <c r="CB13" s="1011"/>
      <c r="CC13" s="1011"/>
      <c r="CD13" s="1011"/>
      <c r="CE13" s="1011"/>
      <c r="CF13" s="1011"/>
      <c r="CG13" s="1011" t="s">
        <v>183</v>
      </c>
      <c r="CH13" s="1011"/>
      <c r="CI13" s="1011"/>
      <c r="CJ13" s="1011"/>
      <c r="CK13" s="1011"/>
      <c r="CL13" s="1011"/>
      <c r="CM13" s="1011"/>
      <c r="CN13" s="1011"/>
      <c r="CO13" s="1011"/>
      <c r="CP13" s="1011"/>
      <c r="CQ13" s="1011"/>
      <c r="CR13" s="1011"/>
      <c r="CS13" s="1011"/>
      <c r="CT13" s="1011"/>
      <c r="CU13" s="1011"/>
      <c r="CV13" s="1011"/>
      <c r="CW13" s="1011"/>
      <c r="CX13" s="1011"/>
      <c r="CY13" s="1011"/>
      <c r="CZ13" s="1011"/>
      <c r="DA13" s="1011"/>
      <c r="DB13" s="1011"/>
    </row>
    <row r="14" spans="1:112" ht="30.65" customHeight="1">
      <c r="A14" s="730" t="s">
        <v>884</v>
      </c>
      <c r="B14" s="731"/>
      <c r="C14" s="731"/>
      <c r="D14" s="731"/>
      <c r="E14" s="731"/>
      <c r="F14" s="731"/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2"/>
      <c r="X14" s="727">
        <v>2</v>
      </c>
      <c r="Y14" s="727"/>
      <c r="Z14" s="727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 t="s">
        <v>1725</v>
      </c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 t="s">
        <v>886</v>
      </c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  <c r="BX14" s="727"/>
      <c r="BY14" s="727"/>
      <c r="BZ14" s="727"/>
      <c r="CA14" s="727"/>
      <c r="CB14" s="727"/>
      <c r="CC14" s="727"/>
      <c r="CD14" s="727"/>
      <c r="CE14" s="727"/>
      <c r="CF14" s="727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30.65" hidden="1" customHeight="1">
      <c r="A15" s="730" t="s">
        <v>885</v>
      </c>
      <c r="B15" s="731"/>
      <c r="C15" s="731"/>
      <c r="D15" s="731"/>
      <c r="E15" s="731"/>
      <c r="F15" s="731"/>
      <c r="G15" s="731"/>
      <c r="H15" s="731"/>
      <c r="I15" s="731"/>
      <c r="J15" s="731"/>
      <c r="K15" s="731"/>
      <c r="L15" s="731"/>
      <c r="M15" s="731"/>
      <c r="N15" s="731"/>
      <c r="O15" s="731"/>
      <c r="P15" s="731"/>
      <c r="Q15" s="731"/>
      <c r="R15" s="731"/>
      <c r="S15" s="731"/>
      <c r="T15" s="731"/>
      <c r="U15" s="731"/>
      <c r="V15" s="731"/>
      <c r="W15" s="732"/>
      <c r="X15" s="727">
        <v>1</v>
      </c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 t="s">
        <v>882</v>
      </c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 t="s">
        <v>886</v>
      </c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  <c r="BX15" s="727"/>
      <c r="BY15" s="727"/>
      <c r="BZ15" s="727"/>
      <c r="CA15" s="727"/>
      <c r="CB15" s="727"/>
      <c r="CC15" s="727"/>
      <c r="CD15" s="727"/>
      <c r="CE15" s="727"/>
      <c r="CF15" s="727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.65" hidden="1" customHeight="1">
      <c r="A16" s="730" t="s">
        <v>872</v>
      </c>
      <c r="B16" s="731"/>
      <c r="C16" s="731"/>
      <c r="D16" s="731"/>
      <c r="E16" s="731"/>
      <c r="F16" s="731"/>
      <c r="G16" s="731"/>
      <c r="H16" s="731"/>
      <c r="I16" s="731"/>
      <c r="J16" s="731"/>
      <c r="K16" s="731"/>
      <c r="L16" s="731"/>
      <c r="M16" s="731"/>
      <c r="N16" s="731"/>
      <c r="O16" s="731"/>
      <c r="P16" s="731"/>
      <c r="Q16" s="731"/>
      <c r="R16" s="731"/>
      <c r="S16" s="731"/>
      <c r="T16" s="731"/>
      <c r="U16" s="731"/>
      <c r="V16" s="731"/>
      <c r="W16" s="732"/>
      <c r="X16" s="727">
        <v>4</v>
      </c>
      <c r="Y16" s="727"/>
      <c r="Z16" s="727"/>
      <c r="AA16" s="727"/>
      <c r="AB16" s="727"/>
      <c r="AC16" s="727"/>
      <c r="AD16" s="727"/>
      <c r="AE16" s="727"/>
      <c r="AF16" s="727"/>
      <c r="AG16" s="727"/>
      <c r="AH16" s="727"/>
      <c r="AI16" s="727"/>
      <c r="AJ16" s="727"/>
      <c r="AK16" s="727"/>
      <c r="AL16" s="727"/>
      <c r="AM16" s="727"/>
      <c r="AN16" s="727"/>
      <c r="AO16" s="727"/>
      <c r="AP16" s="727" t="s">
        <v>883</v>
      </c>
      <c r="AQ16" s="727"/>
      <c r="AR16" s="727"/>
      <c r="AS16" s="727"/>
      <c r="AT16" s="727"/>
      <c r="AU16" s="727"/>
      <c r="AV16" s="727"/>
      <c r="AW16" s="727"/>
      <c r="AX16" s="727"/>
      <c r="AY16" s="727"/>
      <c r="AZ16" s="727"/>
      <c r="BA16" s="727"/>
      <c r="BB16" s="727"/>
      <c r="BC16" s="727"/>
      <c r="BD16" s="727"/>
      <c r="BE16" s="727"/>
      <c r="BF16" s="727"/>
      <c r="BG16" s="727"/>
      <c r="BH16" s="727"/>
      <c r="BI16" s="727"/>
      <c r="BJ16" s="727"/>
      <c r="BK16" s="727"/>
      <c r="BL16" s="727" t="s">
        <v>887</v>
      </c>
      <c r="BM16" s="727"/>
      <c r="BN16" s="727"/>
      <c r="BO16" s="727"/>
      <c r="BP16" s="727"/>
      <c r="BQ16" s="727"/>
      <c r="BR16" s="727"/>
      <c r="BS16" s="727"/>
      <c r="BT16" s="727"/>
      <c r="BU16" s="727"/>
      <c r="BV16" s="727"/>
      <c r="BW16" s="727"/>
      <c r="BX16" s="727"/>
      <c r="BY16" s="727"/>
      <c r="BZ16" s="727"/>
      <c r="CA16" s="727"/>
      <c r="CB16" s="727"/>
      <c r="CC16" s="727"/>
      <c r="CD16" s="727"/>
      <c r="CE16" s="727"/>
      <c r="CF16" s="727"/>
      <c r="CG16" s="754"/>
      <c r="CH16" s="754"/>
      <c r="CI16" s="754"/>
      <c r="CJ16" s="754"/>
      <c r="CK16" s="754"/>
      <c r="CL16" s="754"/>
      <c r="CM16" s="754"/>
      <c r="CN16" s="754"/>
      <c r="CO16" s="754"/>
      <c r="CP16" s="754"/>
      <c r="CQ16" s="754"/>
      <c r="CR16" s="754"/>
      <c r="CS16" s="754"/>
      <c r="CT16" s="754"/>
      <c r="CU16" s="754"/>
      <c r="CV16" s="754"/>
      <c r="CW16" s="754"/>
      <c r="CX16" s="754"/>
      <c r="CY16" s="754"/>
      <c r="CZ16" s="754"/>
      <c r="DA16" s="754"/>
      <c r="DB16" s="754"/>
    </row>
    <row r="17" spans="1:112" ht="15" customHeight="1">
      <c r="A17" s="1008" t="s">
        <v>184</v>
      </c>
      <c r="B17" s="1009"/>
      <c r="C17" s="1009"/>
      <c r="D17" s="1009"/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10"/>
      <c r="X17" s="754">
        <f>SUM(X14:AO16)</f>
        <v>7</v>
      </c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1301" t="s">
        <v>1726</v>
      </c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302"/>
      <c r="BL17" s="1302"/>
      <c r="BM17" s="1302"/>
      <c r="BN17" s="1302"/>
      <c r="BO17" s="1302"/>
      <c r="BP17" s="1302"/>
      <c r="BQ17" s="1302"/>
      <c r="BR17" s="1302"/>
      <c r="BS17" s="1302"/>
      <c r="BT17" s="1302"/>
      <c r="BU17" s="1302"/>
      <c r="BV17" s="1302"/>
      <c r="BW17" s="1302"/>
      <c r="BX17" s="1302"/>
      <c r="BY17" s="1302"/>
      <c r="BZ17" s="1302"/>
      <c r="CA17" s="1302"/>
      <c r="CB17" s="1302"/>
      <c r="CC17" s="1302"/>
      <c r="CD17" s="1302"/>
      <c r="CE17" s="1302"/>
      <c r="CF17" s="1302"/>
      <c r="CG17" s="1302"/>
      <c r="CH17" s="1302"/>
      <c r="CI17" s="1302"/>
      <c r="CJ17" s="1302"/>
      <c r="CK17" s="1302"/>
      <c r="CL17" s="1302"/>
      <c r="CM17" s="1302"/>
      <c r="CN17" s="1302"/>
      <c r="CO17" s="1302"/>
      <c r="CP17" s="1302"/>
      <c r="CQ17" s="1302"/>
      <c r="CR17" s="1302"/>
      <c r="CS17" s="1302"/>
      <c r="CT17" s="1302"/>
      <c r="CU17" s="1302"/>
      <c r="CV17" s="1302"/>
      <c r="CW17" s="1302"/>
      <c r="CX17" s="1302"/>
      <c r="CY17" s="1302"/>
      <c r="CZ17" s="1302"/>
      <c r="DA17" s="1302"/>
      <c r="DB17" s="1303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06">
        <v>0.4</v>
      </c>
      <c r="K22" s="1006"/>
      <c r="L22" s="1006"/>
      <c r="M22" s="1006"/>
      <c r="N22" s="1006"/>
      <c r="O22" s="1006"/>
      <c r="P22" s="1006"/>
      <c r="Q22" s="1006"/>
      <c r="R22" s="1006"/>
      <c r="S22" s="1006"/>
      <c r="T22" s="1006"/>
      <c r="U22" s="1007" t="s">
        <v>188</v>
      </c>
      <c r="V22" s="1007"/>
      <c r="W22" s="1007"/>
      <c r="X22" s="1007"/>
      <c r="Y22" s="1007"/>
      <c r="Z22" s="1007"/>
      <c r="AA22" s="1007"/>
      <c r="AB22" s="1007"/>
      <c r="AC22" s="1007"/>
      <c r="AD22" s="1007"/>
      <c r="AE22" s="1007"/>
      <c r="AF22" s="1007"/>
      <c r="AG22" s="1007"/>
      <c r="AH22" s="1007"/>
      <c r="AI22" s="1007"/>
      <c r="AJ22" s="1007"/>
      <c r="AK22" s="1007"/>
      <c r="AL22" s="1007"/>
      <c r="AM22" s="1007"/>
      <c r="AN22" s="1007"/>
      <c r="AO22" s="1007"/>
      <c r="AP22" s="1007"/>
      <c r="AQ22" s="1007"/>
      <c r="AR22" s="1007"/>
      <c r="AS22" s="1007"/>
      <c r="AT22" s="1007"/>
      <c r="AU22" s="1007"/>
      <c r="AV22" s="1007"/>
      <c r="AW22" s="1007"/>
      <c r="AX22" s="1007"/>
      <c r="AY22" s="1007"/>
      <c r="AZ22" s="1007"/>
      <c r="BA22" s="1007"/>
      <c r="BB22" s="1006" t="s">
        <v>737</v>
      </c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006"/>
      <c r="BM22" s="1007" t="s">
        <v>189</v>
      </c>
      <c r="BN22" s="1007"/>
      <c r="BO22" s="1007"/>
      <c r="BP22" s="1007"/>
      <c r="BQ22" s="1007"/>
      <c r="BR22" s="1007"/>
      <c r="BS22" s="1007"/>
      <c r="BT22" s="1007"/>
      <c r="BU22" s="1007"/>
      <c r="BV22" s="1007"/>
      <c r="BW22" s="1007"/>
      <c r="BX22" s="1007"/>
      <c r="BY22" s="1006" t="s">
        <v>742</v>
      </c>
      <c r="BZ22" s="1006"/>
      <c r="CA22" s="1006"/>
      <c r="CB22" s="1006"/>
      <c r="CC22" s="1006"/>
      <c r="CD22" s="1006"/>
      <c r="CE22" s="1006"/>
      <c r="CF22" s="1006"/>
      <c r="CG22" s="1006"/>
      <c r="CH22" s="1006"/>
      <c r="CI22" s="1006"/>
      <c r="CJ22" s="1006"/>
      <c r="CK22" s="1006"/>
      <c r="CL22" s="1006"/>
      <c r="CM22" s="1006"/>
      <c r="CN22" s="1006"/>
      <c r="CO22" s="1006"/>
      <c r="CP22" s="1006"/>
      <c r="CQ22" s="1006"/>
      <c r="CR22" s="1006"/>
      <c r="CS22" s="1006"/>
      <c r="CT22" s="1006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26" t="s">
        <v>712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726"/>
      <c r="U23" s="726"/>
      <c r="V23" s="726"/>
      <c r="W23" s="726"/>
      <c r="X23" s="758">
        <v>368.7</v>
      </c>
      <c r="Y23" s="758"/>
      <c r="Z23" s="758"/>
      <c r="AA23" s="758"/>
      <c r="AB23" s="758"/>
      <c r="AC23" s="758"/>
      <c r="AD23" s="758"/>
      <c r="AE23" s="758"/>
      <c r="AF23" s="758"/>
      <c r="AG23" s="758"/>
      <c r="AH23" s="726" t="s">
        <v>193</v>
      </c>
      <c r="AI23" s="726"/>
      <c r="AJ23" s="726"/>
      <c r="AK23" s="726"/>
      <c r="AL23" s="726"/>
      <c r="AM23" s="726"/>
      <c r="AN23" s="726"/>
      <c r="AO23" s="726"/>
      <c r="AP23" s="726"/>
      <c r="AQ23" s="726"/>
      <c r="AR23" s="726"/>
      <c r="AS23" s="726"/>
      <c r="AT23" s="726"/>
      <c r="AU23" s="726"/>
      <c r="AV23" s="726"/>
      <c r="AW23" s="726"/>
      <c r="AX23" s="726"/>
      <c r="AY23" s="726"/>
      <c r="AZ23" s="726"/>
      <c r="BA23" s="726"/>
      <c r="BB23" s="726"/>
      <c r="BC23" s="726"/>
      <c r="BD23" s="726"/>
      <c r="BE23" s="726"/>
      <c r="BF23" s="726"/>
      <c r="BG23" s="726"/>
      <c r="BH23" s="726"/>
      <c r="BI23" s="726"/>
      <c r="BJ23" s="726"/>
      <c r="BK23" s="726"/>
      <c r="BL23" s="726"/>
      <c r="BM23" s="726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771"/>
      <c r="CL23" s="771"/>
      <c r="CM23" s="771"/>
      <c r="CN23" s="771"/>
      <c r="CO23" s="771"/>
      <c r="CP23" s="771"/>
      <c r="CQ23" s="771"/>
      <c r="CR23" s="771"/>
      <c r="CS23" s="771"/>
      <c r="CT23" s="771"/>
      <c r="CU23" s="771"/>
      <c r="CV23" s="50"/>
      <c r="DD23" s="56"/>
      <c r="DE23" s="57"/>
      <c r="DF23" s="57"/>
    </row>
    <row r="24" spans="1:112" ht="15" customHeight="1">
      <c r="A24" s="726"/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26"/>
      <c r="AI24" s="726"/>
      <c r="AJ24" s="726"/>
      <c r="AK24" s="726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6" t="s">
        <v>65</v>
      </c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6" t="s">
        <v>65</v>
      </c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6"/>
      <c r="CI25" s="1006"/>
      <c r="CJ25" s="1006"/>
      <c r="CK25" s="1006"/>
      <c r="CL25" s="1006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19" t="s">
        <v>204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12" t="s">
        <v>701</v>
      </c>
      <c r="B31" s="1013"/>
      <c r="C31" s="1013"/>
      <c r="D31" s="1013"/>
      <c r="E31" s="1013"/>
      <c r="F31" s="1013"/>
      <c r="G31" s="1013"/>
      <c r="H31" s="1013"/>
      <c r="I31" s="1013"/>
      <c r="J31" s="1013"/>
      <c r="K31" s="1013"/>
      <c r="L31" s="1013"/>
      <c r="M31" s="1013"/>
      <c r="N31" s="1013"/>
      <c r="O31" s="1013"/>
      <c r="P31" s="1013"/>
      <c r="Q31" s="1013"/>
      <c r="R31" s="1013"/>
      <c r="S31" s="1013"/>
      <c r="T31" s="1013"/>
      <c r="U31" s="1013"/>
      <c r="V31" s="1014"/>
      <c r="W31" s="1012" t="s">
        <v>198</v>
      </c>
      <c r="X31" s="1013"/>
      <c r="Y31" s="1013"/>
      <c r="Z31" s="1013"/>
      <c r="AA31" s="1013"/>
      <c r="AB31" s="1013"/>
      <c r="AC31" s="1013"/>
      <c r="AD31" s="1013"/>
      <c r="AE31" s="1013"/>
      <c r="AF31" s="1013"/>
      <c r="AG31" s="1013"/>
      <c r="AH31" s="1013"/>
      <c r="AI31" s="1013"/>
      <c r="AJ31" s="1013"/>
      <c r="AK31" s="1013"/>
      <c r="AL31" s="1013"/>
      <c r="AM31" s="1013"/>
      <c r="AN31" s="1013"/>
      <c r="AO31" s="1013"/>
      <c r="AP31" s="1013"/>
      <c r="AQ31" s="1013"/>
      <c r="AR31" s="1013"/>
      <c r="AS31" s="1014"/>
      <c r="AT31" s="1012" t="s">
        <v>199</v>
      </c>
      <c r="AU31" s="1013"/>
      <c r="AV31" s="1013"/>
      <c r="AW31" s="1013"/>
      <c r="AX31" s="1013"/>
      <c r="AY31" s="1013"/>
      <c r="AZ31" s="1013"/>
      <c r="BA31" s="1013"/>
      <c r="BB31" s="1013"/>
      <c r="BC31" s="1013"/>
      <c r="BD31" s="1013"/>
      <c r="BE31" s="1013"/>
      <c r="BF31" s="1013"/>
      <c r="BG31" s="1013"/>
      <c r="BH31" s="1013"/>
      <c r="BI31" s="1013"/>
      <c r="BJ31" s="1013"/>
      <c r="BK31" s="1013"/>
      <c r="BL31" s="1013"/>
      <c r="BM31" s="1013"/>
      <c r="BN31" s="1013"/>
      <c r="BO31" s="1013"/>
      <c r="BP31" s="1013"/>
      <c r="BQ31" s="1013"/>
      <c r="BR31" s="1014"/>
      <c r="BS31" s="1020" t="s">
        <v>200</v>
      </c>
      <c r="BT31" s="1020"/>
      <c r="BU31" s="1020"/>
      <c r="BV31" s="1020"/>
      <c r="BW31" s="1020"/>
      <c r="BX31" s="1020"/>
      <c r="BY31" s="1020"/>
      <c r="BZ31" s="1020"/>
      <c r="CA31" s="1020"/>
      <c r="CB31" s="1020"/>
      <c r="CC31" s="1020"/>
      <c r="CD31" s="1020"/>
      <c r="CE31" s="1020"/>
      <c r="CF31" s="1020"/>
      <c r="CG31" s="1020"/>
      <c r="CH31" s="1020"/>
      <c r="CI31" s="1020"/>
      <c r="CJ31" s="1020"/>
      <c r="CK31" s="1020"/>
      <c r="CL31" s="1020"/>
      <c r="CM31" s="1020"/>
      <c r="CN31" s="1020"/>
      <c r="CO31" s="1020"/>
      <c r="CP31" s="1020"/>
      <c r="CQ31" s="1020"/>
      <c r="CR31" s="1020"/>
      <c r="CS31" s="1020"/>
      <c r="CT31" s="1020"/>
      <c r="CU31" s="1020"/>
      <c r="CV31" s="1020"/>
      <c r="CW31" s="1020"/>
      <c r="CX31" s="1020"/>
      <c r="CY31" s="1020"/>
      <c r="CZ31" s="1020"/>
      <c r="DA31" s="1020"/>
      <c r="DB31" s="1020"/>
    </row>
    <row r="32" spans="1:112" ht="39.75" customHeight="1">
      <c r="A32" s="1015"/>
      <c r="B32" s="1016"/>
      <c r="C32" s="1016"/>
      <c r="D32" s="1016"/>
      <c r="E32" s="1016"/>
      <c r="F32" s="1016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7"/>
      <c r="W32" s="1015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7"/>
      <c r="AT32" s="1015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/>
      <c r="BL32" s="1016"/>
      <c r="BM32" s="1016"/>
      <c r="BN32" s="1016"/>
      <c r="BO32" s="1016"/>
      <c r="BP32" s="1016"/>
      <c r="BQ32" s="1016"/>
      <c r="BR32" s="1017"/>
      <c r="BS32" s="1004" t="s">
        <v>201</v>
      </c>
      <c r="BT32" s="1004"/>
      <c r="BU32" s="1004"/>
      <c r="BV32" s="1004"/>
      <c r="BW32" s="1004"/>
      <c r="BX32" s="1004"/>
      <c r="BY32" s="1004"/>
      <c r="BZ32" s="1004"/>
      <c r="CA32" s="1004"/>
      <c r="CB32" s="1004"/>
      <c r="CC32" s="1004"/>
      <c r="CD32" s="1004"/>
      <c r="CE32" s="1004"/>
      <c r="CF32" s="1004"/>
      <c r="CG32" s="1004"/>
      <c r="CH32" s="1004"/>
      <c r="CI32" s="1004"/>
      <c r="CJ32" s="1004"/>
      <c r="CK32" s="1004"/>
      <c r="CL32" s="1004" t="s">
        <v>202</v>
      </c>
      <c r="CM32" s="1004"/>
      <c r="CN32" s="1004"/>
      <c r="CO32" s="1004"/>
      <c r="CP32" s="1004"/>
      <c r="CQ32" s="1004"/>
      <c r="CR32" s="1004"/>
      <c r="CS32" s="1004"/>
      <c r="CT32" s="1004"/>
      <c r="CU32" s="1004"/>
      <c r="CV32" s="1004"/>
      <c r="CW32" s="1004"/>
      <c r="CX32" s="1004"/>
      <c r="CY32" s="1004"/>
      <c r="CZ32" s="1004"/>
      <c r="DA32" s="1004"/>
      <c r="DB32" s="1004"/>
      <c r="DH32" s="149"/>
    </row>
    <row r="33" spans="1:112" ht="15" customHeight="1">
      <c r="A33" s="1005"/>
      <c r="B33" s="1005"/>
      <c r="C33" s="1005"/>
      <c r="D33" s="1005"/>
      <c r="E33" s="1005"/>
      <c r="F33" s="1005"/>
      <c r="G33" s="1005"/>
      <c r="H33" s="1005"/>
      <c r="I33" s="1005"/>
      <c r="J33" s="1005"/>
      <c r="K33" s="1005"/>
      <c r="L33" s="1005"/>
      <c r="M33" s="1005"/>
      <c r="N33" s="1005"/>
      <c r="O33" s="1005"/>
      <c r="P33" s="1005"/>
      <c r="Q33" s="1005"/>
      <c r="R33" s="1005"/>
      <c r="S33" s="1005"/>
      <c r="T33" s="1005"/>
      <c r="U33" s="1005"/>
      <c r="V33" s="1005"/>
      <c r="W33" s="1005"/>
      <c r="X33" s="1005"/>
      <c r="Y33" s="1005"/>
      <c r="Z33" s="1005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  <c r="BU33" s="1005"/>
      <c r="BV33" s="1005"/>
      <c r="BW33" s="1005"/>
      <c r="BX33" s="1005"/>
      <c r="BY33" s="1005"/>
      <c r="BZ33" s="1005"/>
      <c r="CA33" s="1005"/>
      <c r="CB33" s="1005"/>
      <c r="CC33" s="1005"/>
      <c r="CD33" s="1005"/>
      <c r="CE33" s="1005"/>
      <c r="CF33" s="1005"/>
      <c r="CG33" s="1005"/>
      <c r="CH33" s="1005"/>
      <c r="CI33" s="1005"/>
      <c r="CJ33" s="1005"/>
      <c r="CK33" s="1005"/>
      <c r="CL33" s="1005"/>
      <c r="CM33" s="1005"/>
      <c r="CN33" s="1005"/>
      <c r="CO33" s="1005"/>
      <c r="CP33" s="1005"/>
      <c r="CQ33" s="1005"/>
      <c r="CR33" s="1005"/>
      <c r="CS33" s="1005"/>
      <c r="CT33" s="1005"/>
      <c r="CU33" s="1005"/>
      <c r="CV33" s="1005"/>
      <c r="CW33" s="1005"/>
      <c r="CX33" s="1005"/>
      <c r="CY33" s="1005"/>
      <c r="CZ33" s="1005"/>
      <c r="DA33" s="1005"/>
      <c r="DB33" s="1005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18" t="s">
        <v>206</v>
      </c>
      <c r="B39" s="818"/>
      <c r="C39" s="818"/>
      <c r="D39" s="818"/>
      <c r="E39" s="818"/>
      <c r="F39" s="818"/>
      <c r="G39" s="818"/>
      <c r="H39" s="818"/>
      <c r="I39" s="818"/>
      <c r="J39" s="772" t="s">
        <v>738</v>
      </c>
      <c r="K39" s="772"/>
      <c r="L39" s="772"/>
      <c r="M39" s="772"/>
      <c r="N39" s="772"/>
      <c r="O39" s="772"/>
      <c r="P39" s="772"/>
      <c r="Q39" s="772"/>
      <c r="R39" s="772"/>
      <c r="S39" s="49"/>
      <c r="T39" s="818" t="s">
        <v>207</v>
      </c>
      <c r="U39" s="818"/>
      <c r="V39" s="818"/>
      <c r="W39" s="818"/>
      <c r="X39" s="818"/>
      <c r="Y39" s="818"/>
      <c r="Z39" s="818"/>
      <c r="AA39" s="818"/>
      <c r="AB39" s="818"/>
      <c r="AC39" s="818"/>
      <c r="AD39" s="818"/>
      <c r="AE39" s="818"/>
      <c r="AF39" s="818"/>
      <c r="AG39" s="818"/>
      <c r="AH39" s="818"/>
      <c r="AI39" s="81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58" t="s">
        <v>65</v>
      </c>
      <c r="V40" s="758"/>
      <c r="W40" s="758"/>
      <c r="X40" s="758"/>
      <c r="Y40" s="758"/>
      <c r="Z40" s="758"/>
      <c r="AA40" s="758"/>
      <c r="AB40" s="758"/>
      <c r="AC40" s="758"/>
      <c r="AD40" s="758"/>
      <c r="AE40" s="758"/>
      <c r="AF40" s="758"/>
      <c r="AG40" s="758"/>
      <c r="AH40" s="758"/>
      <c r="AI40" s="758"/>
      <c r="AJ40" s="758"/>
      <c r="AK40" s="758"/>
      <c r="AL40" s="758"/>
      <c r="AM40" s="758"/>
      <c r="AN40" s="758"/>
      <c r="AO40" s="758"/>
      <c r="AP40" s="758"/>
      <c r="AQ40" s="758"/>
      <c r="AR40" s="758"/>
      <c r="AS40" s="758"/>
      <c r="AT40" s="758"/>
      <c r="AU40" s="758"/>
      <c r="AV40" s="758"/>
      <c r="AW40" s="758"/>
      <c r="AX40" s="758"/>
      <c r="AY40" s="758"/>
      <c r="AZ40" s="758"/>
      <c r="BA40" s="758"/>
      <c r="BB40" s="758"/>
      <c r="BC40" s="758"/>
      <c r="BD40" s="758"/>
      <c r="BE40" s="758"/>
      <c r="BF40" s="758"/>
      <c r="BG40" s="758"/>
      <c r="BH40" s="758"/>
      <c r="BI40" s="758"/>
      <c r="BJ40" s="758"/>
      <c r="BK40" s="758"/>
      <c r="BL40" s="758"/>
      <c r="BM40" s="758"/>
      <c r="BN40" s="19" t="s">
        <v>208</v>
      </c>
      <c r="BZ40" s="1002" t="s">
        <v>65</v>
      </c>
      <c r="CA40" s="1018"/>
      <c r="CB40" s="1018"/>
      <c r="CC40" s="1018"/>
      <c r="CD40" s="1018"/>
      <c r="CE40" s="1018"/>
      <c r="CF40" s="1018"/>
      <c r="CG40" s="1018"/>
      <c r="CH40" s="1018"/>
      <c r="CI40" s="1018"/>
      <c r="CJ40" s="1018"/>
      <c r="CK40" s="1018"/>
      <c r="CL40" s="1018"/>
      <c r="CM40" s="1018"/>
      <c r="CN40" s="1018"/>
      <c r="CO40" s="1018"/>
      <c r="CP40" s="1018"/>
      <c r="CQ40" s="1018"/>
      <c r="CR40" s="1018"/>
      <c r="CS40" s="1018"/>
      <c r="CT40" s="1018"/>
      <c r="CU40" s="1018"/>
      <c r="CV40" s="1018"/>
      <c r="CW40" s="1018"/>
      <c r="CX40" s="1018"/>
      <c r="CY40" s="1018"/>
      <c r="CZ40" s="1018"/>
      <c r="DA40" s="1018"/>
      <c r="DB40" s="1018"/>
      <c r="DH40" s="141"/>
    </row>
    <row r="41" spans="1:112" s="225" customFormat="1" ht="9">
      <c r="BZ41" s="750" t="s">
        <v>209</v>
      </c>
      <c r="CA41" s="750"/>
      <c r="CB41" s="750"/>
      <c r="CC41" s="750"/>
      <c r="CD41" s="750"/>
      <c r="CE41" s="750"/>
      <c r="CF41" s="750"/>
      <c r="CG41" s="750"/>
      <c r="CH41" s="750"/>
      <c r="CI41" s="750"/>
      <c r="CJ41" s="750"/>
      <c r="CK41" s="750"/>
      <c r="CL41" s="750"/>
      <c r="CM41" s="750"/>
      <c r="CN41" s="750"/>
      <c r="CO41" s="750"/>
      <c r="CP41" s="750"/>
      <c r="CQ41" s="750"/>
      <c r="CR41" s="750"/>
      <c r="CS41" s="750"/>
      <c r="CT41" s="750"/>
      <c r="CU41" s="750"/>
      <c r="CV41" s="750"/>
      <c r="CW41" s="750"/>
      <c r="CX41" s="750"/>
      <c r="CY41" s="750"/>
      <c r="CZ41" s="750"/>
      <c r="DA41" s="750"/>
      <c r="DB41" s="750"/>
      <c r="DH41" s="228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72" t="s">
        <v>65</v>
      </c>
      <c r="Z44" s="758"/>
      <c r="AA44" s="758"/>
      <c r="AB44" s="758"/>
      <c r="AC44" s="758"/>
      <c r="AD44" s="758"/>
      <c r="AE44" s="758"/>
      <c r="AF44" s="758"/>
      <c r="AG44" s="758"/>
      <c r="AH44" s="758"/>
      <c r="AI44" s="758"/>
      <c r="AJ44" s="758"/>
      <c r="AK44" s="758"/>
      <c r="AL44" s="758"/>
      <c r="AM44" s="758"/>
      <c r="AN44" s="758"/>
      <c r="AO44" s="758"/>
      <c r="AP44" s="758"/>
      <c r="AQ44" s="758"/>
      <c r="AR44" s="758"/>
      <c r="AS44" s="758"/>
      <c r="AT44" s="758"/>
      <c r="AU44" s="758"/>
      <c r="AV44" s="758"/>
      <c r="AW44" s="758"/>
      <c r="AX44" s="758"/>
      <c r="AY44" s="758"/>
      <c r="AZ44" s="758"/>
      <c r="BA44" s="758"/>
      <c r="BB44" s="758"/>
      <c r="BC44" s="758"/>
      <c r="BD44" s="758"/>
      <c r="BE44" s="758"/>
      <c r="BF44" s="758"/>
      <c r="BG44" s="758"/>
      <c r="BH44" s="49"/>
      <c r="BI44" s="1003" t="s">
        <v>208</v>
      </c>
      <c r="BJ44" s="1003"/>
      <c r="BK44" s="1003"/>
      <c r="BL44" s="1003"/>
      <c r="BM44" s="1003"/>
      <c r="BN44" s="1003"/>
      <c r="BO44" s="1003"/>
      <c r="BP44" s="1003"/>
      <c r="BQ44" s="1003"/>
      <c r="BR44" s="1003"/>
      <c r="BS44" s="1003"/>
      <c r="BT44" s="49"/>
      <c r="BU44" s="1002" t="s">
        <v>65</v>
      </c>
      <c r="BV44" s="1002"/>
      <c r="BW44" s="1002"/>
      <c r="BX44" s="1002"/>
      <c r="BY44" s="1002"/>
      <c r="BZ44" s="1002"/>
      <c r="CA44" s="1002"/>
      <c r="CB44" s="1002"/>
      <c r="CC44" s="1002"/>
      <c r="CD44" s="1002"/>
      <c r="CE44" s="1002"/>
      <c r="CF44" s="1002"/>
      <c r="CG44" s="1002"/>
      <c r="CH44" s="1002"/>
      <c r="CI44" s="1002"/>
      <c r="CJ44" s="1002"/>
      <c r="CK44" s="1002"/>
      <c r="CL44" s="1002"/>
      <c r="CM44" s="1002"/>
      <c r="CN44" s="1002"/>
      <c r="CO44" s="1002"/>
      <c r="CP44" s="1002"/>
      <c r="CQ44" s="1002"/>
      <c r="CR44" s="1002"/>
      <c r="CS44" s="1002"/>
      <c r="CT44" s="1002"/>
      <c r="CU44" s="1002"/>
      <c r="CV44" s="1002"/>
      <c r="CW44" s="1002"/>
      <c r="CX44" s="1002"/>
      <c r="CY44" s="1002"/>
      <c r="CZ44" s="1002"/>
      <c r="DA44" s="1002"/>
      <c r="DB44" s="1002"/>
      <c r="DH44" s="150"/>
    </row>
    <row r="45" spans="1:112" s="225" customFormat="1" ht="9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01" t="s">
        <v>212</v>
      </c>
      <c r="BV45" s="1001"/>
      <c r="BW45" s="1001"/>
      <c r="BX45" s="1001"/>
      <c r="BY45" s="1001"/>
      <c r="BZ45" s="1001"/>
      <c r="CA45" s="1001"/>
      <c r="CB45" s="1001"/>
      <c r="CC45" s="1001"/>
      <c r="CD45" s="1001"/>
      <c r="CE45" s="1001"/>
      <c r="CF45" s="1001"/>
      <c r="CG45" s="1001"/>
      <c r="CH45" s="1001"/>
      <c r="CI45" s="1001"/>
      <c r="CJ45" s="1001"/>
      <c r="CK45" s="1001"/>
      <c r="CL45" s="1001"/>
      <c r="CM45" s="1001"/>
      <c r="CN45" s="1001"/>
      <c r="CO45" s="1001"/>
      <c r="CP45" s="1001"/>
      <c r="CQ45" s="1001"/>
      <c r="CR45" s="1001"/>
      <c r="CS45" s="1001"/>
      <c r="CT45" s="1001"/>
      <c r="CU45" s="1001"/>
      <c r="CV45" s="1001"/>
      <c r="CW45" s="1001"/>
      <c r="CX45" s="1001"/>
      <c r="CY45" s="1001"/>
      <c r="CZ45" s="1001"/>
      <c r="DA45" s="1001"/>
      <c r="DB45" s="1001"/>
      <c r="DH45" s="229"/>
    </row>
    <row r="46" spans="1:112" ht="15" customHeight="1">
      <c r="A46" s="19" t="s">
        <v>213</v>
      </c>
      <c r="DH46" s="141"/>
    </row>
    <row r="47" spans="1:112" ht="45.75" customHeight="1">
      <c r="A47" s="912" t="s">
        <v>481</v>
      </c>
      <c r="B47" s="912"/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2"/>
      <c r="AP47" s="912"/>
      <c r="AQ47" s="912"/>
      <c r="AR47" s="912"/>
      <c r="AS47" s="912"/>
      <c r="AT47" s="912"/>
      <c r="AU47" s="912"/>
      <c r="AV47" s="912"/>
      <c r="AW47" s="912"/>
      <c r="AX47" s="912"/>
      <c r="AY47" s="912"/>
      <c r="AZ47" s="912"/>
      <c r="BA47" s="912"/>
      <c r="BB47" s="912"/>
      <c r="BC47" s="912"/>
      <c r="BD47" s="912"/>
      <c r="BE47" s="912"/>
      <c r="BF47" s="912"/>
      <c r="BG47" s="912"/>
      <c r="BH47" s="912"/>
      <c r="BI47" s="912"/>
      <c r="BJ47" s="912"/>
      <c r="BK47" s="912"/>
      <c r="BL47" s="912"/>
      <c r="BM47" s="912"/>
      <c r="BN47" s="912"/>
      <c r="BO47" s="912"/>
      <c r="BP47" s="912"/>
      <c r="BQ47" s="912"/>
      <c r="BR47" s="912"/>
      <c r="BS47" s="912"/>
      <c r="BT47" s="912"/>
      <c r="BU47" s="912"/>
      <c r="BV47" s="912"/>
      <c r="BW47" s="912"/>
      <c r="BX47" s="912"/>
      <c r="BY47" s="912"/>
      <c r="BZ47" s="912"/>
      <c r="CA47" s="912"/>
      <c r="CB47" s="912"/>
      <c r="CC47" s="912"/>
      <c r="CD47" s="912"/>
      <c r="CE47" s="912"/>
      <c r="CF47" s="912"/>
      <c r="CG47" s="912"/>
      <c r="CH47" s="912"/>
      <c r="CI47" s="912"/>
      <c r="CJ47" s="912"/>
      <c r="CK47" s="912"/>
      <c r="CL47" s="912"/>
      <c r="CM47" s="912"/>
      <c r="CN47" s="912"/>
      <c r="CO47" s="912"/>
      <c r="CP47" s="912"/>
      <c r="CQ47" s="912"/>
      <c r="CR47" s="912"/>
      <c r="CS47" s="912"/>
      <c r="CT47" s="912"/>
      <c r="CU47" s="912"/>
      <c r="CV47" s="912"/>
      <c r="CW47" s="912"/>
      <c r="CX47" s="912"/>
      <c r="CY47" s="912"/>
      <c r="CZ47" s="912"/>
      <c r="DA47" s="912"/>
      <c r="DB47" s="912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1" t="s">
        <v>862</v>
      </c>
      <c r="AR49" s="771"/>
      <c r="AS49" s="771"/>
      <c r="AT49" s="771"/>
      <c r="AU49" s="771"/>
      <c r="AV49" s="771"/>
      <c r="AW49" s="771"/>
      <c r="AX49" s="771"/>
      <c r="AY49" s="771"/>
      <c r="AZ49" s="771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58" t="s">
        <v>735</v>
      </c>
      <c r="Q56" s="758"/>
      <c r="R56" s="758"/>
      <c r="S56" s="758"/>
      <c r="T56" s="758"/>
      <c r="U56" s="758"/>
      <c r="V56" s="758"/>
      <c r="W56" s="758"/>
      <c r="X56" s="758"/>
      <c r="Y56" s="758"/>
      <c r="Z56" s="758"/>
      <c r="AA56" s="758"/>
      <c r="AB56" s="758"/>
      <c r="AC56" s="758"/>
      <c r="AD56" s="758"/>
      <c r="AE56" s="758"/>
      <c r="AF56" s="758"/>
      <c r="AG56" s="758"/>
      <c r="AH56" s="758"/>
      <c r="AI56" s="758"/>
      <c r="AJ56" s="758"/>
      <c r="AK56" s="758"/>
      <c r="AL56" s="758"/>
      <c r="AM56" s="758"/>
      <c r="AN56" s="758"/>
      <c r="AO56" s="758"/>
      <c r="AP56" s="758"/>
      <c r="AQ56" s="758"/>
      <c r="AR56" s="758"/>
      <c r="AS56" s="758"/>
      <c r="AT56" s="758"/>
      <c r="AU56" s="758"/>
      <c r="AV56" s="758"/>
      <c r="AW56" s="758"/>
      <c r="AX56" s="758"/>
      <c r="AY56" s="758"/>
      <c r="AZ56" s="758"/>
      <c r="BA56" s="758"/>
      <c r="BB56" s="758"/>
      <c r="BC56" s="758"/>
      <c r="BD56" s="758"/>
      <c r="BE56" s="758"/>
      <c r="BF56" s="758"/>
      <c r="BG56" s="758"/>
      <c r="BH56" s="758"/>
      <c r="BI56" s="758"/>
      <c r="BJ56" s="758"/>
      <c r="BK56" s="758"/>
      <c r="BL56" s="758"/>
      <c r="BM56" s="758"/>
      <c r="BN56" s="758"/>
      <c r="BO56" s="758"/>
      <c r="BP56" s="758"/>
      <c r="BQ56" s="758"/>
      <c r="BR56" s="758"/>
      <c r="BS56" s="758"/>
      <c r="BT56" s="758"/>
      <c r="BU56" s="758"/>
      <c r="BV56" s="758"/>
      <c r="BW56" s="758"/>
      <c r="BX56" s="758"/>
      <c r="BY56" s="758"/>
      <c r="BZ56" s="758"/>
      <c r="CA56" s="758"/>
      <c r="CB56" s="758"/>
      <c r="CC56" s="758"/>
      <c r="CD56" s="758"/>
      <c r="CE56" s="758"/>
      <c r="CF56" s="758"/>
      <c r="CG56" s="758"/>
      <c r="CH56" s="758"/>
      <c r="CI56" s="758"/>
      <c r="CJ56" s="758"/>
      <c r="CK56" s="758"/>
      <c r="CL56" s="758"/>
      <c r="CM56" s="758"/>
      <c r="CN56" s="758"/>
      <c r="CO56" s="758"/>
      <c r="CP56" s="758"/>
      <c r="CQ56" s="758"/>
      <c r="CR56" s="758"/>
      <c r="CS56" s="758"/>
      <c r="CT56" s="758"/>
      <c r="CU56" s="758"/>
      <c r="CV56" s="758"/>
      <c r="CW56" s="758"/>
      <c r="CX56" s="758"/>
      <c r="CY56" s="758"/>
      <c r="CZ56" s="758"/>
      <c r="DA56" s="758"/>
      <c r="DB56" s="758"/>
      <c r="DH56" s="141"/>
    </row>
    <row r="57" spans="1:112" ht="14">
      <c r="A57" s="726"/>
      <c r="B57" s="726"/>
      <c r="C57" s="726"/>
      <c r="D57" s="726"/>
      <c r="E57" s="726"/>
      <c r="F57" s="726"/>
      <c r="G57" s="726"/>
      <c r="H57" s="726"/>
      <c r="I57" s="726"/>
      <c r="J57" s="726"/>
      <c r="K57" s="726"/>
      <c r="L57" s="726"/>
      <c r="M57" s="726"/>
      <c r="N57" s="726"/>
      <c r="O57" s="726"/>
      <c r="P57" s="726"/>
      <c r="Q57" s="726"/>
      <c r="R57" s="726"/>
      <c r="S57" s="726"/>
      <c r="T57" s="726"/>
      <c r="U57" s="726"/>
      <c r="V57" s="726"/>
      <c r="W57" s="726"/>
      <c r="X57" s="726"/>
      <c r="Y57" s="726"/>
      <c r="Z57" s="726"/>
      <c r="AA57" s="726"/>
      <c r="AB57" s="726"/>
      <c r="AC57" s="726"/>
      <c r="AD57" s="726"/>
      <c r="AE57" s="726"/>
      <c r="AF57" s="726"/>
      <c r="AG57" s="726"/>
      <c r="AH57" s="726"/>
      <c r="AI57" s="726"/>
      <c r="AJ57" s="726"/>
      <c r="AK57" s="726"/>
      <c r="AL57" s="726"/>
      <c r="AM57" s="726"/>
      <c r="AN57" s="726"/>
      <c r="AO57" s="726"/>
      <c r="AP57" s="726"/>
      <c r="AQ57" s="726"/>
      <c r="AR57" s="726"/>
      <c r="AS57" s="726"/>
      <c r="AT57" s="726"/>
      <c r="AU57" s="726"/>
      <c r="AV57" s="726"/>
      <c r="AW57" s="726"/>
      <c r="AX57" s="726"/>
      <c r="AY57" s="726"/>
      <c r="AZ57" s="726"/>
      <c r="BA57" s="726"/>
      <c r="BB57" s="726"/>
      <c r="BC57" s="726"/>
      <c r="BD57" s="726"/>
      <c r="BE57" s="726"/>
      <c r="BF57" s="726"/>
      <c r="BG57" s="726"/>
      <c r="BH57" s="726"/>
      <c r="BI57" s="726"/>
      <c r="BJ57" s="726"/>
      <c r="BK57" s="726"/>
      <c r="BL57" s="726"/>
      <c r="BM57" s="726"/>
      <c r="BN57" s="726"/>
      <c r="BO57" s="726"/>
      <c r="BP57" s="726"/>
      <c r="BQ57" s="726"/>
      <c r="BR57" s="726"/>
      <c r="BS57" s="726"/>
      <c r="BT57" s="726"/>
      <c r="BU57" s="726"/>
      <c r="BV57" s="726"/>
      <c r="BW57" s="726"/>
      <c r="BX57" s="726"/>
      <c r="BY57" s="726"/>
      <c r="BZ57" s="726"/>
      <c r="CA57" s="726"/>
      <c r="CB57" s="726"/>
      <c r="CC57" s="726"/>
      <c r="CD57" s="726"/>
      <c r="CE57" s="726"/>
      <c r="CF57" s="726"/>
      <c r="CG57" s="726"/>
      <c r="CH57" s="726"/>
      <c r="CI57" s="726"/>
      <c r="CJ57" s="726"/>
      <c r="CK57" s="726"/>
      <c r="CL57" s="726"/>
      <c r="CM57" s="726"/>
      <c r="CN57" s="726"/>
      <c r="CO57" s="726"/>
      <c r="CP57" s="726"/>
      <c r="CQ57" s="726"/>
      <c r="CR57" s="726"/>
      <c r="CS57" s="726"/>
      <c r="CT57" s="726"/>
      <c r="CU57" s="726"/>
      <c r="CV57" s="726"/>
      <c r="CW57" s="726"/>
      <c r="CX57" s="726"/>
      <c r="CY57" s="726"/>
      <c r="CZ57" s="726"/>
      <c r="DA57" s="726"/>
      <c r="DB57" s="726"/>
      <c r="DH57" s="141"/>
    </row>
    <row r="58" spans="1:112" ht="39.75" customHeight="1">
      <c r="A58" s="767" t="s">
        <v>54</v>
      </c>
      <c r="B58" s="767"/>
      <c r="C58" s="767"/>
      <c r="D58" s="767"/>
      <c r="E58" s="767"/>
      <c r="F58" s="767"/>
      <c r="G58" s="767"/>
      <c r="H58" s="767"/>
      <c r="I58" s="767"/>
      <c r="J58" s="767"/>
      <c r="K58" s="767"/>
      <c r="L58" s="767"/>
      <c r="M58" s="767"/>
      <c r="N58" s="767"/>
      <c r="O58" s="767"/>
      <c r="P58" s="767"/>
      <c r="Q58" s="767"/>
      <c r="R58" s="767"/>
      <c r="S58" s="767"/>
      <c r="T58" s="767"/>
      <c r="U58" s="767"/>
      <c r="V58" s="767"/>
      <c r="W58" s="767"/>
      <c r="X58" s="767"/>
      <c r="Y58" s="767"/>
      <c r="Z58" s="767"/>
      <c r="AB58" s="760"/>
      <c r="AC58" s="760"/>
      <c r="AD58" s="760"/>
      <c r="AE58" s="760"/>
      <c r="AF58" s="760"/>
      <c r="AG58" s="760"/>
      <c r="AH58" s="760"/>
      <c r="AI58" s="760"/>
      <c r="AJ58" s="760"/>
      <c r="AK58" s="760"/>
      <c r="AL58" s="760"/>
      <c r="AM58" s="760"/>
      <c r="AN58" s="760"/>
      <c r="AO58" s="760"/>
      <c r="AP58" s="760"/>
      <c r="AQ58" s="760"/>
      <c r="AR58" s="760"/>
      <c r="AS58" s="760"/>
      <c r="AT58" s="760"/>
      <c r="AU58" s="760"/>
      <c r="AV58" s="760"/>
      <c r="AW58" s="760"/>
      <c r="AX58" s="760"/>
      <c r="AY58" s="760"/>
      <c r="AZ58" s="760"/>
      <c r="BA58" s="760"/>
      <c r="BB58" s="760"/>
      <c r="BC58" s="760"/>
      <c r="BD58" s="760"/>
      <c r="BE58" s="760"/>
      <c r="BF58" s="760"/>
      <c r="BG58" s="760"/>
      <c r="BH58" s="760"/>
      <c r="BI58" s="760"/>
      <c r="BJ58" s="760"/>
      <c r="BK58" s="760"/>
      <c r="BL58" s="760"/>
      <c r="BM58" s="760"/>
      <c r="BN58" s="760"/>
      <c r="BO58" s="760"/>
      <c r="BP58" s="760"/>
      <c r="BQ58" s="760"/>
      <c r="BR58" s="760"/>
      <c r="BS58" s="760"/>
      <c r="BT58" s="760"/>
      <c r="BU58" s="760"/>
      <c r="BV58" s="760"/>
      <c r="BX58" s="771" t="str">
        <f>ПОДПИСИ!E12</f>
        <v>А.Р. Махмадов</v>
      </c>
      <c r="BY58" s="771"/>
      <c r="BZ58" s="771"/>
      <c r="CA58" s="771"/>
      <c r="CB58" s="771"/>
      <c r="CC58" s="771"/>
      <c r="CD58" s="771"/>
      <c r="CE58" s="771"/>
      <c r="CF58" s="771"/>
      <c r="CG58" s="771"/>
      <c r="CH58" s="771"/>
      <c r="CI58" s="771"/>
      <c r="CJ58" s="771"/>
      <c r="CK58" s="771"/>
      <c r="CL58" s="771"/>
      <c r="CM58" s="771"/>
      <c r="CN58" s="771"/>
      <c r="CO58" s="771"/>
      <c r="CP58" s="771"/>
      <c r="CQ58" s="771"/>
      <c r="CR58" s="771"/>
      <c r="CS58" s="771"/>
      <c r="CT58" s="771"/>
      <c r="CU58" s="771"/>
      <c r="CV58" s="771"/>
      <c r="CW58" s="771"/>
      <c r="CX58" s="771"/>
      <c r="CY58" s="771"/>
      <c r="CZ58" s="771"/>
      <c r="DA58" s="771"/>
      <c r="DB58" s="77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</sheetData>
  <mergeCells count="87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108" priority="3" operator="equal">
      <formula>0</formula>
    </cfRule>
  </conditionalFormatting>
  <conditionalFormatting sqref="AV2:BC7 A2:A9 AV8:BB8 AV9:BC9">
    <cfRule type="cellIs" dxfId="107" priority="4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645D-4E32-4DE0-B0D5-D3C0F7AACD43}">
  <sheetPr>
    <tabColor rgb="FF92D050"/>
    <pageSetUpPr fitToPage="1"/>
  </sheetPr>
  <dimension ref="A1:DH73"/>
  <sheetViews>
    <sheetView view="pageBreakPreview" topLeftCell="A11" zoomScale="60" zoomScaleNormal="100" workbookViewId="0">
      <selection activeCell="C430" sqref="C430:Y430"/>
    </sheetView>
  </sheetViews>
  <sheetFormatPr defaultColWidth="9.1796875" defaultRowHeight="14.5"/>
  <cols>
    <col min="1" max="73" width="0.81640625" style="19" customWidth="1"/>
    <col min="74" max="74" width="1" style="19" customWidth="1"/>
    <col min="75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" style="147" customWidth="1"/>
    <col min="113" max="16384" width="9.179687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BC2" s="758" t="str">
        <f>ФОРМА!G2</f>
        <v>Санкт-Петербург</v>
      </c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21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BC3" s="770" t="s">
        <v>0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21"/>
      <c r="AW5" s="21"/>
      <c r="AX5" s="21"/>
      <c r="AY5" s="21"/>
      <c r="AZ5" s="21"/>
      <c r="BA5" s="21"/>
      <c r="BB5" s="21"/>
      <c r="BC5" s="770" t="s">
        <v>2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31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21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21"/>
      <c r="AW7" s="21"/>
      <c r="AX7" s="21"/>
      <c r="AY7" s="21"/>
      <c r="AZ7" s="21"/>
      <c r="BA7" s="21"/>
      <c r="BB7" s="21"/>
      <c r="BC7" s="770" t="s">
        <v>38</v>
      </c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BC8" s="735">
        <f>ФОРМА!B13</f>
        <v>45625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s="24" customFormat="1" ht="1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21"/>
      <c r="AW9" s="21"/>
      <c r="AX9" s="21"/>
      <c r="AY9" s="21"/>
      <c r="AZ9" s="21"/>
      <c r="BA9" s="21"/>
      <c r="BB9" s="21"/>
      <c r="BC9" s="770" t="s">
        <v>3</v>
      </c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21" t="s">
        <v>506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22.5" customHeight="1">
      <c r="A12" s="1021" t="s">
        <v>178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  <c r="BU12" s="1021"/>
      <c r="BV12" s="1021"/>
      <c r="BW12" s="1021"/>
      <c r="BX12" s="1021"/>
      <c r="BY12" s="1021"/>
      <c r="BZ12" s="1021"/>
      <c r="CA12" s="1021"/>
      <c r="CB12" s="1021"/>
      <c r="CC12" s="1021"/>
      <c r="CD12" s="1021"/>
      <c r="CE12" s="1021"/>
      <c r="CF12" s="1021"/>
      <c r="CG12" s="1021"/>
      <c r="CH12" s="1021"/>
      <c r="CI12" s="1021"/>
      <c r="CJ12" s="1021"/>
      <c r="CK12" s="1021"/>
      <c r="CL12" s="1021"/>
      <c r="CM12" s="1021"/>
      <c r="CN12" s="1021"/>
      <c r="CO12" s="1021"/>
      <c r="CP12" s="1021"/>
      <c r="CQ12" s="1021"/>
      <c r="CR12" s="1021"/>
      <c r="CS12" s="1021"/>
      <c r="CT12" s="1021"/>
      <c r="CU12" s="1021"/>
      <c r="CV12" s="1021"/>
      <c r="CW12" s="1021"/>
      <c r="CX12" s="1021"/>
      <c r="CY12" s="1021"/>
      <c r="CZ12" s="1021"/>
      <c r="DA12" s="1021"/>
      <c r="DB12" s="1021"/>
    </row>
    <row r="13" spans="1:112" ht="71.25" customHeight="1">
      <c r="A13" s="1022" t="s">
        <v>179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11" t="s">
        <v>180</v>
      </c>
      <c r="Y13" s="1011"/>
      <c r="Z13" s="1011"/>
      <c r="AA13" s="1011"/>
      <c r="AB13" s="1011"/>
      <c r="AC13" s="1011"/>
      <c r="AD13" s="1011"/>
      <c r="AE13" s="1011"/>
      <c r="AF13" s="1011"/>
      <c r="AG13" s="1011"/>
      <c r="AH13" s="1011"/>
      <c r="AI13" s="1011"/>
      <c r="AJ13" s="1011"/>
      <c r="AK13" s="1011"/>
      <c r="AL13" s="1011"/>
      <c r="AM13" s="1011"/>
      <c r="AN13" s="1011"/>
      <c r="AO13" s="1011"/>
      <c r="AP13" s="1011" t="s">
        <v>181</v>
      </c>
      <c r="AQ13" s="1011"/>
      <c r="AR13" s="1011"/>
      <c r="AS13" s="1011"/>
      <c r="AT13" s="1011"/>
      <c r="AU13" s="1011"/>
      <c r="AV13" s="1011"/>
      <c r="AW13" s="1011"/>
      <c r="AX13" s="1011"/>
      <c r="AY13" s="1011"/>
      <c r="AZ13" s="1011"/>
      <c r="BA13" s="1011"/>
      <c r="BB13" s="1011"/>
      <c r="BC13" s="1011"/>
      <c r="BD13" s="1011"/>
      <c r="BE13" s="1011"/>
      <c r="BF13" s="1011"/>
      <c r="BG13" s="1011"/>
      <c r="BH13" s="1011"/>
      <c r="BI13" s="1011"/>
      <c r="BJ13" s="1011"/>
      <c r="BK13" s="1011"/>
      <c r="BL13" s="1011" t="s">
        <v>182</v>
      </c>
      <c r="BM13" s="1011"/>
      <c r="BN13" s="1011"/>
      <c r="BO13" s="1011"/>
      <c r="BP13" s="1011"/>
      <c r="BQ13" s="1011"/>
      <c r="BR13" s="1011"/>
      <c r="BS13" s="1011"/>
      <c r="BT13" s="1011"/>
      <c r="BU13" s="1011"/>
      <c r="BV13" s="1011"/>
      <c r="BW13" s="1011"/>
      <c r="BX13" s="1011"/>
      <c r="BY13" s="1011"/>
      <c r="BZ13" s="1011"/>
      <c r="CA13" s="1011"/>
      <c r="CB13" s="1011"/>
      <c r="CC13" s="1011"/>
      <c r="CD13" s="1011"/>
      <c r="CE13" s="1011"/>
      <c r="CF13" s="1011"/>
      <c r="CG13" s="1011" t="s">
        <v>183</v>
      </c>
      <c r="CH13" s="1011"/>
      <c r="CI13" s="1011"/>
      <c r="CJ13" s="1011"/>
      <c r="CK13" s="1011"/>
      <c r="CL13" s="1011"/>
      <c r="CM13" s="1011"/>
      <c r="CN13" s="1011"/>
      <c r="CO13" s="1011"/>
      <c r="CP13" s="1011"/>
      <c r="CQ13" s="1011"/>
      <c r="CR13" s="1011"/>
      <c r="CS13" s="1011"/>
      <c r="CT13" s="1011"/>
      <c r="CU13" s="1011"/>
      <c r="CV13" s="1011"/>
      <c r="CW13" s="1011"/>
      <c r="CX13" s="1011"/>
      <c r="CY13" s="1011"/>
      <c r="CZ13" s="1011"/>
      <c r="DA13" s="1011"/>
      <c r="DB13" s="1011"/>
    </row>
    <row r="14" spans="1:112" ht="30.65" customHeight="1">
      <c r="A14" s="730" t="s">
        <v>884</v>
      </c>
      <c r="B14" s="731"/>
      <c r="C14" s="731"/>
      <c r="D14" s="731"/>
      <c r="E14" s="731"/>
      <c r="F14" s="731"/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2"/>
      <c r="X14" s="727">
        <v>2</v>
      </c>
      <c r="Y14" s="727"/>
      <c r="Z14" s="727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 t="s">
        <v>1725</v>
      </c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 t="s">
        <v>886</v>
      </c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  <c r="BX14" s="727"/>
      <c r="BY14" s="727"/>
      <c r="BZ14" s="727"/>
      <c r="CA14" s="727"/>
      <c r="CB14" s="727"/>
      <c r="CC14" s="727"/>
      <c r="CD14" s="727"/>
      <c r="CE14" s="727"/>
      <c r="CF14" s="727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30.65" hidden="1" customHeight="1">
      <c r="A15" s="730" t="s">
        <v>885</v>
      </c>
      <c r="B15" s="731"/>
      <c r="C15" s="731"/>
      <c r="D15" s="731"/>
      <c r="E15" s="731"/>
      <c r="F15" s="731"/>
      <c r="G15" s="731"/>
      <c r="H15" s="731"/>
      <c r="I15" s="731"/>
      <c r="J15" s="731"/>
      <c r="K15" s="731"/>
      <c r="L15" s="731"/>
      <c r="M15" s="731"/>
      <c r="N15" s="731"/>
      <c r="O15" s="731"/>
      <c r="P15" s="731"/>
      <c r="Q15" s="731"/>
      <c r="R15" s="731"/>
      <c r="S15" s="731"/>
      <c r="T15" s="731"/>
      <c r="U15" s="731"/>
      <c r="V15" s="731"/>
      <c r="W15" s="732"/>
      <c r="X15" s="727">
        <v>1</v>
      </c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 t="s">
        <v>882</v>
      </c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 t="s">
        <v>886</v>
      </c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  <c r="BX15" s="727"/>
      <c r="BY15" s="727"/>
      <c r="BZ15" s="727"/>
      <c r="CA15" s="727"/>
      <c r="CB15" s="727"/>
      <c r="CC15" s="727"/>
      <c r="CD15" s="727"/>
      <c r="CE15" s="727"/>
      <c r="CF15" s="727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.65" hidden="1" customHeight="1">
      <c r="A16" s="730" t="s">
        <v>872</v>
      </c>
      <c r="B16" s="731"/>
      <c r="C16" s="731"/>
      <c r="D16" s="731"/>
      <c r="E16" s="731"/>
      <c r="F16" s="731"/>
      <c r="G16" s="731"/>
      <c r="H16" s="731"/>
      <c r="I16" s="731"/>
      <c r="J16" s="731"/>
      <c r="K16" s="731"/>
      <c r="L16" s="731"/>
      <c r="M16" s="731"/>
      <c r="N16" s="731"/>
      <c r="O16" s="731"/>
      <c r="P16" s="731"/>
      <c r="Q16" s="731"/>
      <c r="R16" s="731"/>
      <c r="S16" s="731"/>
      <c r="T16" s="731"/>
      <c r="U16" s="731"/>
      <c r="V16" s="731"/>
      <c r="W16" s="732"/>
      <c r="X16" s="727">
        <v>4</v>
      </c>
      <c r="Y16" s="727"/>
      <c r="Z16" s="727"/>
      <c r="AA16" s="727"/>
      <c r="AB16" s="727"/>
      <c r="AC16" s="727"/>
      <c r="AD16" s="727"/>
      <c r="AE16" s="727"/>
      <c r="AF16" s="727"/>
      <c r="AG16" s="727"/>
      <c r="AH16" s="727"/>
      <c r="AI16" s="727"/>
      <c r="AJ16" s="727"/>
      <c r="AK16" s="727"/>
      <c r="AL16" s="727"/>
      <c r="AM16" s="727"/>
      <c r="AN16" s="727"/>
      <c r="AO16" s="727"/>
      <c r="AP16" s="727" t="s">
        <v>883</v>
      </c>
      <c r="AQ16" s="727"/>
      <c r="AR16" s="727"/>
      <c r="AS16" s="727"/>
      <c r="AT16" s="727"/>
      <c r="AU16" s="727"/>
      <c r="AV16" s="727"/>
      <c r="AW16" s="727"/>
      <c r="AX16" s="727"/>
      <c r="AY16" s="727"/>
      <c r="AZ16" s="727"/>
      <c r="BA16" s="727"/>
      <c r="BB16" s="727"/>
      <c r="BC16" s="727"/>
      <c r="BD16" s="727"/>
      <c r="BE16" s="727"/>
      <c r="BF16" s="727"/>
      <c r="BG16" s="727"/>
      <c r="BH16" s="727"/>
      <c r="BI16" s="727"/>
      <c r="BJ16" s="727"/>
      <c r="BK16" s="727"/>
      <c r="BL16" s="727" t="s">
        <v>887</v>
      </c>
      <c r="BM16" s="727"/>
      <c r="BN16" s="727"/>
      <c r="BO16" s="727"/>
      <c r="BP16" s="727"/>
      <c r="BQ16" s="727"/>
      <c r="BR16" s="727"/>
      <c r="BS16" s="727"/>
      <c r="BT16" s="727"/>
      <c r="BU16" s="727"/>
      <c r="BV16" s="727"/>
      <c r="BW16" s="727"/>
      <c r="BX16" s="727"/>
      <c r="BY16" s="727"/>
      <c r="BZ16" s="727"/>
      <c r="CA16" s="727"/>
      <c r="CB16" s="727"/>
      <c r="CC16" s="727"/>
      <c r="CD16" s="727"/>
      <c r="CE16" s="727"/>
      <c r="CF16" s="727"/>
      <c r="CG16" s="754"/>
      <c r="CH16" s="754"/>
      <c r="CI16" s="754"/>
      <c r="CJ16" s="754"/>
      <c r="CK16" s="754"/>
      <c r="CL16" s="754"/>
      <c r="CM16" s="754"/>
      <c r="CN16" s="754"/>
      <c r="CO16" s="754"/>
      <c r="CP16" s="754"/>
      <c r="CQ16" s="754"/>
      <c r="CR16" s="754"/>
      <c r="CS16" s="754"/>
      <c r="CT16" s="754"/>
      <c r="CU16" s="754"/>
      <c r="CV16" s="754"/>
      <c r="CW16" s="754"/>
      <c r="CX16" s="754"/>
      <c r="CY16" s="754"/>
      <c r="CZ16" s="754"/>
      <c r="DA16" s="754"/>
      <c r="DB16" s="754"/>
    </row>
    <row r="17" spans="1:112" ht="15" customHeight="1">
      <c r="A17" s="1008" t="s">
        <v>184</v>
      </c>
      <c r="B17" s="1009"/>
      <c r="C17" s="1009"/>
      <c r="D17" s="1009"/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10"/>
      <c r="X17" s="754">
        <f>SUM(X14:AO16)</f>
        <v>7</v>
      </c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1301" t="s">
        <v>1726</v>
      </c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302"/>
      <c r="BL17" s="1302"/>
      <c r="BM17" s="1302"/>
      <c r="BN17" s="1302"/>
      <c r="BO17" s="1302"/>
      <c r="BP17" s="1302"/>
      <c r="BQ17" s="1302"/>
      <c r="BR17" s="1302"/>
      <c r="BS17" s="1302"/>
      <c r="BT17" s="1302"/>
      <c r="BU17" s="1302"/>
      <c r="BV17" s="1302"/>
      <c r="BW17" s="1302"/>
      <c r="BX17" s="1302"/>
      <c r="BY17" s="1302"/>
      <c r="BZ17" s="1302"/>
      <c r="CA17" s="1302"/>
      <c r="CB17" s="1302"/>
      <c r="CC17" s="1302"/>
      <c r="CD17" s="1302"/>
      <c r="CE17" s="1302"/>
      <c r="CF17" s="1302"/>
      <c r="CG17" s="1302"/>
      <c r="CH17" s="1302"/>
      <c r="CI17" s="1302"/>
      <c r="CJ17" s="1302"/>
      <c r="CK17" s="1302"/>
      <c r="CL17" s="1302"/>
      <c r="CM17" s="1302"/>
      <c r="CN17" s="1302"/>
      <c r="CO17" s="1302"/>
      <c r="CP17" s="1302"/>
      <c r="CQ17" s="1302"/>
      <c r="CR17" s="1302"/>
      <c r="CS17" s="1302"/>
      <c r="CT17" s="1302"/>
      <c r="CU17" s="1302"/>
      <c r="CV17" s="1302"/>
      <c r="CW17" s="1302"/>
      <c r="CX17" s="1302"/>
      <c r="CY17" s="1302"/>
      <c r="CZ17" s="1302"/>
      <c r="DA17" s="1302"/>
      <c r="DB17" s="1303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06">
        <v>0.4</v>
      </c>
      <c r="K22" s="1006"/>
      <c r="L22" s="1006"/>
      <c r="M22" s="1006"/>
      <c r="N22" s="1006"/>
      <c r="O22" s="1006"/>
      <c r="P22" s="1006"/>
      <c r="Q22" s="1006"/>
      <c r="R22" s="1006"/>
      <c r="S22" s="1006"/>
      <c r="T22" s="1006"/>
      <c r="U22" s="1007" t="s">
        <v>188</v>
      </c>
      <c r="V22" s="1007"/>
      <c r="W22" s="1007"/>
      <c r="X22" s="1007"/>
      <c r="Y22" s="1007"/>
      <c r="Z22" s="1007"/>
      <c r="AA22" s="1007"/>
      <c r="AB22" s="1007"/>
      <c r="AC22" s="1007"/>
      <c r="AD22" s="1007"/>
      <c r="AE22" s="1007"/>
      <c r="AF22" s="1007"/>
      <c r="AG22" s="1007"/>
      <c r="AH22" s="1007"/>
      <c r="AI22" s="1007"/>
      <c r="AJ22" s="1007"/>
      <c r="AK22" s="1007"/>
      <c r="AL22" s="1007"/>
      <c r="AM22" s="1007"/>
      <c r="AN22" s="1007"/>
      <c r="AO22" s="1007"/>
      <c r="AP22" s="1007"/>
      <c r="AQ22" s="1007"/>
      <c r="AR22" s="1007"/>
      <c r="AS22" s="1007"/>
      <c r="AT22" s="1007"/>
      <c r="AU22" s="1007"/>
      <c r="AV22" s="1007"/>
      <c r="AW22" s="1007"/>
      <c r="AX22" s="1007"/>
      <c r="AY22" s="1007"/>
      <c r="AZ22" s="1007"/>
      <c r="BA22" s="1007"/>
      <c r="BB22" s="1006" t="s">
        <v>737</v>
      </c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006"/>
      <c r="BM22" s="1007" t="s">
        <v>189</v>
      </c>
      <c r="BN22" s="1007"/>
      <c r="BO22" s="1007"/>
      <c r="BP22" s="1007"/>
      <c r="BQ22" s="1007"/>
      <c r="BR22" s="1007"/>
      <c r="BS22" s="1007"/>
      <c r="BT22" s="1007"/>
      <c r="BU22" s="1007"/>
      <c r="BV22" s="1007"/>
      <c r="BW22" s="1007"/>
      <c r="BX22" s="1007"/>
      <c r="BY22" s="1006" t="s">
        <v>742</v>
      </c>
      <c r="BZ22" s="1006"/>
      <c r="CA22" s="1006"/>
      <c r="CB22" s="1006"/>
      <c r="CC22" s="1006"/>
      <c r="CD22" s="1006"/>
      <c r="CE22" s="1006"/>
      <c r="CF22" s="1006"/>
      <c r="CG22" s="1006"/>
      <c r="CH22" s="1006"/>
      <c r="CI22" s="1006"/>
      <c r="CJ22" s="1006"/>
      <c r="CK22" s="1006"/>
      <c r="CL22" s="1006"/>
      <c r="CM22" s="1006"/>
      <c r="CN22" s="1006"/>
      <c r="CO22" s="1006"/>
      <c r="CP22" s="1006"/>
      <c r="CQ22" s="1006"/>
      <c r="CR22" s="1006"/>
      <c r="CS22" s="1006"/>
      <c r="CT22" s="1006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26" t="s">
        <v>712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726"/>
      <c r="U23" s="726"/>
      <c r="V23" s="726"/>
      <c r="W23" s="726"/>
      <c r="X23" s="758">
        <v>368.7</v>
      </c>
      <c r="Y23" s="758"/>
      <c r="Z23" s="758"/>
      <c r="AA23" s="758"/>
      <c r="AB23" s="758"/>
      <c r="AC23" s="758"/>
      <c r="AD23" s="758"/>
      <c r="AE23" s="758"/>
      <c r="AF23" s="758"/>
      <c r="AG23" s="758"/>
      <c r="AH23" s="726" t="s">
        <v>193</v>
      </c>
      <c r="AI23" s="726"/>
      <c r="AJ23" s="726"/>
      <c r="AK23" s="726"/>
      <c r="AL23" s="726"/>
      <c r="AM23" s="726"/>
      <c r="AN23" s="726"/>
      <c r="AO23" s="726"/>
      <c r="AP23" s="726"/>
      <c r="AQ23" s="726"/>
      <c r="AR23" s="726"/>
      <c r="AS23" s="726"/>
      <c r="AT23" s="726"/>
      <c r="AU23" s="726"/>
      <c r="AV23" s="726"/>
      <c r="AW23" s="726"/>
      <c r="AX23" s="726"/>
      <c r="AY23" s="726"/>
      <c r="AZ23" s="726"/>
      <c r="BA23" s="726"/>
      <c r="BB23" s="726"/>
      <c r="BC23" s="726"/>
      <c r="BD23" s="726"/>
      <c r="BE23" s="726"/>
      <c r="BF23" s="726"/>
      <c r="BG23" s="726"/>
      <c r="BH23" s="726"/>
      <c r="BI23" s="726"/>
      <c r="BJ23" s="726"/>
      <c r="BK23" s="726"/>
      <c r="BL23" s="726"/>
      <c r="BM23" s="726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771"/>
      <c r="CL23" s="771"/>
      <c r="CM23" s="771"/>
      <c r="CN23" s="771"/>
      <c r="CO23" s="771"/>
      <c r="CP23" s="771"/>
      <c r="CQ23" s="771"/>
      <c r="CR23" s="771"/>
      <c r="CS23" s="771"/>
      <c r="CT23" s="771"/>
      <c r="CU23" s="771"/>
      <c r="CV23" s="50"/>
      <c r="DD23" s="56"/>
      <c r="DE23" s="57"/>
      <c r="DF23" s="57"/>
    </row>
    <row r="24" spans="1:112" ht="15" customHeight="1">
      <c r="A24" s="726"/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26"/>
      <c r="AI24" s="726"/>
      <c r="AJ24" s="726"/>
      <c r="AK24" s="726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6" t="s">
        <v>65</v>
      </c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6" t="s">
        <v>65</v>
      </c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6"/>
      <c r="CI25" s="1006"/>
      <c r="CJ25" s="1006"/>
      <c r="CK25" s="1006"/>
      <c r="CL25" s="1006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19" t="s">
        <v>204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12" t="s">
        <v>701</v>
      </c>
      <c r="B31" s="1013"/>
      <c r="C31" s="1013"/>
      <c r="D31" s="1013"/>
      <c r="E31" s="1013"/>
      <c r="F31" s="1013"/>
      <c r="G31" s="1013"/>
      <c r="H31" s="1013"/>
      <c r="I31" s="1013"/>
      <c r="J31" s="1013"/>
      <c r="K31" s="1013"/>
      <c r="L31" s="1013"/>
      <c r="M31" s="1013"/>
      <c r="N31" s="1013"/>
      <c r="O31" s="1013"/>
      <c r="P31" s="1013"/>
      <c r="Q31" s="1013"/>
      <c r="R31" s="1013"/>
      <c r="S31" s="1013"/>
      <c r="T31" s="1013"/>
      <c r="U31" s="1013"/>
      <c r="V31" s="1014"/>
      <c r="W31" s="1012" t="s">
        <v>198</v>
      </c>
      <c r="X31" s="1013"/>
      <c r="Y31" s="1013"/>
      <c r="Z31" s="1013"/>
      <c r="AA31" s="1013"/>
      <c r="AB31" s="1013"/>
      <c r="AC31" s="1013"/>
      <c r="AD31" s="1013"/>
      <c r="AE31" s="1013"/>
      <c r="AF31" s="1013"/>
      <c r="AG31" s="1013"/>
      <c r="AH31" s="1013"/>
      <c r="AI31" s="1013"/>
      <c r="AJ31" s="1013"/>
      <c r="AK31" s="1013"/>
      <c r="AL31" s="1013"/>
      <c r="AM31" s="1013"/>
      <c r="AN31" s="1013"/>
      <c r="AO31" s="1013"/>
      <c r="AP31" s="1013"/>
      <c r="AQ31" s="1013"/>
      <c r="AR31" s="1013"/>
      <c r="AS31" s="1014"/>
      <c r="AT31" s="1012" t="s">
        <v>199</v>
      </c>
      <c r="AU31" s="1013"/>
      <c r="AV31" s="1013"/>
      <c r="AW31" s="1013"/>
      <c r="AX31" s="1013"/>
      <c r="AY31" s="1013"/>
      <c r="AZ31" s="1013"/>
      <c r="BA31" s="1013"/>
      <c r="BB31" s="1013"/>
      <c r="BC31" s="1013"/>
      <c r="BD31" s="1013"/>
      <c r="BE31" s="1013"/>
      <c r="BF31" s="1013"/>
      <c r="BG31" s="1013"/>
      <c r="BH31" s="1013"/>
      <c r="BI31" s="1013"/>
      <c r="BJ31" s="1013"/>
      <c r="BK31" s="1013"/>
      <c r="BL31" s="1013"/>
      <c r="BM31" s="1013"/>
      <c r="BN31" s="1013"/>
      <c r="BO31" s="1013"/>
      <c r="BP31" s="1013"/>
      <c r="BQ31" s="1013"/>
      <c r="BR31" s="1014"/>
      <c r="BS31" s="1020" t="s">
        <v>200</v>
      </c>
      <c r="BT31" s="1020"/>
      <c r="BU31" s="1020"/>
      <c r="BV31" s="1020"/>
      <c r="BW31" s="1020"/>
      <c r="BX31" s="1020"/>
      <c r="BY31" s="1020"/>
      <c r="BZ31" s="1020"/>
      <c r="CA31" s="1020"/>
      <c r="CB31" s="1020"/>
      <c r="CC31" s="1020"/>
      <c r="CD31" s="1020"/>
      <c r="CE31" s="1020"/>
      <c r="CF31" s="1020"/>
      <c r="CG31" s="1020"/>
      <c r="CH31" s="1020"/>
      <c r="CI31" s="1020"/>
      <c r="CJ31" s="1020"/>
      <c r="CK31" s="1020"/>
      <c r="CL31" s="1020"/>
      <c r="CM31" s="1020"/>
      <c r="CN31" s="1020"/>
      <c r="CO31" s="1020"/>
      <c r="CP31" s="1020"/>
      <c r="CQ31" s="1020"/>
      <c r="CR31" s="1020"/>
      <c r="CS31" s="1020"/>
      <c r="CT31" s="1020"/>
      <c r="CU31" s="1020"/>
      <c r="CV31" s="1020"/>
      <c r="CW31" s="1020"/>
      <c r="CX31" s="1020"/>
      <c r="CY31" s="1020"/>
      <c r="CZ31" s="1020"/>
      <c r="DA31" s="1020"/>
      <c r="DB31" s="1020"/>
    </row>
    <row r="32" spans="1:112" ht="39.75" customHeight="1">
      <c r="A32" s="1015"/>
      <c r="B32" s="1016"/>
      <c r="C32" s="1016"/>
      <c r="D32" s="1016"/>
      <c r="E32" s="1016"/>
      <c r="F32" s="1016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7"/>
      <c r="W32" s="1015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7"/>
      <c r="AT32" s="1015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/>
      <c r="BL32" s="1016"/>
      <c r="BM32" s="1016"/>
      <c r="BN32" s="1016"/>
      <c r="BO32" s="1016"/>
      <c r="BP32" s="1016"/>
      <c r="BQ32" s="1016"/>
      <c r="BR32" s="1017"/>
      <c r="BS32" s="1004" t="s">
        <v>201</v>
      </c>
      <c r="BT32" s="1004"/>
      <c r="BU32" s="1004"/>
      <c r="BV32" s="1004"/>
      <c r="BW32" s="1004"/>
      <c r="BX32" s="1004"/>
      <c r="BY32" s="1004"/>
      <c r="BZ32" s="1004"/>
      <c r="CA32" s="1004"/>
      <c r="CB32" s="1004"/>
      <c r="CC32" s="1004"/>
      <c r="CD32" s="1004"/>
      <c r="CE32" s="1004"/>
      <c r="CF32" s="1004"/>
      <c r="CG32" s="1004"/>
      <c r="CH32" s="1004"/>
      <c r="CI32" s="1004"/>
      <c r="CJ32" s="1004"/>
      <c r="CK32" s="1004"/>
      <c r="CL32" s="1004" t="s">
        <v>202</v>
      </c>
      <c r="CM32" s="1004"/>
      <c r="CN32" s="1004"/>
      <c r="CO32" s="1004"/>
      <c r="CP32" s="1004"/>
      <c r="CQ32" s="1004"/>
      <c r="CR32" s="1004"/>
      <c r="CS32" s="1004"/>
      <c r="CT32" s="1004"/>
      <c r="CU32" s="1004"/>
      <c r="CV32" s="1004"/>
      <c r="CW32" s="1004"/>
      <c r="CX32" s="1004"/>
      <c r="CY32" s="1004"/>
      <c r="CZ32" s="1004"/>
      <c r="DA32" s="1004"/>
      <c r="DB32" s="1004"/>
      <c r="DH32" s="149"/>
    </row>
    <row r="33" spans="1:112" ht="15" customHeight="1">
      <c r="A33" s="1005"/>
      <c r="B33" s="1005"/>
      <c r="C33" s="1005"/>
      <c r="D33" s="1005"/>
      <c r="E33" s="1005"/>
      <c r="F33" s="1005"/>
      <c r="G33" s="1005"/>
      <c r="H33" s="1005"/>
      <c r="I33" s="1005"/>
      <c r="J33" s="1005"/>
      <c r="K33" s="1005"/>
      <c r="L33" s="1005"/>
      <c r="M33" s="1005"/>
      <c r="N33" s="1005"/>
      <c r="O33" s="1005"/>
      <c r="P33" s="1005"/>
      <c r="Q33" s="1005"/>
      <c r="R33" s="1005"/>
      <c r="S33" s="1005"/>
      <c r="T33" s="1005"/>
      <c r="U33" s="1005"/>
      <c r="V33" s="1005"/>
      <c r="W33" s="1005"/>
      <c r="X33" s="1005"/>
      <c r="Y33" s="1005"/>
      <c r="Z33" s="1005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  <c r="BU33" s="1005"/>
      <c r="BV33" s="1005"/>
      <c r="BW33" s="1005"/>
      <c r="BX33" s="1005"/>
      <c r="BY33" s="1005"/>
      <c r="BZ33" s="1005"/>
      <c r="CA33" s="1005"/>
      <c r="CB33" s="1005"/>
      <c r="CC33" s="1005"/>
      <c r="CD33" s="1005"/>
      <c r="CE33" s="1005"/>
      <c r="CF33" s="1005"/>
      <c r="CG33" s="1005"/>
      <c r="CH33" s="1005"/>
      <c r="CI33" s="1005"/>
      <c r="CJ33" s="1005"/>
      <c r="CK33" s="1005"/>
      <c r="CL33" s="1005"/>
      <c r="CM33" s="1005"/>
      <c r="CN33" s="1005"/>
      <c r="CO33" s="1005"/>
      <c r="CP33" s="1005"/>
      <c r="CQ33" s="1005"/>
      <c r="CR33" s="1005"/>
      <c r="CS33" s="1005"/>
      <c r="CT33" s="1005"/>
      <c r="CU33" s="1005"/>
      <c r="CV33" s="1005"/>
      <c r="CW33" s="1005"/>
      <c r="CX33" s="1005"/>
      <c r="CY33" s="1005"/>
      <c r="CZ33" s="1005"/>
      <c r="DA33" s="1005"/>
      <c r="DB33" s="1005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18" t="s">
        <v>206</v>
      </c>
      <c r="B39" s="818"/>
      <c r="C39" s="818"/>
      <c r="D39" s="818"/>
      <c r="E39" s="818"/>
      <c r="F39" s="818"/>
      <c r="G39" s="818"/>
      <c r="H39" s="818"/>
      <c r="I39" s="818"/>
      <c r="J39" s="772" t="s">
        <v>738</v>
      </c>
      <c r="K39" s="772"/>
      <c r="L39" s="772"/>
      <c r="M39" s="772"/>
      <c r="N39" s="772"/>
      <c r="O39" s="772"/>
      <c r="P39" s="772"/>
      <c r="Q39" s="772"/>
      <c r="R39" s="772"/>
      <c r="S39" s="49"/>
      <c r="T39" s="818" t="s">
        <v>207</v>
      </c>
      <c r="U39" s="818"/>
      <c r="V39" s="818"/>
      <c r="W39" s="818"/>
      <c r="X39" s="818"/>
      <c r="Y39" s="818"/>
      <c r="Z39" s="818"/>
      <c r="AA39" s="818"/>
      <c r="AB39" s="818"/>
      <c r="AC39" s="818"/>
      <c r="AD39" s="818"/>
      <c r="AE39" s="818"/>
      <c r="AF39" s="818"/>
      <c r="AG39" s="818"/>
      <c r="AH39" s="818"/>
      <c r="AI39" s="81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58" t="s">
        <v>65</v>
      </c>
      <c r="V40" s="758"/>
      <c r="W40" s="758"/>
      <c r="X40" s="758"/>
      <c r="Y40" s="758"/>
      <c r="Z40" s="758"/>
      <c r="AA40" s="758"/>
      <c r="AB40" s="758"/>
      <c r="AC40" s="758"/>
      <c r="AD40" s="758"/>
      <c r="AE40" s="758"/>
      <c r="AF40" s="758"/>
      <c r="AG40" s="758"/>
      <c r="AH40" s="758"/>
      <c r="AI40" s="758"/>
      <c r="AJ40" s="758"/>
      <c r="AK40" s="758"/>
      <c r="AL40" s="758"/>
      <c r="AM40" s="758"/>
      <c r="AN40" s="758"/>
      <c r="AO40" s="758"/>
      <c r="AP40" s="758"/>
      <c r="AQ40" s="758"/>
      <c r="AR40" s="758"/>
      <c r="AS40" s="758"/>
      <c r="AT40" s="758"/>
      <c r="AU40" s="758"/>
      <c r="AV40" s="758"/>
      <c r="AW40" s="758"/>
      <c r="AX40" s="758"/>
      <c r="AY40" s="758"/>
      <c r="AZ40" s="758"/>
      <c r="BA40" s="758"/>
      <c r="BB40" s="758"/>
      <c r="BC40" s="758"/>
      <c r="BD40" s="758"/>
      <c r="BE40" s="758"/>
      <c r="BF40" s="758"/>
      <c r="BG40" s="758"/>
      <c r="BH40" s="758"/>
      <c r="BI40" s="758"/>
      <c r="BJ40" s="758"/>
      <c r="BK40" s="758"/>
      <c r="BL40" s="758"/>
      <c r="BM40" s="758"/>
      <c r="BN40" s="19" t="s">
        <v>208</v>
      </c>
      <c r="BZ40" s="1002" t="s">
        <v>65</v>
      </c>
      <c r="CA40" s="1018"/>
      <c r="CB40" s="1018"/>
      <c r="CC40" s="1018"/>
      <c r="CD40" s="1018"/>
      <c r="CE40" s="1018"/>
      <c r="CF40" s="1018"/>
      <c r="CG40" s="1018"/>
      <c r="CH40" s="1018"/>
      <c r="CI40" s="1018"/>
      <c r="CJ40" s="1018"/>
      <c r="CK40" s="1018"/>
      <c r="CL40" s="1018"/>
      <c r="CM40" s="1018"/>
      <c r="CN40" s="1018"/>
      <c r="CO40" s="1018"/>
      <c r="CP40" s="1018"/>
      <c r="CQ40" s="1018"/>
      <c r="CR40" s="1018"/>
      <c r="CS40" s="1018"/>
      <c r="CT40" s="1018"/>
      <c r="CU40" s="1018"/>
      <c r="CV40" s="1018"/>
      <c r="CW40" s="1018"/>
      <c r="CX40" s="1018"/>
      <c r="CY40" s="1018"/>
      <c r="CZ40" s="1018"/>
      <c r="DA40" s="1018"/>
      <c r="DB40" s="1018"/>
      <c r="DH40" s="141"/>
    </row>
    <row r="41" spans="1:112" s="225" customFormat="1" ht="9">
      <c r="BZ41" s="750" t="s">
        <v>209</v>
      </c>
      <c r="CA41" s="750"/>
      <c r="CB41" s="750"/>
      <c r="CC41" s="750"/>
      <c r="CD41" s="750"/>
      <c r="CE41" s="750"/>
      <c r="CF41" s="750"/>
      <c r="CG41" s="750"/>
      <c r="CH41" s="750"/>
      <c r="CI41" s="750"/>
      <c r="CJ41" s="750"/>
      <c r="CK41" s="750"/>
      <c r="CL41" s="750"/>
      <c r="CM41" s="750"/>
      <c r="CN41" s="750"/>
      <c r="CO41" s="750"/>
      <c r="CP41" s="750"/>
      <c r="CQ41" s="750"/>
      <c r="CR41" s="750"/>
      <c r="CS41" s="750"/>
      <c r="CT41" s="750"/>
      <c r="CU41" s="750"/>
      <c r="CV41" s="750"/>
      <c r="CW41" s="750"/>
      <c r="CX41" s="750"/>
      <c r="CY41" s="750"/>
      <c r="CZ41" s="750"/>
      <c r="DA41" s="750"/>
      <c r="DB41" s="750"/>
      <c r="DH41" s="228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72" t="s">
        <v>65</v>
      </c>
      <c r="Z44" s="758"/>
      <c r="AA44" s="758"/>
      <c r="AB44" s="758"/>
      <c r="AC44" s="758"/>
      <c r="AD44" s="758"/>
      <c r="AE44" s="758"/>
      <c r="AF44" s="758"/>
      <c r="AG44" s="758"/>
      <c r="AH44" s="758"/>
      <c r="AI44" s="758"/>
      <c r="AJ44" s="758"/>
      <c r="AK44" s="758"/>
      <c r="AL44" s="758"/>
      <c r="AM44" s="758"/>
      <c r="AN44" s="758"/>
      <c r="AO44" s="758"/>
      <c r="AP44" s="758"/>
      <c r="AQ44" s="758"/>
      <c r="AR44" s="758"/>
      <c r="AS44" s="758"/>
      <c r="AT44" s="758"/>
      <c r="AU44" s="758"/>
      <c r="AV44" s="758"/>
      <c r="AW44" s="758"/>
      <c r="AX44" s="758"/>
      <c r="AY44" s="758"/>
      <c r="AZ44" s="758"/>
      <c r="BA44" s="758"/>
      <c r="BB44" s="758"/>
      <c r="BC44" s="758"/>
      <c r="BD44" s="758"/>
      <c r="BE44" s="758"/>
      <c r="BF44" s="758"/>
      <c r="BG44" s="758"/>
      <c r="BH44" s="49"/>
      <c r="BI44" s="1003" t="s">
        <v>208</v>
      </c>
      <c r="BJ44" s="1003"/>
      <c r="BK44" s="1003"/>
      <c r="BL44" s="1003"/>
      <c r="BM44" s="1003"/>
      <c r="BN44" s="1003"/>
      <c r="BO44" s="1003"/>
      <c r="BP44" s="1003"/>
      <c r="BQ44" s="1003"/>
      <c r="BR44" s="1003"/>
      <c r="BS44" s="1003"/>
      <c r="BT44" s="49"/>
      <c r="BU44" s="1002" t="s">
        <v>65</v>
      </c>
      <c r="BV44" s="1002"/>
      <c r="BW44" s="1002"/>
      <c r="BX44" s="1002"/>
      <c r="BY44" s="1002"/>
      <c r="BZ44" s="1002"/>
      <c r="CA44" s="1002"/>
      <c r="CB44" s="1002"/>
      <c r="CC44" s="1002"/>
      <c r="CD44" s="1002"/>
      <c r="CE44" s="1002"/>
      <c r="CF44" s="1002"/>
      <c r="CG44" s="1002"/>
      <c r="CH44" s="1002"/>
      <c r="CI44" s="1002"/>
      <c r="CJ44" s="1002"/>
      <c r="CK44" s="1002"/>
      <c r="CL44" s="1002"/>
      <c r="CM44" s="1002"/>
      <c r="CN44" s="1002"/>
      <c r="CO44" s="1002"/>
      <c r="CP44" s="1002"/>
      <c r="CQ44" s="1002"/>
      <c r="CR44" s="1002"/>
      <c r="CS44" s="1002"/>
      <c r="CT44" s="1002"/>
      <c r="CU44" s="1002"/>
      <c r="CV44" s="1002"/>
      <c r="CW44" s="1002"/>
      <c r="CX44" s="1002"/>
      <c r="CY44" s="1002"/>
      <c r="CZ44" s="1002"/>
      <c r="DA44" s="1002"/>
      <c r="DB44" s="1002"/>
      <c r="DH44" s="150"/>
    </row>
    <row r="45" spans="1:112" s="225" customFormat="1" ht="9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01" t="s">
        <v>212</v>
      </c>
      <c r="BV45" s="1001"/>
      <c r="BW45" s="1001"/>
      <c r="BX45" s="1001"/>
      <c r="BY45" s="1001"/>
      <c r="BZ45" s="1001"/>
      <c r="CA45" s="1001"/>
      <c r="CB45" s="1001"/>
      <c r="CC45" s="1001"/>
      <c r="CD45" s="1001"/>
      <c r="CE45" s="1001"/>
      <c r="CF45" s="1001"/>
      <c r="CG45" s="1001"/>
      <c r="CH45" s="1001"/>
      <c r="CI45" s="1001"/>
      <c r="CJ45" s="1001"/>
      <c r="CK45" s="1001"/>
      <c r="CL45" s="1001"/>
      <c r="CM45" s="1001"/>
      <c r="CN45" s="1001"/>
      <c r="CO45" s="1001"/>
      <c r="CP45" s="1001"/>
      <c r="CQ45" s="1001"/>
      <c r="CR45" s="1001"/>
      <c r="CS45" s="1001"/>
      <c r="CT45" s="1001"/>
      <c r="CU45" s="1001"/>
      <c r="CV45" s="1001"/>
      <c r="CW45" s="1001"/>
      <c r="CX45" s="1001"/>
      <c r="CY45" s="1001"/>
      <c r="CZ45" s="1001"/>
      <c r="DA45" s="1001"/>
      <c r="DB45" s="1001"/>
      <c r="DH45" s="229"/>
    </row>
    <row r="46" spans="1:112" ht="15" customHeight="1">
      <c r="A46" s="19" t="s">
        <v>213</v>
      </c>
      <c r="DH46" s="141"/>
    </row>
    <row r="47" spans="1:112" ht="45.75" customHeight="1">
      <c r="A47" s="912" t="s">
        <v>481</v>
      </c>
      <c r="B47" s="912"/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2"/>
      <c r="AP47" s="912"/>
      <c r="AQ47" s="912"/>
      <c r="AR47" s="912"/>
      <c r="AS47" s="912"/>
      <c r="AT47" s="912"/>
      <c r="AU47" s="912"/>
      <c r="AV47" s="912"/>
      <c r="AW47" s="912"/>
      <c r="AX47" s="912"/>
      <c r="AY47" s="912"/>
      <c r="AZ47" s="912"/>
      <c r="BA47" s="912"/>
      <c r="BB47" s="912"/>
      <c r="BC47" s="912"/>
      <c r="BD47" s="912"/>
      <c r="BE47" s="912"/>
      <c r="BF47" s="912"/>
      <c r="BG47" s="912"/>
      <c r="BH47" s="912"/>
      <c r="BI47" s="912"/>
      <c r="BJ47" s="912"/>
      <c r="BK47" s="912"/>
      <c r="BL47" s="912"/>
      <c r="BM47" s="912"/>
      <c r="BN47" s="912"/>
      <c r="BO47" s="912"/>
      <c r="BP47" s="912"/>
      <c r="BQ47" s="912"/>
      <c r="BR47" s="912"/>
      <c r="BS47" s="912"/>
      <c r="BT47" s="912"/>
      <c r="BU47" s="912"/>
      <c r="BV47" s="912"/>
      <c r="BW47" s="912"/>
      <c r="BX47" s="912"/>
      <c r="BY47" s="912"/>
      <c r="BZ47" s="912"/>
      <c r="CA47" s="912"/>
      <c r="CB47" s="912"/>
      <c r="CC47" s="912"/>
      <c r="CD47" s="912"/>
      <c r="CE47" s="912"/>
      <c r="CF47" s="912"/>
      <c r="CG47" s="912"/>
      <c r="CH47" s="912"/>
      <c r="CI47" s="912"/>
      <c r="CJ47" s="912"/>
      <c r="CK47" s="912"/>
      <c r="CL47" s="912"/>
      <c r="CM47" s="912"/>
      <c r="CN47" s="912"/>
      <c r="CO47" s="912"/>
      <c r="CP47" s="912"/>
      <c r="CQ47" s="912"/>
      <c r="CR47" s="912"/>
      <c r="CS47" s="912"/>
      <c r="CT47" s="912"/>
      <c r="CU47" s="912"/>
      <c r="CV47" s="912"/>
      <c r="CW47" s="912"/>
      <c r="CX47" s="912"/>
      <c r="CY47" s="912"/>
      <c r="CZ47" s="912"/>
      <c r="DA47" s="912"/>
      <c r="DB47" s="912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1" t="s">
        <v>862</v>
      </c>
      <c r="AR49" s="771"/>
      <c r="AS49" s="771"/>
      <c r="AT49" s="771"/>
      <c r="AU49" s="771"/>
      <c r="AV49" s="771"/>
      <c r="AW49" s="771"/>
      <c r="AX49" s="771"/>
      <c r="AY49" s="771"/>
      <c r="AZ49" s="771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58" t="s">
        <v>735</v>
      </c>
      <c r="Q56" s="758"/>
      <c r="R56" s="758"/>
      <c r="S56" s="758"/>
      <c r="T56" s="758"/>
      <c r="U56" s="758"/>
      <c r="V56" s="758"/>
      <c r="W56" s="758"/>
      <c r="X56" s="758"/>
      <c r="Y56" s="758"/>
      <c r="Z56" s="758"/>
      <c r="AA56" s="758"/>
      <c r="AB56" s="758"/>
      <c r="AC56" s="758"/>
      <c r="AD56" s="758"/>
      <c r="AE56" s="758"/>
      <c r="AF56" s="758"/>
      <c r="AG56" s="758"/>
      <c r="AH56" s="758"/>
      <c r="AI56" s="758"/>
      <c r="AJ56" s="758"/>
      <c r="AK56" s="758"/>
      <c r="AL56" s="758"/>
      <c r="AM56" s="758"/>
      <c r="AN56" s="758"/>
      <c r="AO56" s="758"/>
      <c r="AP56" s="758"/>
      <c r="AQ56" s="758"/>
      <c r="AR56" s="758"/>
      <c r="AS56" s="758"/>
      <c r="AT56" s="758"/>
      <c r="AU56" s="758"/>
      <c r="AV56" s="758"/>
      <c r="AW56" s="758"/>
      <c r="AX56" s="758"/>
      <c r="AY56" s="758"/>
      <c r="AZ56" s="758"/>
      <c r="BA56" s="758"/>
      <c r="BB56" s="758"/>
      <c r="BC56" s="758"/>
      <c r="BD56" s="758"/>
      <c r="BE56" s="758"/>
      <c r="BF56" s="758"/>
      <c r="BG56" s="758"/>
      <c r="BH56" s="758"/>
      <c r="BI56" s="758"/>
      <c r="BJ56" s="758"/>
      <c r="BK56" s="758"/>
      <c r="BL56" s="758"/>
      <c r="BM56" s="758"/>
      <c r="BN56" s="758"/>
      <c r="BO56" s="758"/>
      <c r="BP56" s="758"/>
      <c r="BQ56" s="758"/>
      <c r="BR56" s="758"/>
      <c r="BS56" s="758"/>
      <c r="BT56" s="758"/>
      <c r="BU56" s="758"/>
      <c r="BV56" s="758"/>
      <c r="BW56" s="758"/>
      <c r="BX56" s="758"/>
      <c r="BY56" s="758"/>
      <c r="BZ56" s="758"/>
      <c r="CA56" s="758"/>
      <c r="CB56" s="758"/>
      <c r="CC56" s="758"/>
      <c r="CD56" s="758"/>
      <c r="CE56" s="758"/>
      <c r="CF56" s="758"/>
      <c r="CG56" s="758"/>
      <c r="CH56" s="758"/>
      <c r="CI56" s="758"/>
      <c r="CJ56" s="758"/>
      <c r="CK56" s="758"/>
      <c r="CL56" s="758"/>
      <c r="CM56" s="758"/>
      <c r="CN56" s="758"/>
      <c r="CO56" s="758"/>
      <c r="CP56" s="758"/>
      <c r="CQ56" s="758"/>
      <c r="CR56" s="758"/>
      <c r="CS56" s="758"/>
      <c r="CT56" s="758"/>
      <c r="CU56" s="758"/>
      <c r="CV56" s="758"/>
      <c r="CW56" s="758"/>
      <c r="CX56" s="758"/>
      <c r="CY56" s="758"/>
      <c r="CZ56" s="758"/>
      <c r="DA56" s="758"/>
      <c r="DB56" s="758"/>
      <c r="DH56" s="141"/>
    </row>
    <row r="57" spans="1:112" ht="14">
      <c r="A57" s="726"/>
      <c r="B57" s="726"/>
      <c r="C57" s="726"/>
      <c r="D57" s="726"/>
      <c r="E57" s="726"/>
      <c r="F57" s="726"/>
      <c r="G57" s="726"/>
      <c r="H57" s="726"/>
      <c r="I57" s="726"/>
      <c r="J57" s="726"/>
      <c r="K57" s="726"/>
      <c r="L57" s="726"/>
      <c r="M57" s="726"/>
      <c r="N57" s="726"/>
      <c r="O57" s="726"/>
      <c r="P57" s="726"/>
      <c r="Q57" s="726"/>
      <c r="R57" s="726"/>
      <c r="S57" s="726"/>
      <c r="T57" s="726"/>
      <c r="U57" s="726"/>
      <c r="V57" s="726"/>
      <c r="W57" s="726"/>
      <c r="X57" s="726"/>
      <c r="Y57" s="726"/>
      <c r="Z57" s="726"/>
      <c r="AA57" s="726"/>
      <c r="AB57" s="726"/>
      <c r="AC57" s="726"/>
      <c r="AD57" s="726"/>
      <c r="AE57" s="726"/>
      <c r="AF57" s="726"/>
      <c r="AG57" s="726"/>
      <c r="AH57" s="726"/>
      <c r="AI57" s="726"/>
      <c r="AJ57" s="726"/>
      <c r="AK57" s="726"/>
      <c r="AL57" s="726"/>
      <c r="AM57" s="726"/>
      <c r="AN57" s="726"/>
      <c r="AO57" s="726"/>
      <c r="AP57" s="726"/>
      <c r="AQ57" s="726"/>
      <c r="AR57" s="726"/>
      <c r="AS57" s="726"/>
      <c r="AT57" s="726"/>
      <c r="AU57" s="726"/>
      <c r="AV57" s="726"/>
      <c r="AW57" s="726"/>
      <c r="AX57" s="726"/>
      <c r="AY57" s="726"/>
      <c r="AZ57" s="726"/>
      <c r="BA57" s="726"/>
      <c r="BB57" s="726"/>
      <c r="BC57" s="726"/>
      <c r="BD57" s="726"/>
      <c r="BE57" s="726"/>
      <c r="BF57" s="726"/>
      <c r="BG57" s="726"/>
      <c r="BH57" s="726"/>
      <c r="BI57" s="726"/>
      <c r="BJ57" s="726"/>
      <c r="BK57" s="726"/>
      <c r="BL57" s="726"/>
      <c r="BM57" s="726"/>
      <c r="BN57" s="726"/>
      <c r="BO57" s="726"/>
      <c r="BP57" s="726"/>
      <c r="BQ57" s="726"/>
      <c r="BR57" s="726"/>
      <c r="BS57" s="726"/>
      <c r="BT57" s="726"/>
      <c r="BU57" s="726"/>
      <c r="BV57" s="726"/>
      <c r="BW57" s="726"/>
      <c r="BX57" s="726"/>
      <c r="BY57" s="726"/>
      <c r="BZ57" s="726"/>
      <c r="CA57" s="726"/>
      <c r="CB57" s="726"/>
      <c r="CC57" s="726"/>
      <c r="CD57" s="726"/>
      <c r="CE57" s="726"/>
      <c r="CF57" s="726"/>
      <c r="CG57" s="726"/>
      <c r="CH57" s="726"/>
      <c r="CI57" s="726"/>
      <c r="CJ57" s="726"/>
      <c r="CK57" s="726"/>
      <c r="CL57" s="726"/>
      <c r="CM57" s="726"/>
      <c r="CN57" s="726"/>
      <c r="CO57" s="726"/>
      <c r="CP57" s="726"/>
      <c r="CQ57" s="726"/>
      <c r="CR57" s="726"/>
      <c r="CS57" s="726"/>
      <c r="CT57" s="726"/>
      <c r="CU57" s="726"/>
      <c r="CV57" s="726"/>
      <c r="CW57" s="726"/>
      <c r="CX57" s="726"/>
      <c r="CY57" s="726"/>
      <c r="CZ57" s="726"/>
      <c r="DA57" s="726"/>
      <c r="DB57" s="726"/>
      <c r="DH57" s="141"/>
    </row>
    <row r="58" spans="1:112" ht="39.75" customHeight="1">
      <c r="A58" s="767" t="s">
        <v>54</v>
      </c>
      <c r="B58" s="767"/>
      <c r="C58" s="767"/>
      <c r="D58" s="767"/>
      <c r="E58" s="767"/>
      <c r="F58" s="767"/>
      <c r="G58" s="767"/>
      <c r="H58" s="767"/>
      <c r="I58" s="767"/>
      <c r="J58" s="767"/>
      <c r="K58" s="767"/>
      <c r="L58" s="767"/>
      <c r="M58" s="767"/>
      <c r="N58" s="767"/>
      <c r="O58" s="767"/>
      <c r="P58" s="767"/>
      <c r="Q58" s="767"/>
      <c r="R58" s="767"/>
      <c r="S58" s="767"/>
      <c r="T58" s="767"/>
      <c r="U58" s="767"/>
      <c r="V58" s="767"/>
      <c r="W58" s="767"/>
      <c r="X58" s="767"/>
      <c r="Y58" s="767"/>
      <c r="Z58" s="767"/>
      <c r="AB58" s="760"/>
      <c r="AC58" s="760"/>
      <c r="AD58" s="760"/>
      <c r="AE58" s="760"/>
      <c r="AF58" s="760"/>
      <c r="AG58" s="760"/>
      <c r="AH58" s="760"/>
      <c r="AI58" s="760"/>
      <c r="AJ58" s="760"/>
      <c r="AK58" s="760"/>
      <c r="AL58" s="760"/>
      <c r="AM58" s="760"/>
      <c r="AN58" s="760"/>
      <c r="AO58" s="760"/>
      <c r="AP58" s="760"/>
      <c r="AQ58" s="760"/>
      <c r="AR58" s="760"/>
      <c r="AS58" s="760"/>
      <c r="AT58" s="760"/>
      <c r="AU58" s="760"/>
      <c r="AV58" s="760"/>
      <c r="AW58" s="760"/>
      <c r="AX58" s="760"/>
      <c r="AY58" s="760"/>
      <c r="AZ58" s="760"/>
      <c r="BA58" s="760"/>
      <c r="BB58" s="760"/>
      <c r="BC58" s="760"/>
      <c r="BD58" s="760"/>
      <c r="BE58" s="760"/>
      <c r="BF58" s="760"/>
      <c r="BG58" s="760"/>
      <c r="BH58" s="760"/>
      <c r="BI58" s="760"/>
      <c r="BJ58" s="760"/>
      <c r="BK58" s="760"/>
      <c r="BL58" s="760"/>
      <c r="BM58" s="760"/>
      <c r="BN58" s="760"/>
      <c r="BO58" s="760"/>
      <c r="BP58" s="760"/>
      <c r="BQ58" s="760"/>
      <c r="BR58" s="760"/>
      <c r="BS58" s="760"/>
      <c r="BT58" s="760"/>
      <c r="BU58" s="760"/>
      <c r="BV58" s="760"/>
      <c r="BX58" s="771" t="str">
        <f>ПОДПИСИ!E12</f>
        <v>А.Р. Махмадов</v>
      </c>
      <c r="BY58" s="771"/>
      <c r="BZ58" s="771"/>
      <c r="CA58" s="771"/>
      <c r="CB58" s="771"/>
      <c r="CC58" s="771"/>
      <c r="CD58" s="771"/>
      <c r="CE58" s="771"/>
      <c r="CF58" s="771"/>
      <c r="CG58" s="771"/>
      <c r="CH58" s="771"/>
      <c r="CI58" s="771"/>
      <c r="CJ58" s="771"/>
      <c r="CK58" s="771"/>
      <c r="CL58" s="771"/>
      <c r="CM58" s="771"/>
      <c r="CN58" s="771"/>
      <c r="CO58" s="771"/>
      <c r="CP58" s="771"/>
      <c r="CQ58" s="771"/>
      <c r="CR58" s="771"/>
      <c r="CS58" s="771"/>
      <c r="CT58" s="771"/>
      <c r="CU58" s="771"/>
      <c r="CV58" s="771"/>
      <c r="CW58" s="771"/>
      <c r="CX58" s="771"/>
      <c r="CY58" s="771"/>
      <c r="CZ58" s="771"/>
      <c r="DA58" s="771"/>
      <c r="DB58" s="77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</sheetData>
  <mergeCells count="87">
    <mergeCell ref="BU45:DB45"/>
    <mergeCell ref="A47:DB47"/>
    <mergeCell ref="AQ49:AZ49"/>
    <mergeCell ref="P56:DB56"/>
    <mergeCell ref="A57:DB57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A33:V33"/>
    <mergeCell ref="W33:AS33"/>
    <mergeCell ref="AT33:BR33"/>
    <mergeCell ref="BS33:CK33"/>
    <mergeCell ref="CL33:DB33"/>
    <mergeCell ref="A39:I39"/>
    <mergeCell ref="J39:R39"/>
    <mergeCell ref="T39:AI39"/>
    <mergeCell ref="A30:BI30"/>
    <mergeCell ref="A31:V32"/>
    <mergeCell ref="W31:AS32"/>
    <mergeCell ref="AT31:BR32"/>
    <mergeCell ref="BS31:DB31"/>
    <mergeCell ref="BS32:CK32"/>
    <mergeCell ref="CL32:DB32"/>
    <mergeCell ref="CK23:CU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N23:BX23"/>
    <mergeCell ref="BY23:CJ23"/>
    <mergeCell ref="A17:W17"/>
    <mergeCell ref="X17:AO17"/>
    <mergeCell ref="AP17:DB17"/>
    <mergeCell ref="J22:T22"/>
    <mergeCell ref="U22:BA22"/>
    <mergeCell ref="BB22:BL22"/>
    <mergeCell ref="BM22:BX22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8:AU8"/>
    <mergeCell ref="BC8:DB8"/>
    <mergeCell ref="A9:AU9"/>
    <mergeCell ref="BC9:DB9"/>
    <mergeCell ref="A11:DB11"/>
    <mergeCell ref="A12:DB12"/>
    <mergeCell ref="A5:AU5"/>
    <mergeCell ref="BC5:DB5"/>
    <mergeCell ref="A6:AU6"/>
    <mergeCell ref="BC6:DB6"/>
    <mergeCell ref="A7:AU7"/>
    <mergeCell ref="BC7:DB7"/>
    <mergeCell ref="A2:AU2"/>
    <mergeCell ref="BC2:DB2"/>
    <mergeCell ref="A3:AU3"/>
    <mergeCell ref="BC3:DB3"/>
    <mergeCell ref="A4:AU4"/>
    <mergeCell ref="BC4:DB4"/>
  </mergeCells>
  <conditionalFormatting sqref="A10:DB10">
    <cfRule type="cellIs" dxfId="59" priority="3" operator="equal">
      <formula>0</formula>
    </cfRule>
  </conditionalFormatting>
  <conditionalFormatting sqref="AV2:BC7 A2:A9 AV8:BB8 AV9:BC9">
    <cfRule type="cellIs" dxfId="58" priority="4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796875" defaultRowHeight="14.5"/>
  <cols>
    <col min="1" max="86" width="0.81640625" style="19" customWidth="1"/>
    <col min="87" max="87" width="18.26953125" style="19" customWidth="1"/>
    <col min="88" max="88" width="9.1796875" style="19"/>
    <col min="89" max="91" width="15.7265625" style="19" customWidth="1"/>
    <col min="92" max="92" width="9.1796875" style="19"/>
    <col min="93" max="93" width="49.453125" style="147" customWidth="1"/>
    <col min="94" max="16384" width="9.1796875" style="19"/>
  </cols>
  <sheetData>
    <row r="1" spans="1:93">
      <c r="A1" s="907" t="s">
        <v>343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/>
      <c r="CK1"/>
      <c r="CL1"/>
      <c r="CM1"/>
      <c r="CN1"/>
      <c r="CO1" s="141"/>
    </row>
    <row r="2" spans="1:93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E2" s="758" t="str">
        <f>ФОРМА!G2</f>
        <v>Санкт-Петербург</v>
      </c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/>
      <c r="CK2"/>
      <c r="CL2"/>
      <c r="CM2"/>
      <c r="CN2"/>
      <c r="CO2" s="142"/>
    </row>
    <row r="3" spans="1:93" s="21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E3" s="770" t="s">
        <v>0</v>
      </c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O3" s="143"/>
    </row>
    <row r="4" spans="1:93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E4" s="772" t="str">
        <f>ФОРМА!B2</f>
        <v>ПАО "Россети Ленэнерго"</v>
      </c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O4" s="144" t="str">
        <f>BE4</f>
        <v>ПАО "Россети Ленэнерго"</v>
      </c>
    </row>
    <row r="5" spans="1:93" s="24" customFormat="1" ht="15" customHeight="1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0" t="s">
        <v>2</v>
      </c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O5" s="143"/>
    </row>
    <row r="6" spans="1:93" ht="93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0" t="s">
        <v>38</v>
      </c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O7" s="235"/>
    </row>
    <row r="8" spans="1:93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E8" s="735">
        <f>ФОРМА!B13</f>
        <v>45625</v>
      </c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51"/>
    </row>
    <row r="9" spans="1:93" s="24" customFormat="1" ht="15" customHeight="1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0" t="s">
        <v>3</v>
      </c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O9" s="235"/>
    </row>
    <row r="10" spans="1:93">
      <c r="A10" s="770"/>
      <c r="B10" s="770"/>
      <c r="C10" s="770"/>
      <c r="D10" s="770"/>
      <c r="E10" s="770"/>
      <c r="F10" s="770"/>
      <c r="G10" s="770"/>
      <c r="H10" s="770"/>
      <c r="I10" s="770"/>
      <c r="J10" s="770"/>
      <c r="K10" s="770"/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  <c r="AF10" s="770"/>
      <c r="AG10" s="770"/>
      <c r="AH10" s="770"/>
      <c r="AI10" s="770"/>
      <c r="AJ10" s="770"/>
      <c r="AK10" s="770"/>
      <c r="AL10" s="770"/>
      <c r="AM10" s="770"/>
      <c r="AN10" s="770"/>
      <c r="AO10" s="770"/>
      <c r="AP10" s="770"/>
      <c r="AQ10" s="770"/>
      <c r="AR10" s="770"/>
      <c r="AS10" s="770"/>
      <c r="AT10" s="770"/>
      <c r="AU10" s="770"/>
      <c r="AV10" s="770"/>
      <c r="AW10" s="770"/>
      <c r="AX10" s="770"/>
      <c r="AY10" s="770"/>
      <c r="AZ10" s="770"/>
      <c r="BA10" s="770"/>
      <c r="BB10" s="770"/>
      <c r="BC10" s="770"/>
      <c r="BD10" s="770"/>
      <c r="BE10" s="770"/>
      <c r="BF10" s="770"/>
      <c r="BG10" s="770"/>
      <c r="BH10" s="770"/>
      <c r="BI10" s="770"/>
      <c r="BJ10" s="770"/>
      <c r="BK10" s="770"/>
      <c r="BL10" s="770"/>
      <c r="BM10" s="770"/>
      <c r="BN10" s="770"/>
      <c r="BO10" s="770"/>
      <c r="BP10" s="770"/>
      <c r="BQ10" s="770"/>
      <c r="BR10" s="770"/>
      <c r="BS10" s="770"/>
      <c r="BT10" s="770"/>
      <c r="BU10" s="770"/>
      <c r="BV10" s="770"/>
      <c r="BW10" s="770"/>
      <c r="BX10" s="770"/>
      <c r="BY10" s="770"/>
      <c r="BZ10" s="770"/>
      <c r="CA10" s="770"/>
      <c r="CB10" s="770"/>
      <c r="CC10" s="770"/>
      <c r="CD10" s="770"/>
      <c r="CE10" s="770"/>
      <c r="CF10" s="770"/>
      <c r="CG10" s="770"/>
      <c r="CH10" s="770"/>
      <c r="CI10" s="770"/>
    </row>
    <row r="11" spans="1:93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</row>
    <row r="12" spans="1:93">
      <c r="A12" s="738" t="s">
        <v>345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</row>
    <row r="13" spans="1:93" ht="18" customHeight="1">
      <c r="A13" s="1035" t="s">
        <v>344</v>
      </c>
      <c r="B13" s="1035"/>
      <c r="C13" s="1035"/>
      <c r="D13" s="1035"/>
      <c r="E13" s="1035"/>
      <c r="F13" s="1035"/>
      <c r="G13" s="1035"/>
      <c r="H13" s="1035"/>
      <c r="I13" s="1035"/>
      <c r="J13" s="1035"/>
      <c r="K13" s="1035"/>
      <c r="L13" s="1035"/>
      <c r="M13" s="1035"/>
      <c r="N13" s="1035"/>
      <c r="O13" s="1035"/>
      <c r="P13" s="1035"/>
      <c r="Q13" s="1035"/>
      <c r="R13" s="1035"/>
      <c r="S13" s="1035"/>
      <c r="T13" s="1035"/>
      <c r="U13" s="1035"/>
      <c r="V13" s="1035"/>
      <c r="W13" s="1035"/>
      <c r="X13" s="1035"/>
      <c r="Y13" s="1035"/>
      <c r="Z13" s="1035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  <c r="BU13" s="1035"/>
      <c r="BV13" s="1035"/>
      <c r="BW13" s="1035"/>
      <c r="BX13" s="1035"/>
      <c r="BY13" s="1035"/>
      <c r="BZ13" s="1035"/>
      <c r="CA13" s="1035"/>
      <c r="CB13" s="1035"/>
      <c r="CC13" s="1035"/>
      <c r="CD13" s="1035"/>
      <c r="CE13" s="1035"/>
      <c r="CF13" s="1035"/>
      <c r="CG13" s="1035"/>
      <c r="CH13" s="1035"/>
      <c r="CI13" s="1035"/>
    </row>
    <row r="14" spans="1:93" ht="15" customHeight="1">
      <c r="F14" s="764" t="s">
        <v>346</v>
      </c>
      <c r="G14" s="764"/>
      <c r="H14" s="764"/>
      <c r="I14" s="764"/>
      <c r="J14" s="764"/>
      <c r="K14" s="764"/>
      <c r="L14" s="764"/>
      <c r="M14" s="764"/>
      <c r="N14" s="764"/>
      <c r="O14" s="764"/>
      <c r="P14" s="764"/>
      <c r="Q14" s="764"/>
      <c r="R14" s="764"/>
      <c r="S14" s="764"/>
      <c r="T14" s="764"/>
      <c r="U14" s="764"/>
      <c r="V14" s="764"/>
      <c r="W14" s="764"/>
      <c r="X14" s="764"/>
      <c r="Y14" s="764"/>
      <c r="Z14" s="764"/>
      <c r="AA14" s="764"/>
      <c r="AB14" s="764"/>
      <c r="AC14" s="764"/>
      <c r="AD14" s="764"/>
      <c r="AE14" s="764"/>
      <c r="AF14" s="764"/>
      <c r="AG14" s="764"/>
      <c r="AH14" s="764"/>
      <c r="AI14" s="764"/>
      <c r="AJ14" s="764"/>
      <c r="AK14" s="764"/>
      <c r="AL14" s="764"/>
      <c r="AM14" s="764"/>
      <c r="AN14" s="764"/>
      <c r="AO14" s="764"/>
      <c r="AP14" s="764"/>
      <c r="AQ14" s="764"/>
      <c r="AR14" s="764"/>
      <c r="AS14" s="764"/>
      <c r="AT14" s="764"/>
      <c r="AU14" s="764"/>
      <c r="AV14" s="764"/>
      <c r="AW14" s="764"/>
      <c r="AX14" s="764"/>
      <c r="AY14" s="764"/>
      <c r="AZ14" s="764"/>
      <c r="BA14" s="764"/>
      <c r="BB14" s="764"/>
      <c r="BC14" s="764"/>
      <c r="BD14" s="764"/>
      <c r="BE14" s="764"/>
      <c r="BF14" s="764"/>
      <c r="BG14" s="764"/>
      <c r="BH14" s="764"/>
      <c r="BI14" s="764"/>
      <c r="BJ14" s="764"/>
      <c r="BK14" s="764"/>
      <c r="BL14" s="764"/>
      <c r="BM14" s="764"/>
      <c r="BN14" s="764"/>
      <c r="BO14" s="764"/>
      <c r="BP14" s="764"/>
      <c r="BQ14" s="764"/>
      <c r="BR14" s="764"/>
      <c r="BS14" s="764"/>
      <c r="BT14" s="764"/>
      <c r="BU14" s="764"/>
      <c r="BV14" s="764"/>
      <c r="BW14" s="764"/>
      <c r="BX14" s="764"/>
      <c r="BY14" s="764"/>
      <c r="BZ14" s="764"/>
      <c r="CA14" s="764"/>
      <c r="CB14" s="764"/>
      <c r="CC14" s="764"/>
      <c r="CD14" s="764"/>
      <c r="CE14" s="764"/>
      <c r="CF14" s="764"/>
      <c r="CG14" s="764"/>
      <c r="CH14" s="764"/>
      <c r="CI14" s="764"/>
    </row>
    <row r="15" spans="1:93" ht="15" customHeight="1">
      <c r="A15" s="764" t="s">
        <v>347</v>
      </c>
      <c r="B15" s="764"/>
      <c r="C15" s="764"/>
      <c r="D15" s="764"/>
      <c r="E15" s="764"/>
      <c r="F15" s="1023">
        <v>10</v>
      </c>
      <c r="G15" s="1023"/>
      <c r="H15" s="1023"/>
      <c r="I15" s="1023"/>
      <c r="J15" s="1023"/>
      <c r="K15" s="1023"/>
      <c r="L15" s="1023"/>
      <c r="M15" s="1023"/>
      <c r="N15" s="1023"/>
      <c r="O15" s="764" t="s">
        <v>348</v>
      </c>
      <c r="P15" s="764"/>
      <c r="Q15" s="764"/>
      <c r="R15" s="764"/>
      <c r="S15" s="1023" t="s">
        <v>888</v>
      </c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  <c r="BB15" s="1023"/>
      <c r="BC15" s="1023"/>
      <c r="BD15" s="1023"/>
      <c r="BE15" s="1023"/>
      <c r="BF15" s="1023"/>
      <c r="BG15" s="1023"/>
      <c r="BH15" s="1023"/>
      <c r="BI15" s="1023"/>
      <c r="BJ15" s="1023"/>
      <c r="BK15" s="1023"/>
      <c r="BL15" s="1023"/>
      <c r="BM15" s="1023"/>
      <c r="BN15" s="1023"/>
      <c r="BO15" s="1023"/>
      <c r="BP15" s="1023"/>
      <c r="BQ15" s="1023"/>
      <c r="BR15" s="1023"/>
      <c r="BS15" s="1023"/>
      <c r="BT15" s="1023"/>
      <c r="BU15" s="1023"/>
      <c r="BV15" s="1023"/>
      <c r="BW15" s="1023"/>
      <c r="BX15" s="1023"/>
      <c r="BY15" s="1023"/>
      <c r="BZ15" s="1023"/>
      <c r="CA15" s="1023"/>
      <c r="CB15" s="1023"/>
      <c r="CC15" s="1023"/>
      <c r="CD15" s="1023"/>
      <c r="CE15" s="1023"/>
      <c r="CF15" s="1023"/>
      <c r="CG15" s="1023"/>
      <c r="CH15" s="1023"/>
      <c r="CI15" s="1023"/>
    </row>
    <row r="16" spans="1:93" s="225" customFormat="1" ht="9.65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24" t="s">
        <v>349</v>
      </c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  <c r="BT16" s="1024"/>
      <c r="BU16" s="1024"/>
      <c r="BV16" s="1024"/>
      <c r="BW16" s="1024"/>
      <c r="BX16" s="1024"/>
      <c r="BY16" s="1024"/>
      <c r="BZ16" s="1024"/>
      <c r="CA16" s="1024"/>
      <c r="CB16" s="1024"/>
      <c r="CC16" s="1024"/>
      <c r="CD16" s="1024"/>
      <c r="CE16" s="1024"/>
      <c r="CF16" s="1024"/>
      <c r="CG16" s="1024"/>
      <c r="CH16" s="1024"/>
      <c r="CI16" s="1024"/>
      <c r="CO16" s="229"/>
    </row>
    <row r="17" spans="1:93" ht="15" customHeight="1">
      <c r="A17" s="1034" t="s">
        <v>350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6" t="s">
        <v>564</v>
      </c>
      <c r="T17" s="1036"/>
      <c r="U17" s="1036"/>
      <c r="V17" s="1036"/>
      <c r="W17" s="1036"/>
      <c r="X17" s="1036"/>
      <c r="Y17" s="1036"/>
      <c r="Z17" s="1036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  <c r="BT17" s="1036"/>
      <c r="BU17" s="1036"/>
      <c r="BV17" s="1036"/>
      <c r="BW17" s="1036"/>
      <c r="BX17" s="1036"/>
      <c r="BY17" s="1036"/>
      <c r="BZ17" s="1036"/>
      <c r="CA17" s="1036"/>
      <c r="CB17" s="1036"/>
      <c r="CC17" s="1036"/>
      <c r="CD17" s="1036"/>
      <c r="CE17" s="1036"/>
      <c r="CF17" s="1036"/>
      <c r="CG17" s="1036"/>
      <c r="CH17" s="1036"/>
      <c r="CI17" s="1036"/>
    </row>
    <row r="18" spans="1:93" s="225" customFormat="1" ht="9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01" t="s">
        <v>351</v>
      </c>
      <c r="T18" s="1001"/>
      <c r="U18" s="1001"/>
      <c r="V18" s="1001"/>
      <c r="W18" s="1001"/>
      <c r="X18" s="1001"/>
      <c r="Y18" s="1001"/>
      <c r="Z18" s="1001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1"/>
      <c r="AV18" s="1001"/>
      <c r="AW18" s="1001"/>
      <c r="AX18" s="1001"/>
      <c r="AY18" s="1001"/>
      <c r="AZ18" s="1001"/>
      <c r="BA18" s="1001"/>
      <c r="BB18" s="1001"/>
      <c r="BC18" s="1001"/>
      <c r="BD18" s="1001"/>
      <c r="BE18" s="1001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  <c r="BT18" s="1001"/>
      <c r="BU18" s="1001"/>
      <c r="BV18" s="1001"/>
      <c r="BW18" s="1001"/>
      <c r="BX18" s="1001"/>
      <c r="BY18" s="1001"/>
      <c r="BZ18" s="1001"/>
      <c r="CA18" s="1001"/>
      <c r="CB18" s="1001"/>
      <c r="CC18" s="1001"/>
      <c r="CD18" s="1001"/>
      <c r="CE18" s="1001"/>
      <c r="CF18" s="1001"/>
      <c r="CG18" s="1001"/>
      <c r="CH18" s="1001"/>
      <c r="CI18" s="1001"/>
      <c r="CO18" s="229"/>
    </row>
    <row r="19" spans="1:93" ht="15" customHeight="1">
      <c r="A19" s="1034" t="s">
        <v>352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34" t="s">
        <v>565</v>
      </c>
      <c r="B20" s="1034"/>
      <c r="C20" s="1034"/>
      <c r="D20" s="1034"/>
      <c r="E20" s="1034"/>
      <c r="F20" s="1034"/>
      <c r="G20" s="1034"/>
      <c r="H20" s="1034"/>
      <c r="I20" s="1034"/>
      <c r="J20" s="1034"/>
      <c r="K20" s="1034"/>
      <c r="L20" s="1034"/>
      <c r="M20" s="1034"/>
      <c r="N20" s="1034"/>
      <c r="O20" s="1034"/>
      <c r="P20" s="1034"/>
      <c r="Q20" s="1034"/>
      <c r="R20" s="1034"/>
      <c r="S20" s="1034"/>
      <c r="T20" s="1034"/>
      <c r="U20" s="1034"/>
      <c r="V20" s="1034"/>
      <c r="W20" s="1034"/>
      <c r="X20" s="1034"/>
      <c r="Y20" s="1034"/>
      <c r="Z20" s="1034"/>
      <c r="AA20" s="1034"/>
      <c r="AB20" s="1034"/>
      <c r="AC20" s="1034"/>
      <c r="AD20" s="1034"/>
      <c r="AE20" s="1034"/>
      <c r="AF20" s="1034"/>
      <c r="AG20" s="1034"/>
      <c r="AH20" s="1034"/>
      <c r="AI20" s="1034"/>
      <c r="AJ20" s="1034"/>
      <c r="AK20" s="1034"/>
      <c r="AL20" s="1034"/>
      <c r="AM20" s="1034"/>
      <c r="AN20" s="1034"/>
      <c r="AO20" s="1034"/>
      <c r="AP20" s="1034"/>
      <c r="AQ20" s="1034"/>
      <c r="AR20" s="1034"/>
      <c r="AS20" s="1034"/>
      <c r="AT20" s="1034"/>
      <c r="AU20" s="1034"/>
      <c r="AV20" s="1034"/>
      <c r="AW20" s="1034"/>
      <c r="AX20" s="1034"/>
      <c r="AY20" s="909" t="str">
        <f>CONCATENATE(ФОРМА!B9,", Лист 4.2")</f>
        <v>СЭС-23-32939-ЭС-ТКР2, Лист 4.2</v>
      </c>
      <c r="AZ20" s="909"/>
      <c r="BA20" s="909"/>
      <c r="BB20" s="909"/>
      <c r="BC20" s="909"/>
      <c r="BD20" s="909"/>
      <c r="BE20" s="909"/>
      <c r="BF20" s="909"/>
      <c r="BG20" s="909"/>
      <c r="BH20" s="909"/>
      <c r="BI20" s="909"/>
      <c r="BJ20" s="909"/>
      <c r="BK20" s="909"/>
      <c r="BL20" s="909"/>
      <c r="BM20" s="909"/>
      <c r="BN20" s="909"/>
      <c r="BO20" s="909"/>
      <c r="BP20" s="909"/>
      <c r="BQ20" s="909"/>
      <c r="BR20" s="909"/>
      <c r="BS20" s="909"/>
      <c r="BT20" s="909"/>
      <c r="BU20" s="909"/>
      <c r="BV20" s="909"/>
      <c r="BW20" s="909"/>
      <c r="BX20" s="909"/>
      <c r="BY20" s="909"/>
      <c r="BZ20" s="909"/>
      <c r="CA20" s="909"/>
      <c r="CB20" s="909"/>
      <c r="CC20" s="909"/>
      <c r="CD20" s="909"/>
      <c r="CE20" s="909"/>
      <c r="CF20" s="909"/>
      <c r="CG20" s="909"/>
      <c r="CH20" s="909"/>
      <c r="CI20" s="909"/>
    </row>
    <row r="21" spans="1:93">
      <c r="A21" s="1032" t="s">
        <v>353</v>
      </c>
      <c r="B21" s="1032"/>
      <c r="C21" s="1032"/>
      <c r="D21" s="1032"/>
      <c r="E21" s="1032"/>
      <c r="F21" s="1032"/>
      <c r="G21" s="1032"/>
      <c r="H21" s="1032"/>
      <c r="I21" s="1032"/>
      <c r="J21" s="1032"/>
      <c r="K21" s="1032"/>
      <c r="L21" s="1032"/>
      <c r="M21" s="1032"/>
      <c r="N21" s="1032"/>
      <c r="O21" s="1032"/>
      <c r="P21" s="1032"/>
      <c r="Q21" s="1032"/>
      <c r="R21" s="1032"/>
      <c r="S21" s="1032"/>
      <c r="T21" s="1032"/>
      <c r="U21" s="1032"/>
      <c r="V21" s="1032"/>
      <c r="W21" s="1032"/>
      <c r="X21" s="1032"/>
      <c r="Y21" s="1032"/>
      <c r="Z21" s="1032"/>
      <c r="AA21" s="1032"/>
      <c r="AB21" s="1032"/>
      <c r="AC21" s="1032"/>
      <c r="AD21" s="1032"/>
      <c r="AE21" s="1032"/>
      <c r="AF21" s="1032"/>
      <c r="AG21" s="1032"/>
      <c r="AH21" s="1032"/>
      <c r="AI21" s="1032"/>
      <c r="AJ21" s="1032"/>
      <c r="AK21" s="1032"/>
      <c r="AL21" s="1032"/>
      <c r="AM21" s="1032"/>
      <c r="AN21" s="1032"/>
      <c r="AO21" s="1032"/>
      <c r="AP21" s="1032"/>
      <c r="AQ21" s="1032"/>
      <c r="AR21" s="1032"/>
      <c r="AS21" s="1032"/>
      <c r="AT21" s="103"/>
      <c r="AU21" s="1033">
        <f>IF(F15=0.4,1,3)</f>
        <v>3</v>
      </c>
      <c r="AV21" s="1033"/>
      <c r="AW21" s="1033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033"/>
      <c r="BM21" s="1033"/>
      <c r="BN21" s="1033"/>
      <c r="BO21" s="1033"/>
      <c r="BP21" s="1033"/>
      <c r="BQ21" s="1033"/>
      <c r="BR21" s="1033"/>
      <c r="BS21" s="1033"/>
      <c r="BT21" s="1033"/>
      <c r="BU21" s="1033"/>
      <c r="BV21" s="1033"/>
      <c r="BW21" s="1033"/>
      <c r="BX21" s="1033"/>
      <c r="BY21" s="1033"/>
      <c r="BZ21" s="1033"/>
      <c r="CA21" s="1033"/>
      <c r="CB21" s="1033"/>
      <c r="CC21" s="1033"/>
      <c r="CD21" s="1033"/>
      <c r="CE21" s="1033"/>
      <c r="CF21" s="1033"/>
      <c r="CG21" s="1033"/>
      <c r="CH21" s="1033"/>
      <c r="CI21" s="1033"/>
    </row>
    <row r="22" spans="1:93" s="225" customFormat="1" ht="9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50" t="s">
        <v>354</v>
      </c>
      <c r="AV22" s="750"/>
      <c r="AW22" s="750"/>
      <c r="AX22" s="750"/>
      <c r="AY22" s="750"/>
      <c r="AZ22" s="750"/>
      <c r="BA22" s="750"/>
      <c r="BB22" s="750"/>
      <c r="BC22" s="750"/>
      <c r="BD22" s="750"/>
      <c r="BE22" s="750"/>
      <c r="BF22" s="750"/>
      <c r="BG22" s="750"/>
      <c r="BH22" s="750"/>
      <c r="BI22" s="750"/>
      <c r="BJ22" s="750"/>
      <c r="BK22" s="750"/>
      <c r="BL22" s="750"/>
      <c r="BM22" s="750"/>
      <c r="BN22" s="750"/>
      <c r="BO22" s="750"/>
      <c r="BP22" s="750"/>
      <c r="BQ22" s="750"/>
      <c r="BR22" s="750"/>
      <c r="BS22" s="750"/>
      <c r="BT22" s="750"/>
      <c r="BU22" s="750"/>
      <c r="BV22" s="750"/>
      <c r="BW22" s="750"/>
      <c r="BX22" s="750"/>
      <c r="BY22" s="750"/>
      <c r="BZ22" s="750"/>
      <c r="CA22" s="750"/>
      <c r="CB22" s="750"/>
      <c r="CC22" s="750"/>
      <c r="CD22" s="750"/>
      <c r="CE22" s="750"/>
      <c r="CF22" s="750"/>
      <c r="CG22" s="750"/>
      <c r="CH22" s="750"/>
      <c r="CI22" s="750"/>
      <c r="CO22" s="229"/>
    </row>
    <row r="23" spans="1:93">
      <c r="A23" s="764" t="s">
        <v>617</v>
      </c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1023" t="s">
        <v>734</v>
      </c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1023"/>
      <c r="BK23" s="1023"/>
      <c r="BL23" s="1023"/>
      <c r="BM23" s="764"/>
      <c r="BN23" s="764"/>
      <c r="BO23" s="764"/>
      <c r="BP23" s="764"/>
      <c r="BQ23" s="764"/>
      <c r="BR23" s="764"/>
      <c r="BS23" s="764"/>
      <c r="BT23" s="764"/>
      <c r="BU23" s="764"/>
      <c r="BV23" s="764"/>
      <c r="BW23" s="764"/>
      <c r="BX23" s="764"/>
      <c r="BY23" s="764"/>
      <c r="BZ23" s="764"/>
      <c r="CA23" s="764"/>
      <c r="CB23" s="764"/>
      <c r="CC23" s="764"/>
      <c r="CD23" s="764"/>
      <c r="CE23" s="764"/>
      <c r="CF23" s="764"/>
      <c r="CG23" s="764"/>
      <c r="CH23" s="764"/>
      <c r="CI23" s="764"/>
      <c r="CK23" s="56"/>
      <c r="CL23" s="57"/>
      <c r="CM23" s="57"/>
    </row>
    <row r="24" spans="1:93" s="24" customFormat="1" ht="14">
      <c r="A24" s="764" t="s">
        <v>355</v>
      </c>
      <c r="B24" s="764"/>
      <c r="C24" s="764"/>
      <c r="D24" s="764"/>
      <c r="E24" s="764"/>
      <c r="F24" s="764"/>
      <c r="G24" s="764"/>
      <c r="H24" s="764"/>
      <c r="I24" s="764"/>
      <c r="J24" s="764"/>
      <c r="K24" s="764"/>
      <c r="L24" s="764"/>
      <c r="M24" s="764"/>
      <c r="N24" s="764"/>
      <c r="O24" s="764"/>
      <c r="P24" s="764"/>
      <c r="Q24" s="764"/>
      <c r="R24" s="764"/>
      <c r="S24" s="764"/>
      <c r="T24" s="764"/>
      <c r="U24" s="764"/>
      <c r="V24" s="764"/>
      <c r="W24" s="764"/>
      <c r="X24" s="764"/>
      <c r="Y24" s="764"/>
      <c r="Z24" s="764"/>
      <c r="AA24" s="764"/>
      <c r="AB24" s="764"/>
      <c r="AC24" s="764"/>
      <c r="AD24" s="764"/>
      <c r="AE24" s="764"/>
      <c r="AF24" s="764"/>
      <c r="AG24" s="764"/>
      <c r="AH24" s="764"/>
      <c r="AI24" s="764"/>
      <c r="AJ24" s="764"/>
      <c r="AK24" s="764"/>
      <c r="AL24" s="764"/>
      <c r="AM24" s="764"/>
      <c r="AN24" s="764"/>
      <c r="AO24" s="764"/>
      <c r="AP24" s="764"/>
      <c r="AQ24" s="764"/>
      <c r="AR24" s="764"/>
      <c r="AS24" s="764"/>
      <c r="AT24" s="764"/>
      <c r="AU24" s="764"/>
      <c r="AV24" s="764"/>
      <c r="AW24" s="764"/>
      <c r="AX24" s="764"/>
      <c r="AY24" s="764"/>
      <c r="AZ24" s="764"/>
      <c r="BA24" s="764"/>
      <c r="BB24" s="764"/>
      <c r="BC24" s="764"/>
      <c r="BD24" s="764"/>
      <c r="BE24" s="764"/>
      <c r="BF24" s="764"/>
      <c r="BG24" s="1023" t="s">
        <v>889</v>
      </c>
      <c r="BH24" s="1023"/>
      <c r="BI24" s="1023"/>
      <c r="BJ24" s="1023"/>
      <c r="BK24" s="1023"/>
      <c r="BL24" s="1023"/>
      <c r="BM24" s="1023"/>
      <c r="BN24" s="1023"/>
      <c r="BO24" s="1023"/>
      <c r="BP24" s="1023"/>
      <c r="BQ24" s="1023"/>
      <c r="BR24" s="1023"/>
      <c r="BS24" s="1023"/>
      <c r="BT24" s="1023"/>
      <c r="BU24" s="1023"/>
      <c r="BV24" s="1023"/>
      <c r="BW24" s="1023"/>
      <c r="BX24" s="1023"/>
      <c r="BY24" s="1023"/>
      <c r="BZ24" s="1023"/>
      <c r="CA24" s="1023"/>
      <c r="CB24" s="1023"/>
      <c r="CC24" s="1023"/>
      <c r="CD24" s="1023"/>
      <c r="CE24" s="1023"/>
      <c r="CF24" s="1023"/>
      <c r="CG24" s="1023"/>
      <c r="CH24" s="1023"/>
      <c r="CI24" s="1023"/>
      <c r="CK24" s="56"/>
      <c r="CL24" s="57"/>
      <c r="CM24" s="57"/>
      <c r="CO24" s="141"/>
    </row>
    <row r="25" spans="1:93" ht="14">
      <c r="A25" s="764" t="s">
        <v>356</v>
      </c>
      <c r="B25" s="764"/>
      <c r="C25" s="764"/>
      <c r="D25" s="764"/>
      <c r="E25" s="764"/>
      <c r="F25" s="764"/>
      <c r="G25" s="764"/>
      <c r="H25" s="764"/>
      <c r="I25" s="764"/>
      <c r="J25" s="764"/>
      <c r="K25" s="764"/>
      <c r="L25" s="764"/>
      <c r="M25" s="764"/>
      <c r="N25" s="764"/>
      <c r="O25" s="764"/>
      <c r="P25" s="764"/>
      <c r="Q25" s="764"/>
      <c r="R25" s="764"/>
      <c r="S25" s="764"/>
      <c r="T25" s="764"/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64"/>
      <c r="AI25" s="764"/>
      <c r="AJ25" s="764"/>
      <c r="AK25" s="764"/>
      <c r="AL25" s="764"/>
      <c r="AM25" s="764"/>
      <c r="AN25" s="764"/>
      <c r="AO25" s="764"/>
      <c r="AP25" s="764"/>
      <c r="AQ25" s="764"/>
      <c r="AR25" s="764"/>
      <c r="AS25" s="764"/>
      <c r="AT25" s="764"/>
      <c r="AU25" s="764"/>
      <c r="AV25" s="764"/>
      <c r="AW25" s="764"/>
      <c r="AX25" s="764"/>
      <c r="AY25" s="764"/>
      <c r="AZ25" s="764"/>
      <c r="BA25" s="764"/>
      <c r="BB25" s="764"/>
      <c r="BC25" s="764"/>
      <c r="BD25" s="764"/>
      <c r="BE25" s="764"/>
      <c r="BF25" s="764"/>
      <c r="BG25" s="764"/>
      <c r="BH25" s="764"/>
      <c r="BI25" s="764"/>
      <c r="BJ25" s="764"/>
      <c r="BK25" s="764"/>
      <c r="BL25" s="764"/>
      <c r="BM25" s="764"/>
      <c r="BN25" s="764"/>
      <c r="BO25" s="764"/>
      <c r="BP25" s="764"/>
      <c r="BQ25" s="764"/>
      <c r="BR25" s="764"/>
      <c r="BS25" s="764"/>
      <c r="BT25" s="764"/>
      <c r="BU25" s="764"/>
      <c r="BV25" s="764"/>
      <c r="BW25" s="764"/>
      <c r="BX25" s="764"/>
      <c r="BY25" s="764"/>
      <c r="BZ25" s="764"/>
      <c r="CA25" s="764"/>
      <c r="CB25" s="764"/>
      <c r="CC25" s="764"/>
      <c r="CD25" s="764"/>
      <c r="CE25" s="764"/>
      <c r="CF25" s="764"/>
      <c r="CG25" s="764"/>
      <c r="CH25" s="764"/>
      <c r="CI25" s="764"/>
      <c r="CK25" s="56"/>
      <c r="CL25" s="57"/>
      <c r="CM25" s="57"/>
      <c r="CO25" s="141"/>
    </row>
    <row r="26" spans="1:93">
      <c r="A26" s="764" t="s">
        <v>357</v>
      </c>
      <c r="B26" s="764"/>
      <c r="C26" s="764"/>
      <c r="D26" s="764"/>
      <c r="E26" s="764"/>
      <c r="F26" s="764"/>
      <c r="G26" s="764"/>
      <c r="H26" s="764"/>
      <c r="I26" s="764"/>
      <c r="J26" s="764"/>
      <c r="K26" s="764"/>
      <c r="L26" s="764"/>
      <c r="M26" s="764"/>
      <c r="N26" s="764"/>
      <c r="O26" s="764"/>
      <c r="P26" s="764"/>
      <c r="Q26" s="764"/>
      <c r="R26" s="764"/>
      <c r="S26" s="764"/>
      <c r="T26" s="764"/>
      <c r="U26" s="764"/>
      <c r="V26" s="764"/>
      <c r="W26" s="764"/>
      <c r="X26" s="764"/>
      <c r="Y26" s="764"/>
      <c r="Z26" s="764"/>
      <c r="AA26" s="764"/>
      <c r="AB26" s="764"/>
      <c r="AC26" s="764"/>
      <c r="AD26" s="764"/>
      <c r="AE26" s="764"/>
      <c r="AF26" s="764"/>
      <c r="AG26" s="764"/>
      <c r="AH26" s="764"/>
      <c r="AI26" s="764"/>
      <c r="AJ26" s="764"/>
      <c r="AK26" s="764"/>
      <c r="AL26" s="764"/>
      <c r="AM26" s="764"/>
      <c r="AN26" s="764"/>
      <c r="AO26" s="764"/>
      <c r="AP26" s="764"/>
      <c r="AQ26" s="764"/>
      <c r="AR26" s="764"/>
      <c r="AS26" s="764"/>
      <c r="AT26" s="764"/>
      <c r="AU26" s="764"/>
      <c r="AV26" s="764"/>
      <c r="AW26" s="764"/>
      <c r="AX26" s="764"/>
      <c r="AY26" s="764"/>
      <c r="AZ26" s="764"/>
      <c r="BA26" s="764"/>
      <c r="BB26" s="764"/>
      <c r="BC26" s="764"/>
      <c r="BD26" s="764"/>
      <c r="BE26" s="764"/>
      <c r="BF26" s="764"/>
      <c r="BG26" s="764"/>
      <c r="BH26" s="764"/>
      <c r="BI26" s="764"/>
      <c r="BJ26" s="764"/>
      <c r="BK26" s="764"/>
      <c r="BL26" s="764"/>
      <c r="BM26" s="764"/>
      <c r="BN26" s="764"/>
      <c r="BO26" s="764"/>
      <c r="BP26" s="764"/>
      <c r="BQ26" s="764"/>
      <c r="BR26" s="764"/>
      <c r="BS26" s="764"/>
      <c r="BT26" s="764"/>
      <c r="BU26" s="764"/>
      <c r="BV26" s="764"/>
      <c r="BW26" s="764"/>
      <c r="BX26" s="764"/>
      <c r="BY26" s="764"/>
      <c r="BZ26" s="764"/>
      <c r="CA26" s="764"/>
      <c r="CB26" s="764"/>
      <c r="CC26" s="764"/>
      <c r="CD26" s="764"/>
      <c r="CE26" s="764"/>
      <c r="CF26" s="764"/>
      <c r="CG26" s="764"/>
      <c r="CH26" s="764"/>
      <c r="CI26" s="764"/>
      <c r="CK26" s="56"/>
      <c r="CL26" s="57"/>
      <c r="CM26" s="57"/>
    </row>
    <row r="27" spans="1:93" ht="14">
      <c r="A27" s="19" t="s">
        <v>358</v>
      </c>
      <c r="O27" s="1023" t="str">
        <f>CONCATENATE(CL27," и ",CM27)</f>
        <v>12,5 и 5,5</v>
      </c>
      <c r="P27" s="1023"/>
      <c r="Q27" s="1023"/>
      <c r="R27" s="1023"/>
      <c r="S27" s="1023"/>
      <c r="T27" s="1023"/>
      <c r="U27" s="1023"/>
      <c r="V27" s="1023"/>
      <c r="W27" s="1023"/>
      <c r="X27" s="1023"/>
      <c r="Y27" s="1023"/>
      <c r="Z27" s="1023"/>
      <c r="AA27" s="1023"/>
      <c r="AB27" s="1023"/>
      <c r="AC27" s="764" t="s">
        <v>193</v>
      </c>
      <c r="AD27" s="764"/>
      <c r="AE27" s="764"/>
      <c r="AF27" s="764"/>
      <c r="AG27" s="764"/>
      <c r="AH27" s="764"/>
      <c r="AI27" s="764"/>
      <c r="AJ27" s="764"/>
      <c r="AK27" s="764"/>
      <c r="AL27" s="764"/>
      <c r="AM27" s="764"/>
      <c r="AN27" s="764"/>
      <c r="AO27" s="764"/>
      <c r="AP27" s="764"/>
      <c r="AQ27" s="764"/>
      <c r="AR27" s="764"/>
      <c r="AS27" s="764"/>
      <c r="AT27" s="764"/>
      <c r="AU27" s="764"/>
      <c r="AV27" s="764"/>
      <c r="AW27" s="764"/>
      <c r="AX27" s="764"/>
      <c r="AY27" s="764"/>
      <c r="AZ27" s="764"/>
      <c r="BA27" s="764"/>
      <c r="BB27" s="764"/>
      <c r="BC27" s="764"/>
      <c r="BD27" s="764"/>
      <c r="BE27" s="764"/>
      <c r="BF27" s="764"/>
      <c r="BG27" s="764"/>
      <c r="BH27" s="764"/>
      <c r="BI27" s="764"/>
      <c r="BJ27" s="764"/>
      <c r="BK27" s="764"/>
      <c r="BL27" s="764"/>
      <c r="BM27" s="764"/>
      <c r="BN27" s="764"/>
      <c r="BO27" s="764"/>
      <c r="BP27" s="764"/>
      <c r="BQ27" s="764"/>
      <c r="BR27" s="764"/>
      <c r="BS27" s="764"/>
      <c r="BT27" s="764"/>
      <c r="BU27" s="764"/>
      <c r="BV27" s="764"/>
      <c r="BW27" s="764"/>
      <c r="BX27" s="764"/>
      <c r="BY27" s="764"/>
      <c r="BZ27" s="764"/>
      <c r="CA27" s="764"/>
      <c r="CB27" s="764"/>
      <c r="CC27" s="764"/>
      <c r="CD27" s="764"/>
      <c r="CE27" s="764"/>
      <c r="CF27" s="764"/>
      <c r="CG27" s="764"/>
      <c r="CH27" s="764"/>
      <c r="CI27" s="764"/>
      <c r="CK27" s="56"/>
      <c r="CL27" s="59">
        <v>12.5</v>
      </c>
      <c r="CM27" s="59">
        <v>5.5</v>
      </c>
      <c r="CO27" s="141"/>
    </row>
    <row r="28" spans="1:93">
      <c r="A28" s="1030" t="s">
        <v>359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1" t="s">
        <v>566</v>
      </c>
      <c r="AR28" s="1031"/>
      <c r="AS28" s="1031"/>
      <c r="AT28" s="1031"/>
      <c r="AU28" s="1031"/>
      <c r="AV28" s="1031"/>
      <c r="AW28" s="1031"/>
      <c r="AX28" s="1031"/>
      <c r="AY28" s="1031"/>
      <c r="AZ28" s="1031"/>
      <c r="BA28" s="1031"/>
      <c r="BB28" s="1031"/>
      <c r="BC28" s="1031"/>
      <c r="BD28" s="1031"/>
      <c r="BE28" s="1031"/>
      <c r="BF28" s="1031"/>
      <c r="BG28" s="1031"/>
      <c r="BH28" s="1031"/>
      <c r="BI28" s="1031"/>
      <c r="BJ28" s="1031"/>
      <c r="BK28" s="1031"/>
      <c r="BL28" s="1031"/>
      <c r="BM28" s="1031"/>
      <c r="BN28" s="1031"/>
      <c r="BO28" s="1031"/>
      <c r="BP28" s="1031"/>
      <c r="BQ28" s="1031"/>
      <c r="BR28" s="1031"/>
      <c r="BS28" s="1031"/>
      <c r="BT28" s="1031"/>
      <c r="BU28" s="1031"/>
      <c r="BV28" s="1031"/>
      <c r="BW28" s="1031"/>
      <c r="BX28" s="1031"/>
      <c r="BY28" s="1031"/>
      <c r="BZ28" s="1031"/>
      <c r="CA28" s="1031"/>
      <c r="CB28" s="1031"/>
      <c r="CC28" s="1031"/>
      <c r="CD28" s="1031"/>
      <c r="CE28" s="1031"/>
      <c r="CF28" s="1031"/>
      <c r="CG28" s="1031"/>
      <c r="CH28" s="1031"/>
      <c r="CI28" s="1031"/>
      <c r="CK28" s="56"/>
      <c r="CL28" s="57"/>
      <c r="CM28" s="57"/>
    </row>
    <row r="29" spans="1:93" s="225" customFormat="1" ht="9.5">
      <c r="AQ29" s="749" t="s">
        <v>360</v>
      </c>
      <c r="AR29" s="749"/>
      <c r="AS29" s="749"/>
      <c r="AT29" s="749"/>
      <c r="AU29" s="749"/>
      <c r="AV29" s="749"/>
      <c r="AW29" s="749"/>
      <c r="AX29" s="749"/>
      <c r="AY29" s="749"/>
      <c r="AZ29" s="749"/>
      <c r="BA29" s="749"/>
      <c r="BB29" s="749"/>
      <c r="BC29" s="749"/>
      <c r="BD29" s="749"/>
      <c r="BE29" s="749"/>
      <c r="BF29" s="749"/>
      <c r="BG29" s="749"/>
      <c r="BH29" s="749"/>
      <c r="BI29" s="749"/>
      <c r="BJ29" s="749"/>
      <c r="BK29" s="749"/>
      <c r="BL29" s="749"/>
      <c r="BM29" s="749"/>
      <c r="BN29" s="749"/>
      <c r="BO29" s="749"/>
      <c r="BP29" s="749"/>
      <c r="BQ29" s="749"/>
      <c r="BR29" s="749"/>
      <c r="BS29" s="749"/>
      <c r="BT29" s="749"/>
      <c r="BU29" s="749"/>
      <c r="BV29" s="749"/>
      <c r="BW29" s="749"/>
      <c r="BX29" s="749"/>
      <c r="BY29" s="749"/>
      <c r="BZ29" s="749"/>
      <c r="CA29" s="749"/>
      <c r="CB29" s="749"/>
      <c r="CC29" s="749"/>
      <c r="CD29" s="749"/>
      <c r="CE29" s="749"/>
      <c r="CF29" s="749"/>
      <c r="CG29" s="749"/>
      <c r="CH29" s="749"/>
      <c r="CI29" s="749"/>
      <c r="CK29" s="233"/>
      <c r="CL29" s="234"/>
      <c r="CM29" s="234"/>
      <c r="CO29" s="229"/>
    </row>
    <row r="30" spans="1:93" ht="14">
      <c r="A30" s="1023"/>
      <c r="B30" s="1023"/>
      <c r="C30" s="1023"/>
      <c r="D30" s="1023"/>
      <c r="E30" s="1023"/>
      <c r="F30" s="1023"/>
      <c r="G30" s="1023"/>
      <c r="H30" s="1023"/>
      <c r="I30" s="1023"/>
      <c r="J30" s="1023"/>
      <c r="K30" s="1023"/>
      <c r="L30" s="1023"/>
      <c r="M30" s="1023"/>
      <c r="N30" s="1023"/>
      <c r="O30" s="1023"/>
      <c r="P30" s="1023"/>
      <c r="Q30" s="1023"/>
      <c r="R30" s="1023"/>
      <c r="S30" s="1023"/>
      <c r="T30" s="1023"/>
      <c r="U30" s="1023"/>
      <c r="V30" s="1023"/>
      <c r="W30" s="1023"/>
      <c r="X30" s="1023"/>
      <c r="Y30" s="1023"/>
      <c r="Z30" s="1023"/>
      <c r="AA30" s="1023"/>
      <c r="AB30" s="1023"/>
      <c r="AC30" s="1023"/>
      <c r="AD30" s="1023"/>
      <c r="AE30" s="1023"/>
      <c r="AF30" s="1023"/>
      <c r="AG30" s="1023"/>
      <c r="AH30" s="1023"/>
      <c r="AI30" s="1023"/>
      <c r="AJ30" s="1023"/>
      <c r="AK30" s="1023"/>
      <c r="AL30" s="1023"/>
      <c r="AM30" s="1023"/>
      <c r="AN30" s="1023"/>
      <c r="AO30" s="1023"/>
      <c r="AP30" s="1023"/>
      <c r="AQ30" s="1023"/>
      <c r="AR30" s="1023"/>
      <c r="AS30" s="1023"/>
      <c r="AT30" s="1023"/>
      <c r="AU30" s="1023"/>
      <c r="AV30" s="1023"/>
      <c r="AW30" s="1023"/>
      <c r="AX30" s="1023"/>
      <c r="AY30" s="1023"/>
      <c r="AZ30" s="1023"/>
      <c r="BA30" s="1023"/>
      <c r="BB30" s="1023"/>
      <c r="BC30" s="1023"/>
      <c r="BD30" s="1023"/>
      <c r="BE30" s="1023"/>
      <c r="BF30" s="1023"/>
      <c r="BG30" s="1023"/>
      <c r="BH30" s="1023"/>
      <c r="BI30" s="1023"/>
      <c r="BJ30" s="1023"/>
      <c r="BK30" s="1023"/>
      <c r="BL30" s="1023"/>
      <c r="BM30" s="1023"/>
      <c r="BN30" s="1023"/>
      <c r="BO30" s="1023"/>
      <c r="BP30" s="1023"/>
      <c r="BQ30" s="1023"/>
      <c r="BR30" s="1023"/>
      <c r="BS30" s="1023"/>
      <c r="BT30" s="1023"/>
      <c r="BU30" s="1023"/>
      <c r="BV30" s="1023"/>
      <c r="BW30" s="1023"/>
      <c r="BX30" s="1023"/>
      <c r="BY30" s="1023"/>
      <c r="BZ30" s="1023"/>
      <c r="CA30" s="1023"/>
      <c r="CB30" s="1023"/>
      <c r="CC30" s="1023"/>
      <c r="CD30" s="1023"/>
      <c r="CE30" s="1023"/>
      <c r="CF30" s="1023"/>
      <c r="CG30" s="1023"/>
      <c r="CH30" s="1023"/>
      <c r="CI30" s="1023"/>
      <c r="CK30" s="56"/>
      <c r="CL30" s="57"/>
      <c r="CM30" s="57"/>
      <c r="CO30" s="149"/>
    </row>
    <row r="31" spans="1:93" s="225" customFormat="1" ht="9">
      <c r="A31" s="750" t="s">
        <v>361</v>
      </c>
      <c r="B31" s="750"/>
      <c r="C31" s="750"/>
      <c r="D31" s="750"/>
      <c r="E31" s="750"/>
      <c r="F31" s="750"/>
      <c r="G31" s="750"/>
      <c r="H31" s="750"/>
      <c r="I31" s="750"/>
      <c r="J31" s="750"/>
      <c r="K31" s="750"/>
      <c r="L31" s="750"/>
      <c r="M31" s="750"/>
      <c r="N31" s="750"/>
      <c r="O31" s="750"/>
      <c r="P31" s="750"/>
      <c r="Q31" s="750"/>
      <c r="R31" s="750"/>
      <c r="S31" s="750"/>
      <c r="T31" s="750"/>
      <c r="U31" s="750"/>
      <c r="V31" s="750"/>
      <c r="W31" s="750"/>
      <c r="X31" s="750"/>
      <c r="Y31" s="750"/>
      <c r="Z31" s="750"/>
      <c r="AA31" s="750"/>
      <c r="AB31" s="750"/>
      <c r="AC31" s="750"/>
      <c r="AD31" s="750"/>
      <c r="AE31" s="750"/>
      <c r="AF31" s="750"/>
      <c r="AG31" s="750"/>
      <c r="AH31" s="750"/>
      <c r="AI31" s="750"/>
      <c r="AJ31" s="750"/>
      <c r="AK31" s="750"/>
      <c r="AL31" s="750"/>
      <c r="AM31" s="750"/>
      <c r="AN31" s="750"/>
      <c r="AO31" s="750"/>
      <c r="AP31" s="750"/>
      <c r="AQ31" s="750"/>
      <c r="AR31" s="750"/>
      <c r="AS31" s="750"/>
      <c r="AT31" s="750"/>
      <c r="AU31" s="750"/>
      <c r="AV31" s="750"/>
      <c r="AW31" s="750"/>
      <c r="AX31" s="750"/>
      <c r="AY31" s="750"/>
      <c r="AZ31" s="750"/>
      <c r="BA31" s="750"/>
      <c r="BB31" s="750"/>
      <c r="BC31" s="750"/>
      <c r="BD31" s="750"/>
      <c r="BE31" s="750"/>
      <c r="BF31" s="750"/>
      <c r="BG31" s="750"/>
      <c r="BH31" s="750"/>
      <c r="BI31" s="750"/>
      <c r="BJ31" s="750"/>
      <c r="BK31" s="750"/>
      <c r="BL31" s="750"/>
      <c r="BM31" s="750"/>
      <c r="BN31" s="750"/>
      <c r="BO31" s="750"/>
      <c r="BP31" s="750"/>
      <c r="BQ31" s="750"/>
      <c r="BR31" s="750"/>
      <c r="BS31" s="750"/>
      <c r="BT31" s="750"/>
      <c r="BU31" s="750"/>
      <c r="BV31" s="750"/>
      <c r="BW31" s="750"/>
      <c r="BX31" s="750"/>
      <c r="BY31" s="750"/>
      <c r="BZ31" s="750"/>
      <c r="CA31" s="750"/>
      <c r="CB31" s="750"/>
      <c r="CC31" s="750"/>
      <c r="CD31" s="750"/>
      <c r="CE31" s="750"/>
      <c r="CF31" s="750"/>
      <c r="CG31" s="750"/>
      <c r="CH31" s="750"/>
      <c r="CI31" s="750"/>
      <c r="CO31" s="228"/>
    </row>
    <row r="32" spans="1:93" ht="14.5" customHeight="1">
      <c r="A32" s="764" t="s">
        <v>358</v>
      </c>
      <c r="B32" s="764"/>
      <c r="C32" s="764"/>
      <c r="D32" s="764"/>
      <c r="E32" s="764"/>
      <c r="F32" s="764"/>
      <c r="G32" s="764"/>
      <c r="H32" s="764"/>
      <c r="I32" s="764"/>
      <c r="J32" s="764"/>
      <c r="K32" s="764"/>
      <c r="L32" s="1023" t="str">
        <f ca="1">CONCATENATE(RANDBETWEEN(8,9.5),".",RANDBETWEEN(0,9.5))</f>
        <v>9.3</v>
      </c>
      <c r="M32" s="1023"/>
      <c r="N32" s="1023"/>
      <c r="O32" s="1023"/>
      <c r="P32" s="1023"/>
      <c r="Q32" s="1023"/>
      <c r="R32" s="1023"/>
      <c r="S32" s="1023"/>
      <c r="T32" s="1023"/>
      <c r="U32" s="1023"/>
      <c r="V32" s="1023"/>
      <c r="W32" s="764" t="s">
        <v>193</v>
      </c>
      <c r="X32" s="764"/>
      <c r="Y32" s="764"/>
      <c r="Z32" s="764"/>
      <c r="AA32" s="764"/>
      <c r="AB32" s="764"/>
      <c r="AC32" s="764"/>
      <c r="AD32" s="764"/>
      <c r="AE32" s="764"/>
      <c r="AF32" s="764"/>
      <c r="AG32" s="764"/>
      <c r="AH32" s="764"/>
      <c r="AI32" s="764"/>
      <c r="AJ32" s="764"/>
      <c r="AK32" s="764"/>
      <c r="AL32" s="764"/>
      <c r="AM32" s="764"/>
      <c r="AN32" s="764"/>
      <c r="AO32" s="764"/>
      <c r="AP32" s="764"/>
      <c r="AQ32" s="764"/>
      <c r="AR32" s="764"/>
      <c r="AS32" s="764"/>
      <c r="AT32" s="764"/>
      <c r="AU32" s="764"/>
      <c r="AV32" s="764"/>
      <c r="AW32" s="764"/>
      <c r="AX32" s="764"/>
      <c r="AY32" s="764"/>
      <c r="AZ32" s="764"/>
      <c r="BA32" s="764"/>
      <c r="BB32" s="764"/>
      <c r="BC32" s="764"/>
      <c r="BD32" s="764"/>
      <c r="BE32" s="764"/>
      <c r="BF32" s="764"/>
      <c r="BG32" s="764"/>
      <c r="BH32" s="764"/>
      <c r="BI32" s="764"/>
      <c r="BJ32" s="764"/>
      <c r="BK32" s="764"/>
      <c r="BL32" s="764"/>
      <c r="BM32" s="764"/>
      <c r="BN32" s="764"/>
      <c r="BO32" s="764"/>
      <c r="BP32" s="764"/>
      <c r="BQ32" s="764"/>
      <c r="BR32" s="764"/>
      <c r="BS32" s="764"/>
      <c r="BT32" s="764"/>
      <c r="BU32" s="764"/>
      <c r="BV32" s="764"/>
      <c r="BW32" s="764"/>
      <c r="BX32" s="764"/>
      <c r="BY32" s="764"/>
      <c r="BZ32" s="764"/>
      <c r="CA32" s="764"/>
      <c r="CB32" s="764"/>
      <c r="CC32" s="764"/>
      <c r="CD32" s="764"/>
      <c r="CE32" s="764"/>
      <c r="CF32" s="764"/>
      <c r="CG32" s="764"/>
      <c r="CH32" s="764"/>
      <c r="CI32" s="764"/>
      <c r="CO32" s="141"/>
    </row>
    <row r="33" spans="1:93" ht="14.5" customHeight="1">
      <c r="A33" s="1019" t="s">
        <v>362</v>
      </c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899">
        <v>4</v>
      </c>
      <c r="BH33" s="899"/>
      <c r="BI33" s="899"/>
      <c r="BJ33" s="899"/>
      <c r="BK33" s="899"/>
      <c r="BL33" s="899"/>
      <c r="BM33" s="899"/>
      <c r="BN33" s="899"/>
      <c r="BO33" s="1029" t="s">
        <v>363</v>
      </c>
      <c r="BP33" s="1029"/>
      <c r="BQ33" s="1029"/>
      <c r="BR33" s="1029"/>
      <c r="BS33" s="1029"/>
      <c r="BT33" s="1029"/>
      <c r="BU33" s="1029"/>
      <c r="BV33" s="1029"/>
      <c r="BW33" s="1029"/>
      <c r="BX33" s="1029"/>
      <c r="BY33" s="1029"/>
      <c r="BZ33" s="1029"/>
      <c r="CA33" s="1029"/>
      <c r="CB33" s="1029"/>
      <c r="CC33" s="1029"/>
      <c r="CD33" s="1029"/>
      <c r="CE33" s="1029"/>
      <c r="CF33" s="1029"/>
      <c r="CG33" s="1029"/>
      <c r="CH33" s="1029"/>
      <c r="CI33" s="1029"/>
    </row>
    <row r="34" spans="1:93" ht="14">
      <c r="A34" s="1027" t="s">
        <v>364</v>
      </c>
      <c r="B34" s="1027"/>
      <c r="C34" s="1027"/>
      <c r="D34" s="1027"/>
      <c r="E34" s="1027"/>
      <c r="F34" s="1027"/>
      <c r="G34" s="1027"/>
      <c r="H34" s="1027"/>
      <c r="I34" s="1027"/>
      <c r="J34" s="1027"/>
      <c r="K34" s="1027"/>
      <c r="L34" s="1027"/>
      <c r="M34" s="1027"/>
      <c r="N34" s="1027"/>
      <c r="O34" s="1027"/>
      <c r="P34" s="1027"/>
      <c r="Q34" s="1027"/>
      <c r="R34" s="1027"/>
      <c r="S34" s="1027"/>
      <c r="T34" s="1027"/>
      <c r="U34" s="1027"/>
      <c r="V34" s="1027"/>
      <c r="W34" s="1027"/>
      <c r="X34" s="1027"/>
      <c r="Y34" s="1027"/>
      <c r="Z34" s="1027"/>
      <c r="AA34" s="1027"/>
      <c r="AB34" s="1027"/>
      <c r="AC34" s="1027"/>
      <c r="AD34" s="1027"/>
      <c r="AE34" s="1027"/>
      <c r="AF34" s="1027"/>
      <c r="AG34" s="1027"/>
      <c r="AH34" s="1027"/>
      <c r="AI34" s="1027"/>
      <c r="AJ34" s="1027"/>
      <c r="AK34" s="1027"/>
      <c r="AL34" s="1027"/>
      <c r="AM34" s="1027"/>
      <c r="AN34" s="1027"/>
      <c r="AO34" s="1027"/>
      <c r="AP34" s="1028"/>
      <c r="AQ34" s="1028"/>
      <c r="AR34" s="1028"/>
      <c r="AS34" s="1028"/>
      <c r="AT34" s="1028"/>
      <c r="AU34" s="1028"/>
      <c r="AV34" s="1028"/>
      <c r="AW34" s="1028"/>
      <c r="AX34" s="1028"/>
      <c r="AY34" s="1028"/>
      <c r="AZ34" s="1028"/>
      <c r="BA34" s="1028"/>
      <c r="BB34" s="1028"/>
      <c r="BC34" s="1028"/>
      <c r="BD34" s="1028"/>
      <c r="BE34" s="1028"/>
      <c r="BF34" s="1028"/>
      <c r="BG34" s="1028"/>
      <c r="BH34" s="1028"/>
      <c r="BI34" s="1028"/>
      <c r="BJ34" s="1028"/>
      <c r="BK34" s="1028"/>
      <c r="BL34" s="1028"/>
      <c r="BM34" s="1028"/>
      <c r="BN34" s="1028"/>
      <c r="BO34" s="1028"/>
      <c r="BP34" s="1028"/>
      <c r="BQ34" s="1028"/>
      <c r="BR34" s="1028"/>
      <c r="BS34" s="1028"/>
      <c r="BT34" s="1028"/>
      <c r="BU34" s="1028"/>
      <c r="BV34" s="1028"/>
      <c r="BW34" s="1028"/>
      <c r="BX34" s="1028"/>
      <c r="BY34" s="1028"/>
      <c r="BZ34" s="1028"/>
      <c r="CA34" s="1028"/>
      <c r="CB34" s="1028"/>
      <c r="CC34" s="1028"/>
      <c r="CD34" s="1028"/>
      <c r="CE34" s="1028"/>
      <c r="CF34" s="1028"/>
      <c r="CG34" s="1028"/>
      <c r="CH34" s="1028"/>
      <c r="CI34" s="1028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26" t="s">
        <v>365</v>
      </c>
      <c r="AQ35" s="1026"/>
      <c r="AR35" s="1026"/>
      <c r="AS35" s="1026"/>
      <c r="AT35" s="1026"/>
      <c r="AU35" s="1026"/>
      <c r="AV35" s="1026"/>
      <c r="AW35" s="1026"/>
      <c r="AX35" s="1026"/>
      <c r="AY35" s="1026"/>
      <c r="AZ35" s="1026"/>
      <c r="BA35" s="1026"/>
      <c r="BB35" s="1026"/>
      <c r="BC35" s="1026"/>
      <c r="BD35" s="1026"/>
      <c r="BE35" s="1026"/>
      <c r="BF35" s="1026"/>
      <c r="BG35" s="1026"/>
      <c r="BH35" s="1026"/>
      <c r="BI35" s="1026"/>
      <c r="BJ35" s="1026"/>
      <c r="BK35" s="1026"/>
      <c r="BL35" s="1026"/>
      <c r="BM35" s="1026"/>
      <c r="BN35" s="1026"/>
      <c r="BO35" s="1026"/>
      <c r="BP35" s="1026"/>
      <c r="BQ35" s="1026"/>
      <c r="BR35" s="1026"/>
      <c r="BS35" s="1026"/>
      <c r="BT35" s="1026"/>
      <c r="BU35" s="1026"/>
      <c r="BV35" s="1026"/>
      <c r="BW35" s="1026"/>
      <c r="BX35" s="1026"/>
      <c r="BY35" s="1026"/>
      <c r="BZ35" s="1026"/>
      <c r="CA35" s="1026"/>
      <c r="CB35" s="1026"/>
      <c r="CC35" s="1026"/>
      <c r="CD35" s="1026"/>
      <c r="CE35" s="1026"/>
      <c r="CF35" s="1026"/>
      <c r="CG35" s="1026"/>
      <c r="CH35" s="1026"/>
      <c r="CI35" s="1026"/>
      <c r="CO35" s="141"/>
    </row>
    <row r="36" spans="1:93" ht="44.25" customHeight="1">
      <c r="A36" s="1025" t="s">
        <v>15</v>
      </c>
      <c r="B36" s="1025"/>
      <c r="C36" s="1025"/>
      <c r="D36" s="1025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  <c r="AA36" s="1025"/>
      <c r="AB36" s="1025"/>
      <c r="AC36" s="1025"/>
      <c r="AD36" s="772" t="str">
        <f>ПОДПИСИ!B6</f>
        <v>Начальник мастерского участка №1 Курортного РЭС ПАО «Россети Ленэнерго» «СЭС»</v>
      </c>
      <c r="AE36" s="772"/>
      <c r="AF36" s="772"/>
      <c r="AG36" s="772"/>
      <c r="AH36" s="772"/>
      <c r="AI36" s="772"/>
      <c r="AJ36" s="772"/>
      <c r="AK36" s="772"/>
      <c r="AL36" s="772"/>
      <c r="AM36" s="772"/>
      <c r="AN36" s="772"/>
      <c r="AO36" s="772"/>
      <c r="AP36" s="772"/>
      <c r="AQ36" s="772"/>
      <c r="AR36" s="772"/>
      <c r="AS36" s="772"/>
      <c r="AT36" s="772"/>
      <c r="AU36" s="772"/>
      <c r="AV36" s="772"/>
      <c r="AW36" s="772"/>
      <c r="AX36" s="772"/>
      <c r="AY36" s="772"/>
      <c r="AZ36" s="772"/>
      <c r="BA36" s="772"/>
      <c r="BB36" s="772"/>
      <c r="BC36" s="772"/>
      <c r="BD36" s="772"/>
      <c r="BE36" s="772"/>
      <c r="BF36" s="772"/>
      <c r="BG36" s="772"/>
      <c r="BH36" s="772"/>
      <c r="BI36" s="772"/>
      <c r="BJ36" s="772"/>
      <c r="BK36" s="772"/>
      <c r="BL36" s="23"/>
      <c r="BM36" s="23"/>
      <c r="BN36" s="23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">
      <c r="AD37" s="750" t="s">
        <v>48</v>
      </c>
      <c r="AE37" s="750"/>
      <c r="AF37" s="750"/>
      <c r="AG37" s="750"/>
      <c r="AH37" s="750"/>
      <c r="AI37" s="750"/>
      <c r="AJ37" s="750"/>
      <c r="AK37" s="750"/>
      <c r="AL37" s="750"/>
      <c r="AM37" s="750"/>
      <c r="AN37" s="750"/>
      <c r="AO37" s="750"/>
      <c r="AP37" s="750"/>
      <c r="AQ37" s="750"/>
      <c r="AR37" s="750"/>
      <c r="AS37" s="750"/>
      <c r="AT37" s="750"/>
      <c r="AU37" s="750"/>
      <c r="AV37" s="750"/>
      <c r="AW37" s="750"/>
      <c r="AX37" s="750"/>
      <c r="AY37" s="750"/>
      <c r="AZ37" s="750"/>
      <c r="BA37" s="750"/>
      <c r="BB37" s="750"/>
      <c r="BC37" s="750"/>
      <c r="BD37" s="750"/>
      <c r="BE37" s="750"/>
      <c r="BF37" s="750"/>
      <c r="BG37" s="750"/>
      <c r="BH37" s="750"/>
      <c r="BI37" s="750"/>
      <c r="BJ37" s="750"/>
      <c r="BK37" s="750"/>
      <c r="BL37" s="227"/>
      <c r="BM37" s="227"/>
      <c r="BN37" s="227"/>
      <c r="BO37" s="750" t="s">
        <v>49</v>
      </c>
      <c r="BP37" s="750"/>
      <c r="BQ37" s="750"/>
      <c r="BR37" s="750"/>
      <c r="BS37" s="750"/>
      <c r="BT37" s="750"/>
      <c r="BU37" s="750"/>
      <c r="BV37" s="750"/>
      <c r="BW37" s="750"/>
      <c r="BX37" s="750"/>
      <c r="BY37" s="750"/>
      <c r="BZ37" s="750"/>
      <c r="CA37" s="750"/>
      <c r="CB37" s="750"/>
      <c r="CC37" s="750"/>
      <c r="CD37" s="75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66" t="s">
        <v>16</v>
      </c>
      <c r="B38" s="766"/>
      <c r="C38" s="766"/>
      <c r="D38" s="766"/>
      <c r="E38" s="766"/>
      <c r="F38" s="766"/>
      <c r="G38" s="766"/>
      <c r="H38" s="766"/>
      <c r="I38" s="766"/>
      <c r="J38" s="766"/>
      <c r="K38" s="766"/>
      <c r="L38" s="766"/>
      <c r="M38" s="766"/>
      <c r="N38" s="766"/>
      <c r="O38" s="766"/>
      <c r="P38" s="766"/>
      <c r="Q38" s="766"/>
      <c r="R38" s="766"/>
      <c r="S38" s="766"/>
      <c r="T38" s="766"/>
      <c r="U38" s="766"/>
      <c r="V38" s="766"/>
      <c r="W38" s="766"/>
      <c r="X38" s="766"/>
      <c r="Y38" s="766"/>
      <c r="Z38" s="766"/>
      <c r="AA38" s="766"/>
      <c r="AB38" s="766"/>
      <c r="AD38" s="772" t="str">
        <f>ПОДПИСИ!B12</f>
        <v xml:space="preserve">Производитель работ ООО«БЭСК» </v>
      </c>
      <c r="AE38" s="772"/>
      <c r="AF38" s="772"/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772"/>
      <c r="BL38" s="23"/>
      <c r="BM38" s="23"/>
      <c r="BN38" s="23"/>
      <c r="BO38" s="758"/>
      <c r="BP38" s="758"/>
      <c r="BQ38" s="758"/>
      <c r="BR38" s="758"/>
      <c r="BS38" s="758"/>
      <c r="BT38" s="758"/>
      <c r="BU38" s="758"/>
      <c r="BV38" s="758"/>
      <c r="BW38" s="758"/>
      <c r="BX38" s="758"/>
      <c r="BY38" s="758"/>
      <c r="BZ38" s="758"/>
      <c r="CA38" s="758"/>
      <c r="CB38" s="758"/>
      <c r="CC38" s="758"/>
      <c r="CD38" s="758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9">
      <c r="AD39" s="749" t="s">
        <v>48</v>
      </c>
      <c r="AE39" s="749"/>
      <c r="AF39" s="749"/>
      <c r="AG39" s="749"/>
      <c r="AH39" s="749"/>
      <c r="AI39" s="749"/>
      <c r="AJ39" s="749"/>
      <c r="AK39" s="749"/>
      <c r="AL39" s="749"/>
      <c r="AM39" s="749"/>
      <c r="AN39" s="749"/>
      <c r="AO39" s="749"/>
      <c r="AP39" s="749"/>
      <c r="AQ39" s="749"/>
      <c r="AR39" s="749"/>
      <c r="AS39" s="749"/>
      <c r="AT39" s="749"/>
      <c r="AU39" s="749"/>
      <c r="AV39" s="749"/>
      <c r="AW39" s="749"/>
      <c r="AX39" s="749"/>
      <c r="AY39" s="749"/>
      <c r="AZ39" s="749"/>
      <c r="BA39" s="749"/>
      <c r="BB39" s="749"/>
      <c r="BC39" s="749"/>
      <c r="BD39" s="749"/>
      <c r="BE39" s="749"/>
      <c r="BF39" s="749"/>
      <c r="BG39" s="749"/>
      <c r="BH39" s="749"/>
      <c r="BI39" s="749"/>
      <c r="BJ39" s="749"/>
      <c r="BK39" s="749"/>
      <c r="BL39" s="227"/>
      <c r="BM39" s="227"/>
      <c r="BN39" s="227"/>
      <c r="BO39" s="750" t="s">
        <v>49</v>
      </c>
      <c r="BP39" s="750"/>
      <c r="BQ39" s="750"/>
      <c r="BR39" s="750"/>
      <c r="BS39" s="750"/>
      <c r="BT39" s="750"/>
      <c r="BU39" s="750"/>
      <c r="BV39" s="750"/>
      <c r="BW39" s="750"/>
      <c r="BX39" s="750"/>
      <c r="BY39" s="750"/>
      <c r="BZ39" s="750"/>
      <c r="CA39" s="750"/>
      <c r="CB39" s="750"/>
      <c r="CC39" s="750"/>
      <c r="CD39" s="75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 ht="14">
      <c r="CO44" s="141"/>
    </row>
    <row r="45" spans="1:93" ht="14">
      <c r="CO45" s="153"/>
    </row>
    <row r="46" spans="1:93" ht="14">
      <c r="CO46" s="141"/>
    </row>
    <row r="47" spans="1:93" ht="14">
      <c r="CO47" s="152"/>
    </row>
    <row r="48" spans="1:93" ht="14">
      <c r="CO48" s="141"/>
    </row>
    <row r="49" spans="93:93" ht="14">
      <c r="CO49" s="151"/>
    </row>
    <row r="50" spans="93:93" ht="14">
      <c r="CO50" s="141"/>
    </row>
    <row r="51" spans="93:93" ht="14">
      <c r="CO51" s="151"/>
    </row>
    <row r="52" spans="93:93" ht="14">
      <c r="CO52" s="141"/>
    </row>
    <row r="54" spans="93:93" ht="14">
      <c r="CO54" s="141"/>
    </row>
    <row r="56" spans="93:93" ht="14">
      <c r="CO56" s="141"/>
    </row>
    <row r="57" spans="93:93" ht="14">
      <c r="CO57" s="141"/>
    </row>
    <row r="59" spans="93:93" ht="14">
      <c r="CO59" s="141"/>
    </row>
    <row r="60" spans="93:93" ht="14">
      <c r="CO60" s="141"/>
    </row>
    <row r="61" spans="93:93" ht="14">
      <c r="CO61" s="141"/>
    </row>
    <row r="62" spans="93:93" ht="14">
      <c r="CO62" s="141"/>
    </row>
    <row r="63" spans="93:93" ht="14">
      <c r="CO63" s="141"/>
    </row>
    <row r="64" spans="93:93" ht="14">
      <c r="CO64" s="141"/>
    </row>
    <row r="65" spans="93:93" ht="14">
      <c r="CO65" s="141"/>
    </row>
    <row r="66" spans="93:93" ht="14">
      <c r="CO66" s="141"/>
    </row>
    <row r="67" spans="93:93" ht="14">
      <c r="CO67" s="141"/>
    </row>
    <row r="68" spans="93:93" ht="14">
      <c r="CO68" s="141"/>
    </row>
    <row r="69" spans="93:93" ht="14">
      <c r="CO69" s="141"/>
    </row>
    <row r="70" spans="93:93" ht="14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104" priority="6" operator="equal">
      <formula>0</formula>
    </cfRule>
  </conditionalFormatting>
  <conditionalFormatting sqref="AD36:CI38">
    <cfRule type="cellIs" dxfId="103" priority="3" operator="equal">
      <formula>0</formula>
    </cfRule>
  </conditionalFormatting>
  <conditionalFormatting sqref="CO2:CO6">
    <cfRule type="cellIs" dxfId="10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796875" defaultRowHeight="14.5"/>
  <cols>
    <col min="1" max="86" width="0.81640625" style="19" customWidth="1"/>
    <col min="87" max="87" width="18.26953125" style="19" customWidth="1"/>
    <col min="88" max="88" width="9.1796875" style="19"/>
    <col min="89" max="91" width="15.7265625" style="19" customWidth="1"/>
    <col min="92" max="92" width="9.1796875" style="19"/>
    <col min="93" max="93" width="49.453125" style="147" customWidth="1"/>
    <col min="94" max="16384" width="9.1796875" style="19"/>
  </cols>
  <sheetData>
    <row r="1" spans="1:93">
      <c r="A1" s="907" t="s">
        <v>343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/>
      <c r="CK1"/>
      <c r="CL1"/>
      <c r="CM1"/>
      <c r="CN1"/>
      <c r="CO1" s="141"/>
    </row>
    <row r="2" spans="1:93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E2" s="758" t="str">
        <f>ФОРМА!G2</f>
        <v>Санкт-Петербург</v>
      </c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/>
      <c r="CK2"/>
      <c r="CL2"/>
      <c r="CM2"/>
      <c r="CN2"/>
      <c r="CO2" s="142"/>
    </row>
    <row r="3" spans="1:93" s="21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E3" s="770" t="s">
        <v>0</v>
      </c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O3" s="143"/>
    </row>
    <row r="4" spans="1:93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E4" s="772" t="str">
        <f>ФОРМА!B2</f>
        <v>ПАО "Россети Ленэнерго"</v>
      </c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O4" s="144" t="str">
        <f>BE4</f>
        <v>ПАО "Россети Ленэнерго"</v>
      </c>
    </row>
    <row r="5" spans="1:93" s="24" customFormat="1" ht="15" customHeight="1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0" t="s">
        <v>2</v>
      </c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O5" s="143"/>
    </row>
    <row r="6" spans="1:93" ht="93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0" t="s">
        <v>38</v>
      </c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O7" s="235"/>
    </row>
    <row r="8" spans="1:93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E8" s="735">
        <f>ФОРМА!B13</f>
        <v>45625</v>
      </c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51"/>
    </row>
    <row r="9" spans="1:93" s="24" customFormat="1" ht="15" customHeight="1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0" t="s">
        <v>3</v>
      </c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O9" s="235"/>
    </row>
    <row r="10" spans="1:93">
      <c r="A10" s="770"/>
      <c r="B10" s="770"/>
      <c r="C10" s="770"/>
      <c r="D10" s="770"/>
      <c r="E10" s="770"/>
      <c r="F10" s="770"/>
      <c r="G10" s="770"/>
      <c r="H10" s="770"/>
      <c r="I10" s="770"/>
      <c r="J10" s="770"/>
      <c r="K10" s="770"/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  <c r="AF10" s="770"/>
      <c r="AG10" s="770"/>
      <c r="AH10" s="770"/>
      <c r="AI10" s="770"/>
      <c r="AJ10" s="770"/>
      <c r="AK10" s="770"/>
      <c r="AL10" s="770"/>
      <c r="AM10" s="770"/>
      <c r="AN10" s="770"/>
      <c r="AO10" s="770"/>
      <c r="AP10" s="770"/>
      <c r="AQ10" s="770"/>
      <c r="AR10" s="770"/>
      <c r="AS10" s="770"/>
      <c r="AT10" s="770"/>
      <c r="AU10" s="770"/>
      <c r="AV10" s="770"/>
      <c r="AW10" s="770"/>
      <c r="AX10" s="770"/>
      <c r="AY10" s="770"/>
      <c r="AZ10" s="770"/>
      <c r="BA10" s="770"/>
      <c r="BB10" s="770"/>
      <c r="BC10" s="770"/>
      <c r="BD10" s="770"/>
      <c r="BE10" s="770"/>
      <c r="BF10" s="770"/>
      <c r="BG10" s="770"/>
      <c r="BH10" s="770"/>
      <c r="BI10" s="770"/>
      <c r="BJ10" s="770"/>
      <c r="BK10" s="770"/>
      <c r="BL10" s="770"/>
      <c r="BM10" s="770"/>
      <c r="BN10" s="770"/>
      <c r="BO10" s="770"/>
      <c r="BP10" s="770"/>
      <c r="BQ10" s="770"/>
      <c r="BR10" s="770"/>
      <c r="BS10" s="770"/>
      <c r="BT10" s="770"/>
      <c r="BU10" s="770"/>
      <c r="BV10" s="770"/>
      <c r="BW10" s="770"/>
      <c r="BX10" s="770"/>
      <c r="BY10" s="770"/>
      <c r="BZ10" s="770"/>
      <c r="CA10" s="770"/>
      <c r="CB10" s="770"/>
      <c r="CC10" s="770"/>
      <c r="CD10" s="770"/>
      <c r="CE10" s="770"/>
      <c r="CF10" s="770"/>
      <c r="CG10" s="770"/>
      <c r="CH10" s="770"/>
      <c r="CI10" s="770"/>
    </row>
    <row r="11" spans="1:93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</row>
    <row r="12" spans="1:93">
      <c r="A12" s="738" t="s">
        <v>345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</row>
    <row r="13" spans="1:93" ht="18" customHeight="1">
      <c r="A13" s="1035" t="s">
        <v>344</v>
      </c>
      <c r="B13" s="1035"/>
      <c r="C13" s="1035"/>
      <c r="D13" s="1035"/>
      <c r="E13" s="1035"/>
      <c r="F13" s="1035"/>
      <c r="G13" s="1035"/>
      <c r="H13" s="1035"/>
      <c r="I13" s="1035"/>
      <c r="J13" s="1035"/>
      <c r="K13" s="1035"/>
      <c r="L13" s="1035"/>
      <c r="M13" s="1035"/>
      <c r="N13" s="1035"/>
      <c r="O13" s="1035"/>
      <c r="P13" s="1035"/>
      <c r="Q13" s="1035"/>
      <c r="R13" s="1035"/>
      <c r="S13" s="1035"/>
      <c r="T13" s="1035"/>
      <c r="U13" s="1035"/>
      <c r="V13" s="1035"/>
      <c r="W13" s="1035"/>
      <c r="X13" s="1035"/>
      <c r="Y13" s="1035"/>
      <c r="Z13" s="1035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  <c r="BU13" s="1035"/>
      <c r="BV13" s="1035"/>
      <c r="BW13" s="1035"/>
      <c r="BX13" s="1035"/>
      <c r="BY13" s="1035"/>
      <c r="BZ13" s="1035"/>
      <c r="CA13" s="1035"/>
      <c r="CB13" s="1035"/>
      <c r="CC13" s="1035"/>
      <c r="CD13" s="1035"/>
      <c r="CE13" s="1035"/>
      <c r="CF13" s="1035"/>
      <c r="CG13" s="1035"/>
      <c r="CH13" s="1035"/>
      <c r="CI13" s="1035"/>
    </row>
    <row r="14" spans="1:93" ht="15" customHeight="1">
      <c r="F14" s="764" t="s">
        <v>346</v>
      </c>
      <c r="G14" s="764"/>
      <c r="H14" s="764"/>
      <c r="I14" s="764"/>
      <c r="J14" s="764"/>
      <c r="K14" s="764"/>
      <c r="L14" s="764"/>
      <c r="M14" s="764"/>
      <c r="N14" s="764"/>
      <c r="O14" s="764"/>
      <c r="P14" s="764"/>
      <c r="Q14" s="764"/>
      <c r="R14" s="764"/>
      <c r="S14" s="764"/>
      <c r="T14" s="764"/>
      <c r="U14" s="764"/>
      <c r="V14" s="764"/>
      <c r="W14" s="764"/>
      <c r="X14" s="764"/>
      <c r="Y14" s="764"/>
      <c r="Z14" s="764"/>
      <c r="AA14" s="764"/>
      <c r="AB14" s="764"/>
      <c r="AC14" s="764"/>
      <c r="AD14" s="764"/>
      <c r="AE14" s="764"/>
      <c r="AF14" s="764"/>
      <c r="AG14" s="764"/>
      <c r="AH14" s="764"/>
      <c r="AI14" s="764"/>
      <c r="AJ14" s="764"/>
      <c r="AK14" s="764"/>
      <c r="AL14" s="764"/>
      <c r="AM14" s="764"/>
      <c r="AN14" s="764"/>
      <c r="AO14" s="764"/>
      <c r="AP14" s="764"/>
      <c r="AQ14" s="764"/>
      <c r="AR14" s="764"/>
      <c r="AS14" s="764"/>
      <c r="AT14" s="764"/>
      <c r="AU14" s="764"/>
      <c r="AV14" s="764"/>
      <c r="AW14" s="764"/>
      <c r="AX14" s="764"/>
      <c r="AY14" s="764"/>
      <c r="AZ14" s="764"/>
      <c r="BA14" s="764"/>
      <c r="BB14" s="764"/>
      <c r="BC14" s="764"/>
      <c r="BD14" s="764"/>
      <c r="BE14" s="764"/>
      <c r="BF14" s="764"/>
      <c r="BG14" s="764"/>
      <c r="BH14" s="764"/>
      <c r="BI14" s="764"/>
      <c r="BJ14" s="764"/>
      <c r="BK14" s="764"/>
      <c r="BL14" s="764"/>
      <c r="BM14" s="764"/>
      <c r="BN14" s="764"/>
      <c r="BO14" s="764"/>
      <c r="BP14" s="764"/>
      <c r="BQ14" s="764"/>
      <c r="BR14" s="764"/>
      <c r="BS14" s="764"/>
      <c r="BT14" s="764"/>
      <c r="BU14" s="764"/>
      <c r="BV14" s="764"/>
      <c r="BW14" s="764"/>
      <c r="BX14" s="764"/>
      <c r="BY14" s="764"/>
      <c r="BZ14" s="764"/>
      <c r="CA14" s="764"/>
      <c r="CB14" s="764"/>
      <c r="CC14" s="764"/>
      <c r="CD14" s="764"/>
      <c r="CE14" s="764"/>
      <c r="CF14" s="764"/>
      <c r="CG14" s="764"/>
      <c r="CH14" s="764"/>
      <c r="CI14" s="764"/>
    </row>
    <row r="15" spans="1:93" ht="15" customHeight="1">
      <c r="A15" s="764" t="s">
        <v>347</v>
      </c>
      <c r="B15" s="764"/>
      <c r="C15" s="764"/>
      <c r="D15" s="764"/>
      <c r="E15" s="764"/>
      <c r="F15" s="1023">
        <v>0.4</v>
      </c>
      <c r="G15" s="1023"/>
      <c r="H15" s="1023"/>
      <c r="I15" s="1023"/>
      <c r="J15" s="1023"/>
      <c r="K15" s="1023"/>
      <c r="L15" s="1023"/>
      <c r="M15" s="1023"/>
      <c r="N15" s="1023"/>
      <c r="O15" s="764" t="s">
        <v>348</v>
      </c>
      <c r="P15" s="764"/>
      <c r="Q15" s="764"/>
      <c r="R15" s="764"/>
      <c r="S15" s="1023" t="s">
        <v>888</v>
      </c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  <c r="BB15" s="1023"/>
      <c r="BC15" s="1023"/>
      <c r="BD15" s="1023"/>
      <c r="BE15" s="1023"/>
      <c r="BF15" s="1023"/>
      <c r="BG15" s="1023"/>
      <c r="BH15" s="1023"/>
      <c r="BI15" s="1023"/>
      <c r="BJ15" s="1023"/>
      <c r="BK15" s="1023"/>
      <c r="BL15" s="1023"/>
      <c r="BM15" s="1023"/>
      <c r="BN15" s="1023"/>
      <c r="BO15" s="1023"/>
      <c r="BP15" s="1023"/>
      <c r="BQ15" s="1023"/>
      <c r="BR15" s="1023"/>
      <c r="BS15" s="1023"/>
      <c r="BT15" s="1023"/>
      <c r="BU15" s="1023"/>
      <c r="BV15" s="1023"/>
      <c r="BW15" s="1023"/>
      <c r="BX15" s="1023"/>
      <c r="BY15" s="1023"/>
      <c r="BZ15" s="1023"/>
      <c r="CA15" s="1023"/>
      <c r="CB15" s="1023"/>
      <c r="CC15" s="1023"/>
      <c r="CD15" s="1023"/>
      <c r="CE15" s="1023"/>
      <c r="CF15" s="1023"/>
      <c r="CG15" s="1023"/>
      <c r="CH15" s="1023"/>
      <c r="CI15" s="1023"/>
    </row>
    <row r="16" spans="1:93" s="225" customFormat="1" ht="9.65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24" t="s">
        <v>349</v>
      </c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  <c r="BT16" s="1024"/>
      <c r="BU16" s="1024"/>
      <c r="BV16" s="1024"/>
      <c r="BW16" s="1024"/>
      <c r="BX16" s="1024"/>
      <c r="BY16" s="1024"/>
      <c r="BZ16" s="1024"/>
      <c r="CA16" s="1024"/>
      <c r="CB16" s="1024"/>
      <c r="CC16" s="1024"/>
      <c r="CD16" s="1024"/>
      <c r="CE16" s="1024"/>
      <c r="CF16" s="1024"/>
      <c r="CG16" s="1024"/>
      <c r="CH16" s="1024"/>
      <c r="CI16" s="1024"/>
      <c r="CO16" s="229"/>
    </row>
    <row r="17" spans="1:93" ht="15" customHeight="1">
      <c r="A17" s="1034" t="s">
        <v>350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6" t="s">
        <v>564</v>
      </c>
      <c r="T17" s="1036"/>
      <c r="U17" s="1036"/>
      <c r="V17" s="1036"/>
      <c r="W17" s="1036"/>
      <c r="X17" s="1036"/>
      <c r="Y17" s="1036"/>
      <c r="Z17" s="1036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  <c r="BT17" s="1036"/>
      <c r="BU17" s="1036"/>
      <c r="BV17" s="1036"/>
      <c r="BW17" s="1036"/>
      <c r="BX17" s="1036"/>
      <c r="BY17" s="1036"/>
      <c r="BZ17" s="1036"/>
      <c r="CA17" s="1036"/>
      <c r="CB17" s="1036"/>
      <c r="CC17" s="1036"/>
      <c r="CD17" s="1036"/>
      <c r="CE17" s="1036"/>
      <c r="CF17" s="1036"/>
      <c r="CG17" s="1036"/>
      <c r="CH17" s="1036"/>
      <c r="CI17" s="1036"/>
    </row>
    <row r="18" spans="1:93" s="225" customFormat="1" ht="9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01" t="s">
        <v>351</v>
      </c>
      <c r="T18" s="1001"/>
      <c r="U18" s="1001"/>
      <c r="V18" s="1001"/>
      <c r="W18" s="1001"/>
      <c r="X18" s="1001"/>
      <c r="Y18" s="1001"/>
      <c r="Z18" s="1001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1"/>
      <c r="AV18" s="1001"/>
      <c r="AW18" s="1001"/>
      <c r="AX18" s="1001"/>
      <c r="AY18" s="1001"/>
      <c r="AZ18" s="1001"/>
      <c r="BA18" s="1001"/>
      <c r="BB18" s="1001"/>
      <c r="BC18" s="1001"/>
      <c r="BD18" s="1001"/>
      <c r="BE18" s="1001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  <c r="BT18" s="1001"/>
      <c r="BU18" s="1001"/>
      <c r="BV18" s="1001"/>
      <c r="BW18" s="1001"/>
      <c r="BX18" s="1001"/>
      <c r="BY18" s="1001"/>
      <c r="BZ18" s="1001"/>
      <c r="CA18" s="1001"/>
      <c r="CB18" s="1001"/>
      <c r="CC18" s="1001"/>
      <c r="CD18" s="1001"/>
      <c r="CE18" s="1001"/>
      <c r="CF18" s="1001"/>
      <c r="CG18" s="1001"/>
      <c r="CH18" s="1001"/>
      <c r="CI18" s="1001"/>
      <c r="CO18" s="229"/>
    </row>
    <row r="19" spans="1:93" ht="15" customHeight="1">
      <c r="A19" s="1034" t="s">
        <v>352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34" t="s">
        <v>565</v>
      </c>
      <c r="B20" s="1034"/>
      <c r="C20" s="1034"/>
      <c r="D20" s="1034"/>
      <c r="E20" s="1034"/>
      <c r="F20" s="1034"/>
      <c r="G20" s="1034"/>
      <c r="H20" s="1034"/>
      <c r="I20" s="1034"/>
      <c r="J20" s="1034"/>
      <c r="K20" s="1034"/>
      <c r="L20" s="1034"/>
      <c r="M20" s="1034"/>
      <c r="N20" s="1034"/>
      <c r="O20" s="1034"/>
      <c r="P20" s="1034"/>
      <c r="Q20" s="1034"/>
      <c r="R20" s="1034"/>
      <c r="S20" s="1034"/>
      <c r="T20" s="1034"/>
      <c r="U20" s="1034"/>
      <c r="V20" s="1034"/>
      <c r="W20" s="1034"/>
      <c r="X20" s="1034"/>
      <c r="Y20" s="1034"/>
      <c r="Z20" s="1034"/>
      <c r="AA20" s="1034"/>
      <c r="AB20" s="1034"/>
      <c r="AC20" s="1034"/>
      <c r="AD20" s="1034"/>
      <c r="AE20" s="1034"/>
      <c r="AF20" s="1034"/>
      <c r="AG20" s="1034"/>
      <c r="AH20" s="1034"/>
      <c r="AI20" s="1034"/>
      <c r="AJ20" s="1034"/>
      <c r="AK20" s="1034"/>
      <c r="AL20" s="1034"/>
      <c r="AM20" s="1034"/>
      <c r="AN20" s="1034"/>
      <c r="AO20" s="1034"/>
      <c r="AP20" s="1034"/>
      <c r="AQ20" s="1034"/>
      <c r="AR20" s="1034"/>
      <c r="AS20" s="1034"/>
      <c r="AT20" s="1034"/>
      <c r="AU20" s="1034"/>
      <c r="AV20" s="1034"/>
      <c r="AW20" s="1034"/>
      <c r="AX20" s="1034"/>
      <c r="AY20" s="909" t="str">
        <f>CONCATENATE(ФОРМА!B9,", Лист ",CL20)</f>
        <v>СЭС-23-32939-ЭС-ТКР2, Лист 3</v>
      </c>
      <c r="AZ20" s="909"/>
      <c r="BA20" s="909"/>
      <c r="BB20" s="909"/>
      <c r="BC20" s="909"/>
      <c r="BD20" s="909"/>
      <c r="BE20" s="909"/>
      <c r="BF20" s="909"/>
      <c r="BG20" s="909"/>
      <c r="BH20" s="909"/>
      <c r="BI20" s="909"/>
      <c r="BJ20" s="909"/>
      <c r="BK20" s="909"/>
      <c r="BL20" s="909"/>
      <c r="BM20" s="909"/>
      <c r="BN20" s="909"/>
      <c r="BO20" s="909"/>
      <c r="BP20" s="909"/>
      <c r="BQ20" s="909"/>
      <c r="BR20" s="909"/>
      <c r="BS20" s="909"/>
      <c r="BT20" s="909"/>
      <c r="BU20" s="909"/>
      <c r="BV20" s="909"/>
      <c r="BW20" s="909"/>
      <c r="BX20" s="909"/>
      <c r="BY20" s="909"/>
      <c r="BZ20" s="909"/>
      <c r="CA20" s="909"/>
      <c r="CB20" s="909"/>
      <c r="CC20" s="909"/>
      <c r="CD20" s="909"/>
      <c r="CE20" s="909"/>
      <c r="CF20" s="909"/>
      <c r="CG20" s="909"/>
      <c r="CH20" s="909"/>
      <c r="CI20" s="909"/>
      <c r="CL20" s="19">
        <v>3</v>
      </c>
    </row>
    <row r="21" spans="1:93">
      <c r="A21" s="1032" t="s">
        <v>353</v>
      </c>
      <c r="B21" s="1032"/>
      <c r="C21" s="1032"/>
      <c r="D21" s="1032"/>
      <c r="E21" s="1032"/>
      <c r="F21" s="1032"/>
      <c r="G21" s="1032"/>
      <c r="H21" s="1032"/>
      <c r="I21" s="1032"/>
      <c r="J21" s="1032"/>
      <c r="K21" s="1032"/>
      <c r="L21" s="1032"/>
      <c r="M21" s="1032"/>
      <c r="N21" s="1032"/>
      <c r="O21" s="1032"/>
      <c r="P21" s="1032"/>
      <c r="Q21" s="1032"/>
      <c r="R21" s="1032"/>
      <c r="S21" s="1032"/>
      <c r="T21" s="1032"/>
      <c r="U21" s="1032"/>
      <c r="V21" s="1032"/>
      <c r="W21" s="1032"/>
      <c r="X21" s="1032"/>
      <c r="Y21" s="1032"/>
      <c r="Z21" s="1032"/>
      <c r="AA21" s="1032"/>
      <c r="AB21" s="1032"/>
      <c r="AC21" s="1032"/>
      <c r="AD21" s="1032"/>
      <c r="AE21" s="1032"/>
      <c r="AF21" s="1032"/>
      <c r="AG21" s="1032"/>
      <c r="AH21" s="1032"/>
      <c r="AI21" s="1032"/>
      <c r="AJ21" s="1032"/>
      <c r="AK21" s="1032"/>
      <c r="AL21" s="1032"/>
      <c r="AM21" s="1032"/>
      <c r="AN21" s="1032"/>
      <c r="AO21" s="1032"/>
      <c r="AP21" s="1032"/>
      <c r="AQ21" s="1032"/>
      <c r="AR21" s="1032"/>
      <c r="AS21" s="1032"/>
      <c r="AT21" s="103"/>
      <c r="AU21" s="1033">
        <f>IF(F15=0.4,1,3)</f>
        <v>1</v>
      </c>
      <c r="AV21" s="1033"/>
      <c r="AW21" s="1033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033"/>
      <c r="BM21" s="1033"/>
      <c r="BN21" s="1033"/>
      <c r="BO21" s="1033"/>
      <c r="BP21" s="1033"/>
      <c r="BQ21" s="1033"/>
      <c r="BR21" s="1033"/>
      <c r="BS21" s="1033"/>
      <c r="BT21" s="1033"/>
      <c r="BU21" s="1033"/>
      <c r="BV21" s="1033"/>
      <c r="BW21" s="1033"/>
      <c r="BX21" s="1033"/>
      <c r="BY21" s="1033"/>
      <c r="BZ21" s="1033"/>
      <c r="CA21" s="1033"/>
      <c r="CB21" s="1033"/>
      <c r="CC21" s="1033"/>
      <c r="CD21" s="1033"/>
      <c r="CE21" s="1033"/>
      <c r="CF21" s="1033"/>
      <c r="CG21" s="1033"/>
      <c r="CH21" s="1033"/>
      <c r="CI21" s="1033"/>
    </row>
    <row r="22" spans="1:93" s="225" customFormat="1" ht="9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50" t="s">
        <v>354</v>
      </c>
      <c r="AV22" s="750"/>
      <c r="AW22" s="750"/>
      <c r="AX22" s="750"/>
      <c r="AY22" s="750"/>
      <c r="AZ22" s="750"/>
      <c r="BA22" s="750"/>
      <c r="BB22" s="750"/>
      <c r="BC22" s="750"/>
      <c r="BD22" s="750"/>
      <c r="BE22" s="750"/>
      <c r="BF22" s="750"/>
      <c r="BG22" s="750"/>
      <c r="BH22" s="750"/>
      <c r="BI22" s="750"/>
      <c r="BJ22" s="750"/>
      <c r="BK22" s="750"/>
      <c r="BL22" s="750"/>
      <c r="BM22" s="750"/>
      <c r="BN22" s="750"/>
      <c r="BO22" s="750"/>
      <c r="BP22" s="750"/>
      <c r="BQ22" s="750"/>
      <c r="BR22" s="750"/>
      <c r="BS22" s="750"/>
      <c r="BT22" s="750"/>
      <c r="BU22" s="750"/>
      <c r="BV22" s="750"/>
      <c r="BW22" s="750"/>
      <c r="BX22" s="750"/>
      <c r="BY22" s="750"/>
      <c r="BZ22" s="750"/>
      <c r="CA22" s="750"/>
      <c r="CB22" s="750"/>
      <c r="CC22" s="750"/>
      <c r="CD22" s="750"/>
      <c r="CE22" s="750"/>
      <c r="CF22" s="750"/>
      <c r="CG22" s="750"/>
      <c r="CH22" s="750"/>
      <c r="CI22" s="750"/>
      <c r="CO22" s="229"/>
    </row>
    <row r="23" spans="1:93">
      <c r="A23" s="764" t="s">
        <v>617</v>
      </c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1023" t="s">
        <v>734</v>
      </c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1023"/>
      <c r="BK23" s="1023"/>
      <c r="BL23" s="1023"/>
      <c r="BM23" s="764"/>
      <c r="BN23" s="764"/>
      <c r="BO23" s="764"/>
      <c r="BP23" s="764"/>
      <c r="BQ23" s="764"/>
      <c r="BR23" s="764"/>
      <c r="BS23" s="764"/>
      <c r="BT23" s="764"/>
      <c r="BU23" s="764"/>
      <c r="BV23" s="764"/>
      <c r="BW23" s="764"/>
      <c r="BX23" s="764"/>
      <c r="BY23" s="764"/>
      <c r="BZ23" s="764"/>
      <c r="CA23" s="764"/>
      <c r="CB23" s="764"/>
      <c r="CC23" s="764"/>
      <c r="CD23" s="764"/>
      <c r="CE23" s="764"/>
      <c r="CF23" s="764"/>
      <c r="CG23" s="764"/>
      <c r="CH23" s="764"/>
      <c r="CI23" s="764"/>
      <c r="CK23" s="56"/>
      <c r="CL23" s="57"/>
      <c r="CM23" s="57"/>
    </row>
    <row r="24" spans="1:93" s="24" customFormat="1" ht="14">
      <c r="A24" s="764" t="s">
        <v>355</v>
      </c>
      <c r="B24" s="764"/>
      <c r="C24" s="764"/>
      <c r="D24" s="764"/>
      <c r="E24" s="764"/>
      <c r="F24" s="764"/>
      <c r="G24" s="764"/>
      <c r="H24" s="764"/>
      <c r="I24" s="764"/>
      <c r="J24" s="764"/>
      <c r="K24" s="764"/>
      <c r="L24" s="764"/>
      <c r="M24" s="764"/>
      <c r="N24" s="764"/>
      <c r="O24" s="764"/>
      <c r="P24" s="764"/>
      <c r="Q24" s="764"/>
      <c r="R24" s="764"/>
      <c r="S24" s="764"/>
      <c r="T24" s="764"/>
      <c r="U24" s="764"/>
      <c r="V24" s="764"/>
      <c r="W24" s="764"/>
      <c r="X24" s="764"/>
      <c r="Y24" s="764"/>
      <c r="Z24" s="764"/>
      <c r="AA24" s="764"/>
      <c r="AB24" s="764"/>
      <c r="AC24" s="764"/>
      <c r="AD24" s="764"/>
      <c r="AE24" s="764"/>
      <c r="AF24" s="764"/>
      <c r="AG24" s="764"/>
      <c r="AH24" s="764"/>
      <c r="AI24" s="764"/>
      <c r="AJ24" s="764"/>
      <c r="AK24" s="764"/>
      <c r="AL24" s="764"/>
      <c r="AM24" s="764"/>
      <c r="AN24" s="764"/>
      <c r="AO24" s="764"/>
      <c r="AP24" s="764"/>
      <c r="AQ24" s="764"/>
      <c r="AR24" s="764"/>
      <c r="AS24" s="764"/>
      <c r="AT24" s="764"/>
      <c r="AU24" s="764"/>
      <c r="AV24" s="764"/>
      <c r="AW24" s="764"/>
      <c r="AX24" s="764"/>
      <c r="AY24" s="764"/>
      <c r="AZ24" s="764"/>
      <c r="BA24" s="764"/>
      <c r="BB24" s="764"/>
      <c r="BC24" s="764"/>
      <c r="BD24" s="764"/>
      <c r="BE24" s="764"/>
      <c r="BF24" s="764"/>
      <c r="BG24" s="1023" t="s">
        <v>889</v>
      </c>
      <c r="BH24" s="1023"/>
      <c r="BI24" s="1023"/>
      <c r="BJ24" s="1023"/>
      <c r="BK24" s="1023"/>
      <c r="BL24" s="1023"/>
      <c r="BM24" s="1023"/>
      <c r="BN24" s="1023"/>
      <c r="BO24" s="1023"/>
      <c r="BP24" s="1023"/>
      <c r="BQ24" s="1023"/>
      <c r="BR24" s="1023"/>
      <c r="BS24" s="1023"/>
      <c r="BT24" s="1023"/>
      <c r="BU24" s="1023"/>
      <c r="BV24" s="1023"/>
      <c r="BW24" s="1023"/>
      <c r="BX24" s="1023"/>
      <c r="BY24" s="1023"/>
      <c r="BZ24" s="1023"/>
      <c r="CA24" s="1023"/>
      <c r="CB24" s="1023"/>
      <c r="CC24" s="1023"/>
      <c r="CD24" s="1023"/>
      <c r="CE24" s="1023"/>
      <c r="CF24" s="1023"/>
      <c r="CG24" s="1023"/>
      <c r="CH24" s="1023"/>
      <c r="CI24" s="1023"/>
      <c r="CK24" s="56"/>
      <c r="CL24" s="57"/>
      <c r="CM24" s="57"/>
      <c r="CO24" s="141"/>
    </row>
    <row r="25" spans="1:93" ht="14">
      <c r="A25" s="764" t="s">
        <v>356</v>
      </c>
      <c r="B25" s="764"/>
      <c r="C25" s="764"/>
      <c r="D25" s="764"/>
      <c r="E25" s="764"/>
      <c r="F25" s="764"/>
      <c r="G25" s="764"/>
      <c r="H25" s="764"/>
      <c r="I25" s="764"/>
      <c r="J25" s="764"/>
      <c r="K25" s="764"/>
      <c r="L25" s="764"/>
      <c r="M25" s="764"/>
      <c r="N25" s="764"/>
      <c r="O25" s="764"/>
      <c r="P25" s="764"/>
      <c r="Q25" s="764"/>
      <c r="R25" s="764"/>
      <c r="S25" s="764"/>
      <c r="T25" s="764"/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64"/>
      <c r="AI25" s="764"/>
      <c r="AJ25" s="764"/>
      <c r="AK25" s="764"/>
      <c r="AL25" s="764"/>
      <c r="AM25" s="764"/>
      <c r="AN25" s="764"/>
      <c r="AO25" s="764"/>
      <c r="AP25" s="764"/>
      <c r="AQ25" s="764"/>
      <c r="AR25" s="764"/>
      <c r="AS25" s="764"/>
      <c r="AT25" s="764"/>
      <c r="AU25" s="764"/>
      <c r="AV25" s="764"/>
      <c r="AW25" s="764"/>
      <c r="AX25" s="764"/>
      <c r="AY25" s="764"/>
      <c r="AZ25" s="764"/>
      <c r="BA25" s="764"/>
      <c r="BB25" s="764"/>
      <c r="BC25" s="764"/>
      <c r="BD25" s="764"/>
      <c r="BE25" s="764"/>
      <c r="BF25" s="764"/>
      <c r="BG25" s="764"/>
      <c r="BH25" s="764"/>
      <c r="BI25" s="764"/>
      <c r="BJ25" s="764"/>
      <c r="BK25" s="764"/>
      <c r="BL25" s="764"/>
      <c r="BM25" s="764"/>
      <c r="BN25" s="764"/>
      <c r="BO25" s="764"/>
      <c r="BP25" s="764"/>
      <c r="BQ25" s="764"/>
      <c r="BR25" s="764"/>
      <c r="BS25" s="764"/>
      <c r="BT25" s="764"/>
      <c r="BU25" s="764"/>
      <c r="BV25" s="764"/>
      <c r="BW25" s="764"/>
      <c r="BX25" s="764"/>
      <c r="BY25" s="764"/>
      <c r="BZ25" s="764"/>
      <c r="CA25" s="764"/>
      <c r="CB25" s="764"/>
      <c r="CC25" s="764"/>
      <c r="CD25" s="764"/>
      <c r="CE25" s="764"/>
      <c r="CF25" s="764"/>
      <c r="CG25" s="764"/>
      <c r="CH25" s="764"/>
      <c r="CI25" s="764"/>
      <c r="CK25" s="56"/>
      <c r="CL25" s="57"/>
      <c r="CM25" s="57"/>
      <c r="CO25" s="141"/>
    </row>
    <row r="26" spans="1:93">
      <c r="A26" s="764" t="s">
        <v>357</v>
      </c>
      <c r="B26" s="764"/>
      <c r="C26" s="764"/>
      <c r="D26" s="764"/>
      <c r="E26" s="764"/>
      <c r="F26" s="764"/>
      <c r="G26" s="764"/>
      <c r="H26" s="764"/>
      <c r="I26" s="764"/>
      <c r="J26" s="764"/>
      <c r="K26" s="764"/>
      <c r="L26" s="764"/>
      <c r="M26" s="764"/>
      <c r="N26" s="764"/>
      <c r="O26" s="764"/>
      <c r="P26" s="764"/>
      <c r="Q26" s="764"/>
      <c r="R26" s="764"/>
      <c r="S26" s="764"/>
      <c r="T26" s="764"/>
      <c r="U26" s="764"/>
      <c r="V26" s="764"/>
      <c r="W26" s="764"/>
      <c r="X26" s="764"/>
      <c r="Y26" s="764"/>
      <c r="Z26" s="764"/>
      <c r="AA26" s="764"/>
      <c r="AB26" s="764"/>
      <c r="AC26" s="764"/>
      <c r="AD26" s="764"/>
      <c r="AE26" s="764"/>
      <c r="AF26" s="764"/>
      <c r="AG26" s="764"/>
      <c r="AH26" s="764"/>
      <c r="AI26" s="764"/>
      <c r="AJ26" s="764"/>
      <c r="AK26" s="764"/>
      <c r="AL26" s="764"/>
      <c r="AM26" s="764"/>
      <c r="AN26" s="764"/>
      <c r="AO26" s="764"/>
      <c r="AP26" s="764"/>
      <c r="AQ26" s="764"/>
      <c r="AR26" s="764"/>
      <c r="AS26" s="764"/>
      <c r="AT26" s="764"/>
      <c r="AU26" s="764"/>
      <c r="AV26" s="764"/>
      <c r="AW26" s="764"/>
      <c r="AX26" s="764"/>
      <c r="AY26" s="764"/>
      <c r="AZ26" s="764"/>
      <c r="BA26" s="764"/>
      <c r="BB26" s="764"/>
      <c r="BC26" s="764"/>
      <c r="BD26" s="764"/>
      <c r="BE26" s="764"/>
      <c r="BF26" s="764"/>
      <c r="BG26" s="764"/>
      <c r="BH26" s="764"/>
      <c r="BI26" s="764"/>
      <c r="BJ26" s="764"/>
      <c r="BK26" s="764"/>
      <c r="BL26" s="764"/>
      <c r="BM26" s="764"/>
      <c r="BN26" s="764"/>
      <c r="BO26" s="764"/>
      <c r="BP26" s="764"/>
      <c r="BQ26" s="764"/>
      <c r="BR26" s="764"/>
      <c r="BS26" s="764"/>
      <c r="BT26" s="764"/>
      <c r="BU26" s="764"/>
      <c r="BV26" s="764"/>
      <c r="BW26" s="764"/>
      <c r="BX26" s="764"/>
      <c r="BY26" s="764"/>
      <c r="BZ26" s="764"/>
      <c r="CA26" s="764"/>
      <c r="CB26" s="764"/>
      <c r="CC26" s="764"/>
      <c r="CD26" s="764"/>
      <c r="CE26" s="764"/>
      <c r="CF26" s="764"/>
      <c r="CG26" s="764"/>
      <c r="CH26" s="764"/>
      <c r="CI26" s="764"/>
      <c r="CK26" s="56"/>
      <c r="CL26" s="57"/>
      <c r="CM26" s="57"/>
    </row>
    <row r="27" spans="1:93" ht="14">
      <c r="A27" s="19" t="s">
        <v>358</v>
      </c>
      <c r="O27" s="1023" t="str">
        <f>CONCATENATE(CL27," и ",CM27)</f>
        <v>12,5 и 5,5</v>
      </c>
      <c r="P27" s="1023"/>
      <c r="Q27" s="1023"/>
      <c r="R27" s="1023"/>
      <c r="S27" s="1023"/>
      <c r="T27" s="1023"/>
      <c r="U27" s="1023"/>
      <c r="V27" s="1023"/>
      <c r="W27" s="1023"/>
      <c r="X27" s="1023"/>
      <c r="Y27" s="1023"/>
      <c r="Z27" s="1023"/>
      <c r="AA27" s="1023"/>
      <c r="AB27" s="1023"/>
      <c r="AC27" s="764" t="s">
        <v>193</v>
      </c>
      <c r="AD27" s="764"/>
      <c r="AE27" s="764"/>
      <c r="AF27" s="764"/>
      <c r="AG27" s="764"/>
      <c r="AH27" s="764"/>
      <c r="AI27" s="764"/>
      <c r="AJ27" s="764"/>
      <c r="AK27" s="764"/>
      <c r="AL27" s="764"/>
      <c r="AM27" s="764"/>
      <c r="AN27" s="764"/>
      <c r="AO27" s="764"/>
      <c r="AP27" s="764"/>
      <c r="AQ27" s="764"/>
      <c r="AR27" s="764"/>
      <c r="AS27" s="764"/>
      <c r="AT27" s="764"/>
      <c r="AU27" s="764"/>
      <c r="AV27" s="764"/>
      <c r="AW27" s="764"/>
      <c r="AX27" s="764"/>
      <c r="AY27" s="764"/>
      <c r="AZ27" s="764"/>
      <c r="BA27" s="764"/>
      <c r="BB27" s="764"/>
      <c r="BC27" s="764"/>
      <c r="BD27" s="764"/>
      <c r="BE27" s="764"/>
      <c r="BF27" s="764"/>
      <c r="BG27" s="764"/>
      <c r="BH27" s="764"/>
      <c r="BI27" s="764"/>
      <c r="BJ27" s="764"/>
      <c r="BK27" s="764"/>
      <c r="BL27" s="764"/>
      <c r="BM27" s="764"/>
      <c r="BN27" s="764"/>
      <c r="BO27" s="764"/>
      <c r="BP27" s="764"/>
      <c r="BQ27" s="764"/>
      <c r="BR27" s="764"/>
      <c r="BS27" s="764"/>
      <c r="BT27" s="764"/>
      <c r="BU27" s="764"/>
      <c r="BV27" s="764"/>
      <c r="BW27" s="764"/>
      <c r="BX27" s="764"/>
      <c r="BY27" s="764"/>
      <c r="BZ27" s="764"/>
      <c r="CA27" s="764"/>
      <c r="CB27" s="764"/>
      <c r="CC27" s="764"/>
      <c r="CD27" s="764"/>
      <c r="CE27" s="764"/>
      <c r="CF27" s="764"/>
      <c r="CG27" s="764"/>
      <c r="CH27" s="764"/>
      <c r="CI27" s="764"/>
      <c r="CK27" s="56"/>
      <c r="CL27" s="59">
        <v>12.5</v>
      </c>
      <c r="CM27" s="59">
        <v>5.5</v>
      </c>
      <c r="CO27" s="141"/>
    </row>
    <row r="28" spans="1:93">
      <c r="A28" s="1030" t="s">
        <v>359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1" t="s">
        <v>566</v>
      </c>
      <c r="AR28" s="1031"/>
      <c r="AS28" s="1031"/>
      <c r="AT28" s="1031"/>
      <c r="AU28" s="1031"/>
      <c r="AV28" s="1031"/>
      <c r="AW28" s="1031"/>
      <c r="AX28" s="1031"/>
      <c r="AY28" s="1031"/>
      <c r="AZ28" s="1031"/>
      <c r="BA28" s="1031"/>
      <c r="BB28" s="1031"/>
      <c r="BC28" s="1031"/>
      <c r="BD28" s="1031"/>
      <c r="BE28" s="1031"/>
      <c r="BF28" s="1031"/>
      <c r="BG28" s="1031"/>
      <c r="BH28" s="1031"/>
      <c r="BI28" s="1031"/>
      <c r="BJ28" s="1031"/>
      <c r="BK28" s="1031"/>
      <c r="BL28" s="1031"/>
      <c r="BM28" s="1031"/>
      <c r="BN28" s="1031"/>
      <c r="BO28" s="1031"/>
      <c r="BP28" s="1031"/>
      <c r="BQ28" s="1031"/>
      <c r="BR28" s="1031"/>
      <c r="BS28" s="1031"/>
      <c r="BT28" s="1031"/>
      <c r="BU28" s="1031"/>
      <c r="BV28" s="1031"/>
      <c r="BW28" s="1031"/>
      <c r="BX28" s="1031"/>
      <c r="BY28" s="1031"/>
      <c r="BZ28" s="1031"/>
      <c r="CA28" s="1031"/>
      <c r="CB28" s="1031"/>
      <c r="CC28" s="1031"/>
      <c r="CD28" s="1031"/>
      <c r="CE28" s="1031"/>
      <c r="CF28" s="1031"/>
      <c r="CG28" s="1031"/>
      <c r="CH28" s="1031"/>
      <c r="CI28" s="1031"/>
      <c r="CK28" s="56"/>
      <c r="CL28" s="57"/>
      <c r="CM28" s="57"/>
    </row>
    <row r="29" spans="1:93" s="225" customFormat="1" ht="9.5">
      <c r="AQ29" s="749" t="s">
        <v>360</v>
      </c>
      <c r="AR29" s="749"/>
      <c r="AS29" s="749"/>
      <c r="AT29" s="749"/>
      <c r="AU29" s="749"/>
      <c r="AV29" s="749"/>
      <c r="AW29" s="749"/>
      <c r="AX29" s="749"/>
      <c r="AY29" s="749"/>
      <c r="AZ29" s="749"/>
      <c r="BA29" s="749"/>
      <c r="BB29" s="749"/>
      <c r="BC29" s="749"/>
      <c r="BD29" s="749"/>
      <c r="BE29" s="749"/>
      <c r="BF29" s="749"/>
      <c r="BG29" s="749"/>
      <c r="BH29" s="749"/>
      <c r="BI29" s="749"/>
      <c r="BJ29" s="749"/>
      <c r="BK29" s="749"/>
      <c r="BL29" s="749"/>
      <c r="BM29" s="749"/>
      <c r="BN29" s="749"/>
      <c r="BO29" s="749"/>
      <c r="BP29" s="749"/>
      <c r="BQ29" s="749"/>
      <c r="BR29" s="749"/>
      <c r="BS29" s="749"/>
      <c r="BT29" s="749"/>
      <c r="BU29" s="749"/>
      <c r="BV29" s="749"/>
      <c r="BW29" s="749"/>
      <c r="BX29" s="749"/>
      <c r="BY29" s="749"/>
      <c r="BZ29" s="749"/>
      <c r="CA29" s="749"/>
      <c r="CB29" s="749"/>
      <c r="CC29" s="749"/>
      <c r="CD29" s="749"/>
      <c r="CE29" s="749"/>
      <c r="CF29" s="749"/>
      <c r="CG29" s="749"/>
      <c r="CH29" s="749"/>
      <c r="CI29" s="749"/>
      <c r="CK29" s="233"/>
      <c r="CL29" s="234"/>
      <c r="CM29" s="234"/>
      <c r="CO29" s="229"/>
    </row>
    <row r="30" spans="1:93" ht="14">
      <c r="A30" s="1023"/>
      <c r="B30" s="1023"/>
      <c r="C30" s="1023"/>
      <c r="D30" s="1023"/>
      <c r="E30" s="1023"/>
      <c r="F30" s="1023"/>
      <c r="G30" s="1023"/>
      <c r="H30" s="1023"/>
      <c r="I30" s="1023"/>
      <c r="J30" s="1023"/>
      <c r="K30" s="1023"/>
      <c r="L30" s="1023"/>
      <c r="M30" s="1023"/>
      <c r="N30" s="1023"/>
      <c r="O30" s="1023"/>
      <c r="P30" s="1023"/>
      <c r="Q30" s="1023"/>
      <c r="R30" s="1023"/>
      <c r="S30" s="1023"/>
      <c r="T30" s="1023"/>
      <c r="U30" s="1023"/>
      <c r="V30" s="1023"/>
      <c r="W30" s="1023"/>
      <c r="X30" s="1023"/>
      <c r="Y30" s="1023"/>
      <c r="Z30" s="1023"/>
      <c r="AA30" s="1023"/>
      <c r="AB30" s="1023"/>
      <c r="AC30" s="1023"/>
      <c r="AD30" s="1023"/>
      <c r="AE30" s="1023"/>
      <c r="AF30" s="1023"/>
      <c r="AG30" s="1023"/>
      <c r="AH30" s="1023"/>
      <c r="AI30" s="1023"/>
      <c r="AJ30" s="1023"/>
      <c r="AK30" s="1023"/>
      <c r="AL30" s="1023"/>
      <c r="AM30" s="1023"/>
      <c r="AN30" s="1023"/>
      <c r="AO30" s="1023"/>
      <c r="AP30" s="1023"/>
      <c r="AQ30" s="1023"/>
      <c r="AR30" s="1023"/>
      <c r="AS30" s="1023"/>
      <c r="AT30" s="1023"/>
      <c r="AU30" s="1023"/>
      <c r="AV30" s="1023"/>
      <c r="AW30" s="1023"/>
      <c r="AX30" s="1023"/>
      <c r="AY30" s="1023"/>
      <c r="AZ30" s="1023"/>
      <c r="BA30" s="1023"/>
      <c r="BB30" s="1023"/>
      <c r="BC30" s="1023"/>
      <c r="BD30" s="1023"/>
      <c r="BE30" s="1023"/>
      <c r="BF30" s="1023"/>
      <c r="BG30" s="1023"/>
      <c r="BH30" s="1023"/>
      <c r="BI30" s="1023"/>
      <c r="BJ30" s="1023"/>
      <c r="BK30" s="1023"/>
      <c r="BL30" s="1023"/>
      <c r="BM30" s="1023"/>
      <c r="BN30" s="1023"/>
      <c r="BO30" s="1023"/>
      <c r="BP30" s="1023"/>
      <c r="BQ30" s="1023"/>
      <c r="BR30" s="1023"/>
      <c r="BS30" s="1023"/>
      <c r="BT30" s="1023"/>
      <c r="BU30" s="1023"/>
      <c r="BV30" s="1023"/>
      <c r="BW30" s="1023"/>
      <c r="BX30" s="1023"/>
      <c r="BY30" s="1023"/>
      <c r="BZ30" s="1023"/>
      <c r="CA30" s="1023"/>
      <c r="CB30" s="1023"/>
      <c r="CC30" s="1023"/>
      <c r="CD30" s="1023"/>
      <c r="CE30" s="1023"/>
      <c r="CF30" s="1023"/>
      <c r="CG30" s="1023"/>
      <c r="CH30" s="1023"/>
      <c r="CI30" s="1023"/>
      <c r="CK30" s="56"/>
      <c r="CL30" s="57"/>
      <c r="CM30" s="57"/>
      <c r="CO30" s="149"/>
    </row>
    <row r="31" spans="1:93" s="225" customFormat="1" ht="9">
      <c r="A31" s="750" t="s">
        <v>361</v>
      </c>
      <c r="B31" s="750"/>
      <c r="C31" s="750"/>
      <c r="D31" s="750"/>
      <c r="E31" s="750"/>
      <c r="F31" s="750"/>
      <c r="G31" s="750"/>
      <c r="H31" s="750"/>
      <c r="I31" s="750"/>
      <c r="J31" s="750"/>
      <c r="K31" s="750"/>
      <c r="L31" s="750"/>
      <c r="M31" s="750"/>
      <c r="N31" s="750"/>
      <c r="O31" s="750"/>
      <c r="P31" s="750"/>
      <c r="Q31" s="750"/>
      <c r="R31" s="750"/>
      <c r="S31" s="750"/>
      <c r="T31" s="750"/>
      <c r="U31" s="750"/>
      <c r="V31" s="750"/>
      <c r="W31" s="750"/>
      <c r="X31" s="750"/>
      <c r="Y31" s="750"/>
      <c r="Z31" s="750"/>
      <c r="AA31" s="750"/>
      <c r="AB31" s="750"/>
      <c r="AC31" s="750"/>
      <c r="AD31" s="750"/>
      <c r="AE31" s="750"/>
      <c r="AF31" s="750"/>
      <c r="AG31" s="750"/>
      <c r="AH31" s="750"/>
      <c r="AI31" s="750"/>
      <c r="AJ31" s="750"/>
      <c r="AK31" s="750"/>
      <c r="AL31" s="750"/>
      <c r="AM31" s="750"/>
      <c r="AN31" s="750"/>
      <c r="AO31" s="750"/>
      <c r="AP31" s="750"/>
      <c r="AQ31" s="750"/>
      <c r="AR31" s="750"/>
      <c r="AS31" s="750"/>
      <c r="AT31" s="750"/>
      <c r="AU31" s="750"/>
      <c r="AV31" s="750"/>
      <c r="AW31" s="750"/>
      <c r="AX31" s="750"/>
      <c r="AY31" s="750"/>
      <c r="AZ31" s="750"/>
      <c r="BA31" s="750"/>
      <c r="BB31" s="750"/>
      <c r="BC31" s="750"/>
      <c r="BD31" s="750"/>
      <c r="BE31" s="750"/>
      <c r="BF31" s="750"/>
      <c r="BG31" s="750"/>
      <c r="BH31" s="750"/>
      <c r="BI31" s="750"/>
      <c r="BJ31" s="750"/>
      <c r="BK31" s="750"/>
      <c r="BL31" s="750"/>
      <c r="BM31" s="750"/>
      <c r="BN31" s="750"/>
      <c r="BO31" s="750"/>
      <c r="BP31" s="750"/>
      <c r="BQ31" s="750"/>
      <c r="BR31" s="750"/>
      <c r="BS31" s="750"/>
      <c r="BT31" s="750"/>
      <c r="BU31" s="750"/>
      <c r="BV31" s="750"/>
      <c r="BW31" s="750"/>
      <c r="BX31" s="750"/>
      <c r="BY31" s="750"/>
      <c r="BZ31" s="750"/>
      <c r="CA31" s="750"/>
      <c r="CB31" s="750"/>
      <c r="CC31" s="750"/>
      <c r="CD31" s="750"/>
      <c r="CE31" s="750"/>
      <c r="CF31" s="750"/>
      <c r="CG31" s="750"/>
      <c r="CH31" s="750"/>
      <c r="CI31" s="750"/>
      <c r="CO31" s="228"/>
    </row>
    <row r="32" spans="1:93" ht="14.5" customHeight="1">
      <c r="A32" s="764" t="s">
        <v>358</v>
      </c>
      <c r="B32" s="764"/>
      <c r="C32" s="764"/>
      <c r="D32" s="764"/>
      <c r="E32" s="764"/>
      <c r="F32" s="764"/>
      <c r="G32" s="764"/>
      <c r="H32" s="764"/>
      <c r="I32" s="764"/>
      <c r="J32" s="764"/>
      <c r="K32" s="764"/>
      <c r="L32" s="1023" t="str">
        <f ca="1">CONCATENATE(RANDBETWEEN(6,8),".",RANDBETWEEN(0,9.5))</f>
        <v>7.8</v>
      </c>
      <c r="M32" s="1023"/>
      <c r="N32" s="1023"/>
      <c r="O32" s="1023"/>
      <c r="P32" s="1023"/>
      <c r="Q32" s="1023"/>
      <c r="R32" s="1023"/>
      <c r="S32" s="1023"/>
      <c r="T32" s="1023"/>
      <c r="U32" s="1023"/>
      <c r="V32" s="1023"/>
      <c r="W32" s="764" t="s">
        <v>193</v>
      </c>
      <c r="X32" s="764"/>
      <c r="Y32" s="764"/>
      <c r="Z32" s="764"/>
      <c r="AA32" s="764"/>
      <c r="AB32" s="764"/>
      <c r="AC32" s="764"/>
      <c r="AD32" s="764"/>
      <c r="AE32" s="764"/>
      <c r="AF32" s="764"/>
      <c r="AG32" s="764"/>
      <c r="AH32" s="764"/>
      <c r="AI32" s="764"/>
      <c r="AJ32" s="764"/>
      <c r="AK32" s="764"/>
      <c r="AL32" s="764"/>
      <c r="AM32" s="764"/>
      <c r="AN32" s="764"/>
      <c r="AO32" s="764"/>
      <c r="AP32" s="764"/>
      <c r="AQ32" s="764"/>
      <c r="AR32" s="764"/>
      <c r="AS32" s="764"/>
      <c r="AT32" s="764"/>
      <c r="AU32" s="764"/>
      <c r="AV32" s="764"/>
      <c r="AW32" s="764"/>
      <c r="AX32" s="764"/>
      <c r="AY32" s="764"/>
      <c r="AZ32" s="764"/>
      <c r="BA32" s="764"/>
      <c r="BB32" s="764"/>
      <c r="BC32" s="764"/>
      <c r="BD32" s="764"/>
      <c r="BE32" s="764"/>
      <c r="BF32" s="764"/>
      <c r="BG32" s="764"/>
      <c r="BH32" s="764"/>
      <c r="BI32" s="764"/>
      <c r="BJ32" s="764"/>
      <c r="BK32" s="764"/>
      <c r="BL32" s="764"/>
      <c r="BM32" s="764"/>
      <c r="BN32" s="764"/>
      <c r="BO32" s="764"/>
      <c r="BP32" s="764"/>
      <c r="BQ32" s="764"/>
      <c r="BR32" s="764"/>
      <c r="BS32" s="764"/>
      <c r="BT32" s="764"/>
      <c r="BU32" s="764"/>
      <c r="BV32" s="764"/>
      <c r="BW32" s="764"/>
      <c r="BX32" s="764"/>
      <c r="BY32" s="764"/>
      <c r="BZ32" s="764"/>
      <c r="CA32" s="764"/>
      <c r="CB32" s="764"/>
      <c r="CC32" s="764"/>
      <c r="CD32" s="764"/>
      <c r="CE32" s="764"/>
      <c r="CF32" s="764"/>
      <c r="CG32" s="764"/>
      <c r="CH32" s="764"/>
      <c r="CI32" s="764"/>
      <c r="CO32" s="141"/>
    </row>
    <row r="33" spans="1:93" ht="14.5" customHeight="1">
      <c r="A33" s="1019" t="s">
        <v>362</v>
      </c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899">
        <v>4</v>
      </c>
      <c r="BH33" s="899"/>
      <c r="BI33" s="899"/>
      <c r="BJ33" s="899"/>
      <c r="BK33" s="899"/>
      <c r="BL33" s="899"/>
      <c r="BM33" s="899"/>
      <c r="BN33" s="899"/>
      <c r="BO33" s="1029" t="s">
        <v>363</v>
      </c>
      <c r="BP33" s="1029"/>
      <c r="BQ33" s="1029"/>
      <c r="BR33" s="1029"/>
      <c r="BS33" s="1029"/>
      <c r="BT33" s="1029"/>
      <c r="BU33" s="1029"/>
      <c r="BV33" s="1029"/>
      <c r="BW33" s="1029"/>
      <c r="BX33" s="1029"/>
      <c r="BY33" s="1029"/>
      <c r="BZ33" s="1029"/>
      <c r="CA33" s="1029"/>
      <c r="CB33" s="1029"/>
      <c r="CC33" s="1029"/>
      <c r="CD33" s="1029"/>
      <c r="CE33" s="1029"/>
      <c r="CF33" s="1029"/>
      <c r="CG33" s="1029"/>
      <c r="CH33" s="1029"/>
      <c r="CI33" s="1029"/>
    </row>
    <row r="34" spans="1:93" ht="14">
      <c r="A34" s="1027" t="s">
        <v>364</v>
      </c>
      <c r="B34" s="1027"/>
      <c r="C34" s="1027"/>
      <c r="D34" s="1027"/>
      <c r="E34" s="1027"/>
      <c r="F34" s="1027"/>
      <c r="G34" s="1027"/>
      <c r="H34" s="1027"/>
      <c r="I34" s="1027"/>
      <c r="J34" s="1027"/>
      <c r="K34" s="1027"/>
      <c r="L34" s="1027"/>
      <c r="M34" s="1027"/>
      <c r="N34" s="1027"/>
      <c r="O34" s="1027"/>
      <c r="P34" s="1027"/>
      <c r="Q34" s="1027"/>
      <c r="R34" s="1027"/>
      <c r="S34" s="1027"/>
      <c r="T34" s="1027"/>
      <c r="U34" s="1027"/>
      <c r="V34" s="1027"/>
      <c r="W34" s="1027"/>
      <c r="X34" s="1027"/>
      <c r="Y34" s="1027"/>
      <c r="Z34" s="1027"/>
      <c r="AA34" s="1027"/>
      <c r="AB34" s="1027"/>
      <c r="AC34" s="1027"/>
      <c r="AD34" s="1027"/>
      <c r="AE34" s="1027"/>
      <c r="AF34" s="1027"/>
      <c r="AG34" s="1027"/>
      <c r="AH34" s="1027"/>
      <c r="AI34" s="1027"/>
      <c r="AJ34" s="1027"/>
      <c r="AK34" s="1027"/>
      <c r="AL34" s="1027"/>
      <c r="AM34" s="1027"/>
      <c r="AN34" s="1027"/>
      <c r="AO34" s="1027"/>
      <c r="AP34" s="1028"/>
      <c r="AQ34" s="1028"/>
      <c r="AR34" s="1028"/>
      <c r="AS34" s="1028"/>
      <c r="AT34" s="1028"/>
      <c r="AU34" s="1028"/>
      <c r="AV34" s="1028"/>
      <c r="AW34" s="1028"/>
      <c r="AX34" s="1028"/>
      <c r="AY34" s="1028"/>
      <c r="AZ34" s="1028"/>
      <c r="BA34" s="1028"/>
      <c r="BB34" s="1028"/>
      <c r="BC34" s="1028"/>
      <c r="BD34" s="1028"/>
      <c r="BE34" s="1028"/>
      <c r="BF34" s="1028"/>
      <c r="BG34" s="1028"/>
      <c r="BH34" s="1028"/>
      <c r="BI34" s="1028"/>
      <c r="BJ34" s="1028"/>
      <c r="BK34" s="1028"/>
      <c r="BL34" s="1028"/>
      <c r="BM34" s="1028"/>
      <c r="BN34" s="1028"/>
      <c r="BO34" s="1028"/>
      <c r="BP34" s="1028"/>
      <c r="BQ34" s="1028"/>
      <c r="BR34" s="1028"/>
      <c r="BS34" s="1028"/>
      <c r="BT34" s="1028"/>
      <c r="BU34" s="1028"/>
      <c r="BV34" s="1028"/>
      <c r="BW34" s="1028"/>
      <c r="BX34" s="1028"/>
      <c r="BY34" s="1028"/>
      <c r="BZ34" s="1028"/>
      <c r="CA34" s="1028"/>
      <c r="CB34" s="1028"/>
      <c r="CC34" s="1028"/>
      <c r="CD34" s="1028"/>
      <c r="CE34" s="1028"/>
      <c r="CF34" s="1028"/>
      <c r="CG34" s="1028"/>
      <c r="CH34" s="1028"/>
      <c r="CI34" s="1028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26" t="s">
        <v>365</v>
      </c>
      <c r="AQ35" s="1026"/>
      <c r="AR35" s="1026"/>
      <c r="AS35" s="1026"/>
      <c r="AT35" s="1026"/>
      <c r="AU35" s="1026"/>
      <c r="AV35" s="1026"/>
      <c r="AW35" s="1026"/>
      <c r="AX35" s="1026"/>
      <c r="AY35" s="1026"/>
      <c r="AZ35" s="1026"/>
      <c r="BA35" s="1026"/>
      <c r="BB35" s="1026"/>
      <c r="BC35" s="1026"/>
      <c r="BD35" s="1026"/>
      <c r="BE35" s="1026"/>
      <c r="BF35" s="1026"/>
      <c r="BG35" s="1026"/>
      <c r="BH35" s="1026"/>
      <c r="BI35" s="1026"/>
      <c r="BJ35" s="1026"/>
      <c r="BK35" s="1026"/>
      <c r="BL35" s="1026"/>
      <c r="BM35" s="1026"/>
      <c r="BN35" s="1026"/>
      <c r="BO35" s="1026"/>
      <c r="BP35" s="1026"/>
      <c r="BQ35" s="1026"/>
      <c r="BR35" s="1026"/>
      <c r="BS35" s="1026"/>
      <c r="BT35" s="1026"/>
      <c r="BU35" s="1026"/>
      <c r="BV35" s="1026"/>
      <c r="BW35" s="1026"/>
      <c r="BX35" s="1026"/>
      <c r="BY35" s="1026"/>
      <c r="BZ35" s="1026"/>
      <c r="CA35" s="1026"/>
      <c r="CB35" s="1026"/>
      <c r="CC35" s="1026"/>
      <c r="CD35" s="1026"/>
      <c r="CE35" s="1026"/>
      <c r="CF35" s="1026"/>
      <c r="CG35" s="1026"/>
      <c r="CH35" s="1026"/>
      <c r="CI35" s="1026"/>
      <c r="CO35" s="141"/>
    </row>
    <row r="36" spans="1:93" ht="44.25" customHeight="1">
      <c r="A36" s="1025" t="s">
        <v>15</v>
      </c>
      <c r="B36" s="1025"/>
      <c r="C36" s="1025"/>
      <c r="D36" s="1025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  <c r="AA36" s="1025"/>
      <c r="AB36" s="1025"/>
      <c r="AC36" s="1025"/>
      <c r="AD36" s="772" t="str">
        <f>ПОДПИСИ!B6</f>
        <v>Начальник мастерского участка №1 Курортного РЭС ПАО «Россети Ленэнерго» «СЭС»</v>
      </c>
      <c r="AE36" s="772"/>
      <c r="AF36" s="772"/>
      <c r="AG36" s="772"/>
      <c r="AH36" s="772"/>
      <c r="AI36" s="772"/>
      <c r="AJ36" s="772"/>
      <c r="AK36" s="772"/>
      <c r="AL36" s="772"/>
      <c r="AM36" s="772"/>
      <c r="AN36" s="772"/>
      <c r="AO36" s="772"/>
      <c r="AP36" s="772"/>
      <c r="AQ36" s="772"/>
      <c r="AR36" s="772"/>
      <c r="AS36" s="772"/>
      <c r="AT36" s="772"/>
      <c r="AU36" s="772"/>
      <c r="AV36" s="772"/>
      <c r="AW36" s="772"/>
      <c r="AX36" s="772"/>
      <c r="AY36" s="772"/>
      <c r="AZ36" s="772"/>
      <c r="BA36" s="772"/>
      <c r="BB36" s="772"/>
      <c r="BC36" s="772"/>
      <c r="BD36" s="772"/>
      <c r="BE36" s="772"/>
      <c r="BF36" s="772"/>
      <c r="BG36" s="772"/>
      <c r="BH36" s="772"/>
      <c r="BI36" s="772"/>
      <c r="BJ36" s="772"/>
      <c r="BK36" s="772"/>
      <c r="BL36" s="23"/>
      <c r="BM36" s="23"/>
      <c r="BN36" s="23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">
      <c r="AD37" s="750" t="s">
        <v>48</v>
      </c>
      <c r="AE37" s="750"/>
      <c r="AF37" s="750"/>
      <c r="AG37" s="750"/>
      <c r="AH37" s="750"/>
      <c r="AI37" s="750"/>
      <c r="AJ37" s="750"/>
      <c r="AK37" s="750"/>
      <c r="AL37" s="750"/>
      <c r="AM37" s="750"/>
      <c r="AN37" s="750"/>
      <c r="AO37" s="750"/>
      <c r="AP37" s="750"/>
      <c r="AQ37" s="750"/>
      <c r="AR37" s="750"/>
      <c r="AS37" s="750"/>
      <c r="AT37" s="750"/>
      <c r="AU37" s="750"/>
      <c r="AV37" s="750"/>
      <c r="AW37" s="750"/>
      <c r="AX37" s="750"/>
      <c r="AY37" s="750"/>
      <c r="AZ37" s="750"/>
      <c r="BA37" s="750"/>
      <c r="BB37" s="750"/>
      <c r="BC37" s="750"/>
      <c r="BD37" s="750"/>
      <c r="BE37" s="750"/>
      <c r="BF37" s="750"/>
      <c r="BG37" s="750"/>
      <c r="BH37" s="750"/>
      <c r="BI37" s="750"/>
      <c r="BJ37" s="750"/>
      <c r="BK37" s="750"/>
      <c r="BL37" s="227"/>
      <c r="BM37" s="227"/>
      <c r="BN37" s="227"/>
      <c r="BO37" s="750" t="s">
        <v>49</v>
      </c>
      <c r="BP37" s="750"/>
      <c r="BQ37" s="750"/>
      <c r="BR37" s="750"/>
      <c r="BS37" s="750"/>
      <c r="BT37" s="750"/>
      <c r="BU37" s="750"/>
      <c r="BV37" s="750"/>
      <c r="BW37" s="750"/>
      <c r="BX37" s="750"/>
      <c r="BY37" s="750"/>
      <c r="BZ37" s="750"/>
      <c r="CA37" s="750"/>
      <c r="CB37" s="750"/>
      <c r="CC37" s="750"/>
      <c r="CD37" s="75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66" t="s">
        <v>16</v>
      </c>
      <c r="B38" s="766"/>
      <c r="C38" s="766"/>
      <c r="D38" s="766"/>
      <c r="E38" s="766"/>
      <c r="F38" s="766"/>
      <c r="G38" s="766"/>
      <c r="H38" s="766"/>
      <c r="I38" s="766"/>
      <c r="J38" s="766"/>
      <c r="K38" s="766"/>
      <c r="L38" s="766"/>
      <c r="M38" s="766"/>
      <c r="N38" s="766"/>
      <c r="O38" s="766"/>
      <c r="P38" s="766"/>
      <c r="Q38" s="766"/>
      <c r="R38" s="766"/>
      <c r="S38" s="766"/>
      <c r="T38" s="766"/>
      <c r="U38" s="766"/>
      <c r="V38" s="766"/>
      <c r="W38" s="766"/>
      <c r="X38" s="766"/>
      <c r="Y38" s="766"/>
      <c r="Z38" s="766"/>
      <c r="AA38" s="766"/>
      <c r="AB38" s="766"/>
      <c r="AD38" s="772" t="str">
        <f>ПОДПИСИ!B12</f>
        <v xml:space="preserve">Производитель работ ООО«БЭСК» </v>
      </c>
      <c r="AE38" s="772"/>
      <c r="AF38" s="772"/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772"/>
      <c r="BL38" s="23"/>
      <c r="BM38" s="23"/>
      <c r="BN38" s="23"/>
      <c r="BO38" s="758"/>
      <c r="BP38" s="758"/>
      <c r="BQ38" s="758"/>
      <c r="BR38" s="758"/>
      <c r="BS38" s="758"/>
      <c r="BT38" s="758"/>
      <c r="BU38" s="758"/>
      <c r="BV38" s="758"/>
      <c r="BW38" s="758"/>
      <c r="BX38" s="758"/>
      <c r="BY38" s="758"/>
      <c r="BZ38" s="758"/>
      <c r="CA38" s="758"/>
      <c r="CB38" s="758"/>
      <c r="CC38" s="758"/>
      <c r="CD38" s="758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9">
      <c r="AD39" s="749" t="s">
        <v>48</v>
      </c>
      <c r="AE39" s="749"/>
      <c r="AF39" s="749"/>
      <c r="AG39" s="749"/>
      <c r="AH39" s="749"/>
      <c r="AI39" s="749"/>
      <c r="AJ39" s="749"/>
      <c r="AK39" s="749"/>
      <c r="AL39" s="749"/>
      <c r="AM39" s="749"/>
      <c r="AN39" s="749"/>
      <c r="AO39" s="749"/>
      <c r="AP39" s="749"/>
      <c r="AQ39" s="749"/>
      <c r="AR39" s="749"/>
      <c r="AS39" s="749"/>
      <c r="AT39" s="749"/>
      <c r="AU39" s="749"/>
      <c r="AV39" s="749"/>
      <c r="AW39" s="749"/>
      <c r="AX39" s="749"/>
      <c r="AY39" s="749"/>
      <c r="AZ39" s="749"/>
      <c r="BA39" s="749"/>
      <c r="BB39" s="749"/>
      <c r="BC39" s="749"/>
      <c r="BD39" s="749"/>
      <c r="BE39" s="749"/>
      <c r="BF39" s="749"/>
      <c r="BG39" s="749"/>
      <c r="BH39" s="749"/>
      <c r="BI39" s="749"/>
      <c r="BJ39" s="749"/>
      <c r="BK39" s="749"/>
      <c r="BL39" s="227"/>
      <c r="BM39" s="227"/>
      <c r="BN39" s="227"/>
      <c r="BO39" s="750" t="s">
        <v>49</v>
      </c>
      <c r="BP39" s="750"/>
      <c r="BQ39" s="750"/>
      <c r="BR39" s="750"/>
      <c r="BS39" s="750"/>
      <c r="BT39" s="750"/>
      <c r="BU39" s="750"/>
      <c r="BV39" s="750"/>
      <c r="BW39" s="750"/>
      <c r="BX39" s="750"/>
      <c r="BY39" s="750"/>
      <c r="BZ39" s="750"/>
      <c r="CA39" s="750"/>
      <c r="CB39" s="750"/>
      <c r="CC39" s="750"/>
      <c r="CD39" s="75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 ht="14">
      <c r="CO44" s="141"/>
    </row>
    <row r="45" spans="1:93" ht="14">
      <c r="CO45" s="153"/>
    </row>
    <row r="46" spans="1:93" ht="14">
      <c r="CO46" s="141"/>
    </row>
    <row r="47" spans="1:93" ht="14">
      <c r="CO47" s="152"/>
    </row>
    <row r="48" spans="1:93" ht="14">
      <c r="CO48" s="141"/>
    </row>
    <row r="49" spans="93:93" ht="14">
      <c r="CO49" s="151"/>
    </row>
    <row r="50" spans="93:93" ht="14">
      <c r="CO50" s="141"/>
    </row>
    <row r="51" spans="93:93" ht="14">
      <c r="CO51" s="151"/>
    </row>
    <row r="52" spans="93:93" ht="14">
      <c r="CO52" s="141"/>
    </row>
    <row r="54" spans="93:93" ht="14">
      <c r="CO54" s="141"/>
    </row>
    <row r="56" spans="93:93" ht="14">
      <c r="CO56" s="141"/>
    </row>
    <row r="57" spans="93:93" ht="14">
      <c r="CO57" s="141"/>
    </row>
    <row r="59" spans="93:93" ht="14">
      <c r="CO59" s="141"/>
    </row>
    <row r="60" spans="93:93" ht="14">
      <c r="CO60" s="141"/>
    </row>
    <row r="61" spans="93:93" ht="14">
      <c r="CO61" s="141"/>
    </row>
    <row r="62" spans="93:93" ht="14">
      <c r="CO62" s="141"/>
    </row>
    <row r="63" spans="93:93" ht="14">
      <c r="CO63" s="141"/>
    </row>
    <row r="64" spans="93:93" ht="14">
      <c r="CO64" s="141"/>
    </row>
    <row r="65" spans="93:93" ht="14">
      <c r="CO65" s="141"/>
    </row>
    <row r="66" spans="93:93" ht="14">
      <c r="CO66" s="141"/>
    </row>
    <row r="67" spans="93:93" ht="14">
      <c r="CO67" s="141"/>
    </row>
    <row r="68" spans="93:93" ht="14">
      <c r="CO68" s="141"/>
    </row>
    <row r="69" spans="93:93" ht="14">
      <c r="CO69" s="141"/>
    </row>
    <row r="70" spans="93:93" ht="14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101" priority="3" operator="equal">
      <formula>0</formula>
    </cfRule>
  </conditionalFormatting>
  <conditionalFormatting sqref="AD36:CI38">
    <cfRule type="cellIs" dxfId="100" priority="2" operator="equal">
      <formula>0</formula>
    </cfRule>
  </conditionalFormatting>
  <conditionalFormatting sqref="CO2:CO6">
    <cfRule type="cellIs" dxfId="9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47.8164062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BB2" s="758" t="str">
        <f>ФОРМА!G2</f>
        <v>Санкт-Петербург</v>
      </c>
      <c r="BC2" s="758"/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AV3" s="770"/>
      <c r="AW3" s="21"/>
      <c r="AX3" s="21"/>
      <c r="AY3" s="21"/>
      <c r="AZ3" s="21"/>
      <c r="BA3" s="21"/>
      <c r="BB3" s="770" t="s">
        <v>0</v>
      </c>
      <c r="BC3" s="770"/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AV4" s="758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21"/>
      <c r="AX5" s="21"/>
      <c r="AY5" s="21"/>
      <c r="AZ5" s="21"/>
      <c r="BA5" s="21"/>
      <c r="BB5" s="770" t="s">
        <v>2</v>
      </c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21"/>
      <c r="AX7" s="21"/>
      <c r="AY7" s="21"/>
      <c r="AZ7" s="21"/>
      <c r="BA7" s="21"/>
      <c r="BB7" s="770" t="s">
        <v>38</v>
      </c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AV8" s="758"/>
      <c r="BB8" s="735">
        <f>ФОРМА!B13</f>
        <v>45625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770"/>
      <c r="AW9" s="21"/>
      <c r="AX9" s="21"/>
      <c r="AY9" s="21"/>
      <c r="AZ9" s="21"/>
      <c r="BA9" s="21"/>
      <c r="BB9" s="770" t="s">
        <v>3</v>
      </c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746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946" t="s">
        <v>4</v>
      </c>
      <c r="B12" s="946"/>
      <c r="C12" s="946"/>
      <c r="D12" s="946"/>
      <c r="E12" s="946"/>
      <c r="F12" s="946"/>
      <c r="G12" s="946"/>
      <c r="H12" s="946"/>
      <c r="I12" s="946"/>
      <c r="J12" s="946"/>
      <c r="K12" s="946"/>
      <c r="L12" s="946"/>
      <c r="M12" s="946"/>
      <c r="N12" s="946"/>
      <c r="O12" s="946"/>
      <c r="P12" s="946"/>
      <c r="Q12" s="946"/>
      <c r="R12" s="946"/>
      <c r="S12" s="946"/>
      <c r="T12" s="946"/>
      <c r="U12" s="946"/>
      <c r="V12" s="946"/>
      <c r="W12" s="946"/>
      <c r="X12" s="946"/>
      <c r="Y12" s="946"/>
    </row>
    <row r="13" spans="1:112" ht="30" customHeight="1">
      <c r="A13" s="737" t="s">
        <v>713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1051" t="str">
        <f>ПОДПИСИ!B6</f>
        <v>Начальник мастерского участка №1 Курортного РЭС ПАО «Россети Ленэнерго» «СЭС»</v>
      </c>
      <c r="AF13" s="1051"/>
      <c r="AG13" s="1051"/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36" t="s">
        <v>5</v>
      </c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/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6"/>
      <c r="CH14" s="736"/>
      <c r="CI14" s="736"/>
      <c r="CJ14" s="736"/>
      <c r="CK14" s="736"/>
      <c r="CL14" s="736"/>
      <c r="CM14" s="736"/>
      <c r="CN14" s="736"/>
      <c r="CO14" s="736"/>
      <c r="CP14" s="736"/>
      <c r="CQ14" s="736"/>
      <c r="CR14" s="736"/>
      <c r="CS14" s="736"/>
      <c r="CT14" s="736"/>
      <c r="CU14" s="736"/>
      <c r="CV14" s="736"/>
      <c r="CW14" s="736"/>
      <c r="CX14" s="736"/>
      <c r="CY14" s="736"/>
      <c r="CZ14" s="736"/>
      <c r="DA14" s="736"/>
      <c r="DB14" s="736"/>
    </row>
    <row r="15" spans="1:112" ht="15" customHeight="1">
      <c r="A15" s="759" t="str">
        <f>ПОДПИСИ!C6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66" t="s">
        <v>716</v>
      </c>
      <c r="B17" s="766"/>
      <c r="C17" s="766"/>
      <c r="D17" s="766"/>
      <c r="E17" s="766"/>
      <c r="F17" s="766"/>
      <c r="G17" s="766"/>
      <c r="H17" s="766"/>
      <c r="I17" s="766"/>
      <c r="J17" s="766"/>
      <c r="K17" s="766"/>
      <c r="L17" s="766"/>
      <c r="M17" s="766"/>
      <c r="N17" s="766"/>
      <c r="O17" s="766"/>
      <c r="P17" s="766"/>
      <c r="Q17" s="766"/>
      <c r="R17" s="766"/>
      <c r="S17" s="766"/>
      <c r="T17" s="766"/>
      <c r="U17" s="766"/>
      <c r="V17" s="766"/>
      <c r="W17" s="766"/>
      <c r="X17" s="766"/>
      <c r="Y17" s="766"/>
      <c r="Z17" s="766"/>
      <c r="AA17" s="766"/>
      <c r="AB17" s="766"/>
      <c r="AC17" s="766"/>
      <c r="AD17" s="766"/>
      <c r="AE17" s="766"/>
      <c r="AF17" s="766"/>
      <c r="AG17" s="766"/>
      <c r="AH17" s="766"/>
      <c r="AI17" s="766"/>
      <c r="AJ17" s="766"/>
      <c r="AK17" s="766"/>
      <c r="AL17" s="766"/>
      <c r="AM17" s="766"/>
      <c r="AN17" s="766"/>
      <c r="AO17" s="766"/>
      <c r="AP17" s="766"/>
      <c r="AQ17" s="766"/>
      <c r="AR17" s="766"/>
      <c r="AS17" s="766"/>
      <c r="AT17" s="766"/>
      <c r="AU17" s="766"/>
      <c r="AV17" s="766"/>
      <c r="AW17" s="762" t="str">
        <f>ПОДПИСИ!B12</f>
        <v xml:space="preserve">Производитель работ ООО«БЭСК» </v>
      </c>
      <c r="AX17" s="762"/>
      <c r="AY17" s="762"/>
      <c r="AZ17" s="762"/>
      <c r="BA17" s="762"/>
      <c r="BB17" s="762"/>
      <c r="BC17" s="762"/>
      <c r="BD17" s="762"/>
      <c r="BE17" s="762"/>
      <c r="BF17" s="762"/>
      <c r="BG17" s="762"/>
      <c r="BH17" s="762"/>
      <c r="BI17" s="762"/>
      <c r="BJ17" s="762"/>
      <c r="BK17" s="762"/>
      <c r="BL17" s="762"/>
      <c r="BM17" s="762"/>
      <c r="BN17" s="762"/>
      <c r="BO17" s="762"/>
      <c r="BP17" s="762"/>
      <c r="BQ17" s="762"/>
      <c r="BR17" s="762"/>
      <c r="BS17" s="762"/>
      <c r="BT17" s="762"/>
      <c r="BU17" s="762"/>
      <c r="BV17" s="762"/>
      <c r="BW17" s="762"/>
      <c r="BX17" s="762"/>
      <c r="BY17" s="762"/>
      <c r="BZ17" s="762"/>
      <c r="CA17" s="762"/>
      <c r="CB17" s="762"/>
      <c r="CC17" s="762"/>
      <c r="CD17" s="762"/>
      <c r="CE17" s="762"/>
      <c r="CF17" s="762"/>
      <c r="CG17" s="762"/>
      <c r="CH17" s="762"/>
      <c r="CI17" s="762"/>
      <c r="CJ17" s="762"/>
      <c r="CK17" s="762"/>
      <c r="CL17" s="762"/>
      <c r="CM17" s="762"/>
      <c r="CN17" s="762"/>
      <c r="CO17" s="762"/>
      <c r="CP17" s="762"/>
      <c r="CQ17" s="762"/>
      <c r="CR17" s="762"/>
      <c r="CS17" s="762"/>
      <c r="CT17" s="762"/>
      <c r="CU17" s="762"/>
      <c r="CV17" s="762"/>
      <c r="CW17" s="762"/>
      <c r="CX17" s="762"/>
      <c r="CY17" s="762"/>
      <c r="CZ17" s="762"/>
      <c r="DA17" s="762"/>
      <c r="DB17" s="762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36" t="s">
        <v>5</v>
      </c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12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ht="11.15" customHeight="1">
      <c r="A20" s="736"/>
      <c r="B20" s="736"/>
      <c r="C20" s="736"/>
      <c r="D20" s="736"/>
      <c r="E20" s="736"/>
      <c r="F20" s="736"/>
      <c r="G20" s="736"/>
      <c r="H20" s="736"/>
      <c r="I20" s="736"/>
      <c r="J20" s="736"/>
      <c r="K20" s="736"/>
      <c r="L20" s="736"/>
      <c r="M20" s="736"/>
      <c r="N20" s="736"/>
      <c r="O20" s="736"/>
      <c r="P20" s="736"/>
      <c r="Q20" s="736"/>
      <c r="R20" s="736"/>
      <c r="S20" s="736"/>
      <c r="T20" s="736"/>
      <c r="U20" s="736"/>
      <c r="V20" s="736"/>
      <c r="W20" s="736"/>
      <c r="X20" s="736"/>
      <c r="Y20" s="736"/>
      <c r="Z20" s="736"/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6"/>
      <c r="AR20" s="736"/>
      <c r="AS20" s="736"/>
      <c r="AT20" s="736"/>
      <c r="AU20" s="736"/>
      <c r="AV20" s="736"/>
      <c r="AW20" s="736"/>
      <c r="AX20" s="736"/>
      <c r="AY20" s="736"/>
      <c r="AZ20" s="736"/>
      <c r="BA20" s="736"/>
      <c r="BB20" s="736"/>
      <c r="BC20" s="736"/>
      <c r="BD20" s="736"/>
      <c r="BE20" s="736"/>
      <c r="BF20" s="736"/>
      <c r="BG20" s="736"/>
      <c r="BH20" s="736"/>
      <c r="BI20" s="736"/>
      <c r="BJ20" s="736"/>
      <c r="BK20" s="736"/>
      <c r="BL20" s="736"/>
      <c r="BM20" s="736"/>
      <c r="BN20" s="736"/>
      <c r="BO20" s="736"/>
      <c r="BP20" s="736"/>
      <c r="BQ20" s="736"/>
      <c r="BR20" s="736"/>
      <c r="BS20" s="736"/>
      <c r="BT20" s="736"/>
      <c r="BU20" s="736"/>
      <c r="BV20" s="736"/>
      <c r="BW20" s="736"/>
      <c r="BX20" s="736"/>
      <c r="BY20" s="736"/>
      <c r="BZ20" s="736"/>
      <c r="CA20" s="736"/>
      <c r="CB20" s="736"/>
      <c r="CC20" s="736"/>
      <c r="CD20" s="736"/>
      <c r="CE20" s="736"/>
      <c r="CF20" s="736"/>
      <c r="CG20" s="736"/>
      <c r="CH20" s="736"/>
      <c r="CI20" s="736"/>
      <c r="CJ20" s="736"/>
      <c r="CK20" s="736"/>
      <c r="CL20" s="736"/>
      <c r="CM20" s="736"/>
      <c r="CN20" s="736"/>
      <c r="CO20" s="736"/>
      <c r="CP20" s="736"/>
      <c r="CQ20" s="736"/>
      <c r="CR20" s="736"/>
      <c r="CS20" s="736"/>
      <c r="CT20" s="736"/>
      <c r="CU20" s="736"/>
      <c r="CV20" s="736"/>
      <c r="CW20" s="736"/>
      <c r="CX20" s="736"/>
      <c r="CY20" s="736"/>
      <c r="CZ20" s="736"/>
      <c r="DA20" s="736"/>
      <c r="DB20" s="736"/>
    </row>
    <row r="21" spans="1:112">
      <c r="A21" s="19" t="s">
        <v>223</v>
      </c>
    </row>
    <row r="22" spans="1:112">
      <c r="A22" s="19" t="s">
        <v>224</v>
      </c>
    </row>
    <row r="23" spans="1:112">
      <c r="A23" s="764" t="s">
        <v>225</v>
      </c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64"/>
      <c r="Y23" s="764"/>
      <c r="Z23" s="764"/>
      <c r="AA23" s="764"/>
      <c r="AB23" s="764"/>
      <c r="AC23" s="764"/>
      <c r="AD23" s="764"/>
      <c r="AE23" s="764"/>
      <c r="AF23" s="764"/>
      <c r="AG23" s="764"/>
      <c r="AH23" s="764"/>
      <c r="AI23" s="764"/>
      <c r="AJ23" s="764"/>
      <c r="AK23" s="764"/>
      <c r="AL23" s="764"/>
      <c r="AM23" s="764"/>
      <c r="AN23" s="764"/>
      <c r="AO23" s="764"/>
      <c r="AP23" s="764"/>
      <c r="AQ23" s="764"/>
      <c r="AR23" s="764"/>
      <c r="AS23" s="764"/>
      <c r="AT23" s="764"/>
      <c r="AU23" s="764"/>
      <c r="AV23" s="764"/>
      <c r="AW23" s="764"/>
      <c r="AX23" s="764"/>
      <c r="AY23" s="764"/>
      <c r="AZ23" s="764"/>
      <c r="BA23" s="764"/>
      <c r="BB23" s="764"/>
      <c r="BC23" s="764"/>
      <c r="BD23" s="764"/>
      <c r="BE23" s="764"/>
      <c r="BF23" s="764"/>
      <c r="BG23" s="764"/>
      <c r="BH23" s="764"/>
      <c r="BI23" s="764"/>
      <c r="BJ23" s="764"/>
      <c r="BK23" s="764"/>
      <c r="BL23" s="764"/>
      <c r="BM23" s="764"/>
      <c r="BN23" s="764"/>
      <c r="BO23" s="764"/>
      <c r="BP23" s="764"/>
      <c r="BQ23" s="764"/>
      <c r="BR23" s="764"/>
      <c r="BS23" s="764"/>
      <c r="BT23" s="764"/>
      <c r="BU23" s="764"/>
      <c r="BV23" s="764"/>
      <c r="BW23" s="764"/>
      <c r="BX23" s="764"/>
      <c r="BY23" s="764"/>
      <c r="BZ23" s="764"/>
      <c r="CA23" s="764"/>
      <c r="CB23" s="764"/>
      <c r="CC23" s="764"/>
      <c r="CD23" s="764"/>
      <c r="CE23" s="764"/>
      <c r="CF23" s="764"/>
      <c r="CG23" s="764"/>
      <c r="CH23" s="764"/>
      <c r="CI23" s="764"/>
      <c r="CJ23" s="764"/>
      <c r="CK23" s="764"/>
      <c r="CL23" s="764"/>
      <c r="CM23" s="764"/>
      <c r="CN23" s="764"/>
      <c r="CO23" s="764"/>
      <c r="CP23" s="764"/>
      <c r="CQ23" s="764"/>
      <c r="CR23" s="764"/>
      <c r="CS23" s="764"/>
      <c r="CT23" s="764"/>
      <c r="CU23" s="764"/>
      <c r="CV23" s="764"/>
      <c r="CW23" s="764"/>
      <c r="CX23" s="764"/>
      <c r="CY23" s="764"/>
      <c r="CZ23" s="764"/>
      <c r="DA23" s="764"/>
      <c r="DB23" s="764"/>
    </row>
    <row r="24" spans="1:112" ht="37.9" customHeight="1">
      <c r="A24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20"/>
      <c r="C24" s="820"/>
      <c r="D24" s="820"/>
      <c r="E24" s="820"/>
      <c r="F24" s="820"/>
      <c r="G24" s="820"/>
      <c r="H24" s="820"/>
      <c r="I24" s="820"/>
      <c r="J24" s="820"/>
      <c r="K24" s="820"/>
      <c r="L24" s="820"/>
      <c r="M24" s="820"/>
      <c r="N24" s="820"/>
      <c r="O24" s="820"/>
      <c r="P24" s="820"/>
      <c r="Q24" s="820"/>
      <c r="R24" s="820"/>
      <c r="S24" s="820"/>
      <c r="T24" s="820"/>
      <c r="U24" s="820"/>
      <c r="V24" s="820"/>
      <c r="W24" s="820"/>
      <c r="X24" s="820"/>
      <c r="Y24" s="820"/>
      <c r="Z24" s="820"/>
      <c r="AA24" s="820"/>
      <c r="AB24" s="820"/>
      <c r="AC24" s="820"/>
      <c r="AD24" s="820"/>
      <c r="AE24" s="820"/>
      <c r="AF24" s="820"/>
      <c r="AG24" s="820"/>
      <c r="AH24" s="820"/>
      <c r="AI24" s="820"/>
      <c r="AJ24" s="820"/>
      <c r="AK24" s="820"/>
      <c r="AL24" s="820"/>
      <c r="AM24" s="820"/>
      <c r="AN24" s="820"/>
      <c r="AO24" s="820"/>
      <c r="AP24" s="820"/>
      <c r="AQ24" s="820"/>
      <c r="AR24" s="820"/>
      <c r="AS24" s="820"/>
      <c r="AT24" s="820"/>
      <c r="AU24" s="820"/>
      <c r="AV24" s="820"/>
      <c r="AW24" s="820"/>
      <c r="AX24" s="820"/>
      <c r="AY24" s="820"/>
      <c r="AZ24" s="820"/>
      <c r="BA24" s="820"/>
      <c r="BB24" s="820"/>
      <c r="BC24" s="820"/>
      <c r="BD24" s="820"/>
      <c r="BE24" s="820"/>
      <c r="BF24" s="820"/>
      <c r="BG24" s="820"/>
      <c r="BH24" s="820"/>
      <c r="BI24" s="820"/>
      <c r="BJ24" s="820"/>
      <c r="BK24" s="820"/>
      <c r="BL24" s="820"/>
      <c r="BM24" s="820"/>
      <c r="BN24" s="820"/>
      <c r="BO24" s="820"/>
      <c r="BP24" s="820"/>
      <c r="BQ24" s="820"/>
      <c r="BR24" s="820"/>
      <c r="BS24" s="820"/>
      <c r="BT24" s="820"/>
      <c r="BU24" s="820"/>
      <c r="BV24" s="820"/>
      <c r="BW24" s="820"/>
      <c r="BX24" s="820"/>
      <c r="BY24" s="820"/>
      <c r="BZ24" s="820"/>
      <c r="CA24" s="820"/>
      <c r="CB24" s="820"/>
      <c r="CC24" s="820"/>
      <c r="CD24" s="820"/>
      <c r="CE24" s="820"/>
      <c r="CF24" s="820"/>
      <c r="CG24" s="820"/>
      <c r="CH24" s="820"/>
      <c r="CI24" s="820"/>
      <c r="CJ24" s="820"/>
      <c r="CK24" s="820"/>
      <c r="CL24" s="820"/>
      <c r="CM24" s="820"/>
      <c r="CN24" s="820"/>
      <c r="CO24" s="820"/>
      <c r="CP24" s="820"/>
      <c r="CQ24" s="820"/>
      <c r="CR24" s="820"/>
      <c r="CS24" s="820"/>
      <c r="CT24" s="820"/>
      <c r="CU24" s="820"/>
      <c r="CV24" s="820"/>
      <c r="CW24" s="820"/>
      <c r="CX24" s="820"/>
      <c r="CY24" s="820"/>
      <c r="CZ24" s="820"/>
      <c r="DA24" s="820"/>
      <c r="DB24" s="820"/>
      <c r="DD24" s="56"/>
      <c r="DE24" s="57"/>
      <c r="DF24" s="57"/>
    </row>
    <row r="25" spans="1:112" s="24" customFormat="1">
      <c r="A25" s="1052" t="s">
        <v>226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  <c r="L25" s="1052"/>
      <c r="M25" s="1052"/>
      <c r="N25" s="1052"/>
      <c r="O25" s="1052"/>
      <c r="P25" s="1052"/>
      <c r="Q25" s="1052"/>
      <c r="R25" s="1052"/>
      <c r="S25" s="1052"/>
      <c r="T25" s="1052"/>
      <c r="U25" s="1052"/>
      <c r="V25" s="1052"/>
      <c r="W25" s="1052"/>
      <c r="X25" s="1052"/>
      <c r="Y25" s="1052"/>
      <c r="Z25" s="1052"/>
      <c r="AA25" s="1052"/>
      <c r="AB25" s="1052"/>
      <c r="AC25" s="1052"/>
      <c r="AD25" s="1052"/>
      <c r="AE25" s="1052"/>
      <c r="AF25" s="1052"/>
      <c r="AG25" s="1052"/>
      <c r="AH25" s="1052"/>
      <c r="AI25" s="1052"/>
      <c r="AJ25" s="1052"/>
      <c r="AK25" s="1052"/>
      <c r="AL25" s="1052"/>
      <c r="AM25" s="1052"/>
      <c r="AN25" s="1052"/>
      <c r="AO25" s="1052"/>
      <c r="AP25" s="1052"/>
      <c r="AQ25" s="1052"/>
      <c r="AR25" s="1052"/>
      <c r="AS25" s="1052"/>
      <c r="AT25" s="1052"/>
      <c r="AU25" s="1052"/>
      <c r="AV25" s="1052"/>
      <c r="AW25" s="1052"/>
      <c r="AX25" s="1052"/>
      <c r="AY25" s="1052"/>
      <c r="AZ25" s="1052"/>
      <c r="BA25" s="1052"/>
      <c r="BB25" s="1052"/>
      <c r="BC25" s="1052"/>
      <c r="BD25" s="1052"/>
      <c r="BE25" s="1052"/>
      <c r="BF25" s="1052"/>
      <c r="BG25" s="1052"/>
      <c r="BH25" s="1052"/>
      <c r="BI25" s="1052"/>
      <c r="BJ25" s="1052"/>
      <c r="BK25" s="1052"/>
      <c r="BL25" s="1052"/>
      <c r="BM25" s="1052"/>
      <c r="BN25" s="1052"/>
      <c r="BO25" s="1052"/>
      <c r="BP25" s="1052"/>
      <c r="BQ25" s="1052"/>
      <c r="BR25" s="1052"/>
      <c r="BS25" s="1052"/>
      <c r="BT25" s="1052"/>
      <c r="BU25" s="1052"/>
      <c r="BV25" s="1052"/>
      <c r="BW25" s="1052"/>
      <c r="BX25" s="1052"/>
      <c r="BY25" s="1052"/>
      <c r="BZ25" s="1052"/>
      <c r="CA25" s="1052"/>
      <c r="CB25" s="1052"/>
      <c r="CC25" s="1052"/>
      <c r="CD25" s="1052"/>
      <c r="CE25" s="1052"/>
      <c r="CF25" s="1052"/>
      <c r="CG25" s="1052"/>
      <c r="CH25" s="1052"/>
      <c r="CI25" s="1052"/>
      <c r="CJ25" s="1052"/>
      <c r="CK25" s="1052"/>
      <c r="CL25" s="1052"/>
      <c r="CM25" s="1052"/>
      <c r="CN25" s="1052"/>
      <c r="CO25" s="1052"/>
      <c r="CP25" s="1052"/>
      <c r="CQ25" s="1052"/>
      <c r="CR25" s="1052"/>
      <c r="CS25" s="1052"/>
      <c r="CT25" s="1052"/>
      <c r="CU25" s="1052"/>
      <c r="CV25" s="1052"/>
      <c r="CW25" s="1052"/>
      <c r="CX25" s="1052"/>
      <c r="CY25" s="1052"/>
      <c r="CZ25" s="1052"/>
      <c r="DA25" s="1052"/>
      <c r="DB25" s="1052"/>
      <c r="DD25" s="124"/>
      <c r="DE25" s="125"/>
      <c r="DF25" s="125"/>
      <c r="DH25" s="147"/>
    </row>
    <row r="26" spans="1:112" ht="30" customHeight="1">
      <c r="A26" s="19" t="s">
        <v>227</v>
      </c>
      <c r="Q26" s="758" t="str">
        <f>IF(ФОРМА!B8=0," ",ФОРМА!B8)</f>
        <v>ООО «Строительные энергетические технологии»</v>
      </c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19" t="s">
        <v>228</v>
      </c>
      <c r="BN26" s="1051" t="str">
        <f>IF(ФОРМА!B9=0," ",CONCATENATE("Шифр ",ФОРМА!B9))</f>
        <v>Шифр СЭС-23-32939-ЭС-ТКР2</v>
      </c>
      <c r="BO26" s="1051"/>
      <c r="BP26" s="1051"/>
      <c r="BQ26" s="1051"/>
      <c r="BR26" s="1051"/>
      <c r="BS26" s="1051"/>
      <c r="BT26" s="1051"/>
      <c r="BU26" s="1051"/>
      <c r="BV26" s="1051"/>
      <c r="BW26" s="1051"/>
      <c r="BX26" s="1051"/>
      <c r="BY26" s="1051"/>
      <c r="BZ26" s="1051"/>
      <c r="CA26" s="1051"/>
      <c r="CB26" s="1051"/>
      <c r="CC26" s="1051"/>
      <c r="CD26" s="1051"/>
      <c r="CE26" s="1051"/>
      <c r="CF26" s="1051"/>
      <c r="CG26" s="1051"/>
      <c r="CH26" s="1051"/>
      <c r="CI26" s="1051"/>
      <c r="CJ26" s="1051"/>
      <c r="CK26" s="1051"/>
      <c r="CL26" s="1051"/>
      <c r="CM26" s="1051"/>
      <c r="CN26" s="1051"/>
      <c r="CO26" s="1051"/>
      <c r="CP26" s="1051"/>
      <c r="CQ26" s="1051"/>
      <c r="CR26" s="1051"/>
      <c r="CS26" s="1051"/>
      <c r="CT26" s="1051"/>
      <c r="CU26" s="1051"/>
      <c r="CV26" s="1051"/>
      <c r="CW26" s="1051"/>
      <c r="CX26" s="1051"/>
      <c r="CY26" s="1051"/>
      <c r="CZ26" s="1051"/>
      <c r="DA26" s="1051"/>
      <c r="DB26" s="1051"/>
      <c r="DH26" s="148"/>
    </row>
    <row r="27" spans="1:112" ht="10.5" customHeight="1">
      <c r="Q27" s="736" t="s">
        <v>10</v>
      </c>
      <c r="R27" s="736"/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6"/>
      <c r="AR27" s="736"/>
      <c r="AS27" s="736"/>
      <c r="AT27" s="736"/>
      <c r="AU27" s="736"/>
      <c r="AV27" s="736"/>
      <c r="AW27" s="736"/>
      <c r="AX27" s="736"/>
      <c r="AY27" s="736"/>
      <c r="BN27" s="736" t="s">
        <v>229</v>
      </c>
      <c r="BO27" s="736"/>
      <c r="BP27" s="736"/>
      <c r="BQ27" s="736"/>
      <c r="BR27" s="736"/>
      <c r="BS27" s="736"/>
      <c r="BT27" s="736"/>
      <c r="BU27" s="736"/>
      <c r="BV27" s="736"/>
      <c r="BW27" s="736"/>
      <c r="BX27" s="736"/>
      <c r="BY27" s="736"/>
      <c r="BZ27" s="736"/>
      <c r="CA27" s="736"/>
      <c r="CB27" s="736"/>
      <c r="CC27" s="736"/>
      <c r="CD27" s="736"/>
      <c r="CE27" s="736"/>
      <c r="CF27" s="736"/>
      <c r="CG27" s="736"/>
      <c r="CH27" s="736"/>
      <c r="CI27" s="736"/>
      <c r="CJ27" s="736"/>
      <c r="CK27" s="736"/>
      <c r="CL27" s="736"/>
      <c r="CM27" s="736"/>
      <c r="CN27" s="736"/>
      <c r="CO27" s="736"/>
      <c r="CP27" s="736"/>
      <c r="CQ27" s="736"/>
      <c r="CR27" s="736"/>
      <c r="CS27" s="736"/>
      <c r="CT27" s="736"/>
      <c r="CU27" s="736"/>
      <c r="CV27" s="736"/>
      <c r="CW27" s="736"/>
      <c r="CX27" s="736"/>
      <c r="CY27" s="736"/>
      <c r="CZ27" s="736"/>
      <c r="DA27" s="736"/>
      <c r="DB27" s="736"/>
    </row>
    <row r="28" spans="1:112" ht="15" customHeight="1">
      <c r="A28" s="19" t="s">
        <v>230</v>
      </c>
      <c r="AB28" s="759" t="s">
        <v>392</v>
      </c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759"/>
      <c r="BB28" s="759"/>
      <c r="BC28" s="759"/>
      <c r="BD28" s="759"/>
      <c r="BE28" s="759"/>
      <c r="BF28" s="759"/>
      <c r="BG28" s="759"/>
      <c r="BH28" s="759"/>
      <c r="BI28" s="759"/>
      <c r="BJ28" s="759"/>
      <c r="BK28" s="759"/>
      <c r="BL28" s="759"/>
      <c r="BM28" s="759"/>
      <c r="BN28" s="759"/>
      <c r="BO28" s="759"/>
      <c r="BP28" s="759"/>
      <c r="BQ28" s="759"/>
      <c r="BR28" s="759"/>
      <c r="BS28" s="759"/>
      <c r="BT28" s="759"/>
      <c r="BU28" s="759"/>
      <c r="BV28" s="759"/>
      <c r="BW28" s="759"/>
      <c r="BX28" s="759"/>
      <c r="BY28" s="759"/>
      <c r="BZ28" s="759"/>
      <c r="CA28" s="759"/>
      <c r="CB28" s="759"/>
      <c r="CC28" s="759"/>
      <c r="CD28" s="759"/>
      <c r="CE28" s="759"/>
      <c r="CF28" s="759"/>
      <c r="CG28" s="759"/>
      <c r="CH28" s="759"/>
      <c r="CI28" s="759"/>
      <c r="CJ28" s="759"/>
      <c r="CK28" s="759"/>
      <c r="CL28" s="759"/>
      <c r="CM28" s="759"/>
      <c r="CN28" s="759"/>
      <c r="CO28" s="759"/>
      <c r="CP28" s="759"/>
      <c r="CQ28" s="759"/>
      <c r="CR28" s="759"/>
      <c r="CS28" s="759"/>
      <c r="CT28" s="759"/>
      <c r="CU28" s="759"/>
      <c r="CV28" s="759"/>
      <c r="CW28" s="759"/>
      <c r="CX28" s="759"/>
      <c r="CY28" s="759"/>
      <c r="CZ28" s="759"/>
      <c r="DA28" s="759"/>
      <c r="DB28" s="759"/>
    </row>
    <row r="29" spans="1:112" ht="15" customHeight="1">
      <c r="A29" s="19" t="s">
        <v>231</v>
      </c>
      <c r="P29" s="758" t="s">
        <v>65</v>
      </c>
      <c r="Q29" s="758"/>
      <c r="R29" s="758"/>
      <c r="S29" s="758"/>
      <c r="T29" s="758"/>
      <c r="U29" s="758"/>
      <c r="V29" s="758"/>
      <c r="W29" s="758"/>
      <c r="X29" s="758"/>
      <c r="Y29" s="758"/>
      <c r="Z29" s="758"/>
      <c r="AA29" s="758"/>
      <c r="AB29" s="758"/>
      <c r="AC29" s="758"/>
      <c r="AD29" s="758"/>
      <c r="AE29" s="758"/>
      <c r="AF29" s="758"/>
      <c r="AG29" s="758"/>
      <c r="AH29" s="758"/>
      <c r="AI29" s="758"/>
      <c r="AJ29" s="758"/>
      <c r="AK29" s="758"/>
      <c r="AL29" s="758"/>
      <c r="AM29" s="758"/>
      <c r="AN29" s="758"/>
      <c r="AO29" s="758"/>
      <c r="AP29" s="758"/>
      <c r="AQ29" s="758"/>
      <c r="AR29" s="758"/>
      <c r="AS29" s="758"/>
      <c r="AT29" s="758"/>
      <c r="AU29" s="758"/>
      <c r="AV29" s="758"/>
      <c r="AW29" s="758"/>
      <c r="AX29" s="758"/>
      <c r="AY29" s="758"/>
      <c r="AZ29" s="758"/>
      <c r="BA29" s="758"/>
      <c r="BB29" s="758"/>
      <c r="BC29" s="758"/>
      <c r="BD29" s="758"/>
      <c r="BE29" s="758"/>
      <c r="BF29" s="758"/>
      <c r="BG29" s="758"/>
      <c r="BH29" s="758"/>
      <c r="BI29" s="758"/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758"/>
      <c r="CH29" s="758"/>
      <c r="CI29" s="758"/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</row>
    <row r="30" spans="1:112" ht="11.25" customHeight="1">
      <c r="P30" s="736" t="s">
        <v>233</v>
      </c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</row>
    <row r="31" spans="1:112" ht="15" customHeight="1">
      <c r="A31" s="19" t="s">
        <v>232</v>
      </c>
      <c r="W31" s="758" t="s">
        <v>65</v>
      </c>
      <c r="X31" s="758"/>
      <c r="Y31" s="758"/>
      <c r="Z31" s="758"/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8"/>
      <c r="AQ31" s="758"/>
      <c r="AR31" s="758"/>
      <c r="AS31" s="758"/>
      <c r="AT31" s="758"/>
      <c r="AU31" s="758"/>
      <c r="AV31" s="758"/>
      <c r="AW31" s="758"/>
      <c r="AX31" s="758"/>
      <c r="AY31" s="758"/>
      <c r="AZ31" s="758"/>
      <c r="BA31" s="758"/>
      <c r="BB31" s="758"/>
      <c r="BC31" s="758"/>
      <c r="BD31" s="758"/>
      <c r="BE31" s="758"/>
      <c r="BF31" s="758"/>
      <c r="BG31" s="758"/>
      <c r="BH31" s="758"/>
      <c r="BI31" s="758"/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758"/>
      <c r="CH31" s="758"/>
      <c r="CI31" s="758"/>
      <c r="CJ31" s="758"/>
      <c r="CK31" s="758"/>
      <c r="CL31" s="758"/>
      <c r="CM31" s="758"/>
      <c r="CN31" s="758"/>
      <c r="CO31" s="758"/>
      <c r="CP31" s="758"/>
      <c r="CQ31" s="758"/>
      <c r="CR31" s="758"/>
      <c r="CS31" s="758"/>
      <c r="CT31" s="758"/>
      <c r="CU31" s="758"/>
      <c r="CV31" s="758"/>
      <c r="CW31" s="758"/>
      <c r="CX31" s="758"/>
      <c r="CY31" s="758"/>
      <c r="CZ31" s="758"/>
      <c r="DA31" s="758"/>
      <c r="DB31" s="758"/>
      <c r="DH31" s="141"/>
    </row>
    <row r="32" spans="1:112" ht="11.25" customHeight="1">
      <c r="W32" s="736" t="s">
        <v>229</v>
      </c>
      <c r="X32" s="736"/>
      <c r="Y32" s="736"/>
      <c r="Z32" s="736"/>
      <c r="AA32" s="736"/>
      <c r="AB32" s="736"/>
      <c r="AC32" s="736"/>
      <c r="AD32" s="736"/>
      <c r="AE32" s="736"/>
      <c r="AF32" s="736"/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6"/>
      <c r="AR32" s="736"/>
      <c r="AS32" s="736"/>
      <c r="AT32" s="736"/>
      <c r="AU32" s="736"/>
      <c r="AV32" s="736"/>
      <c r="AW32" s="736"/>
      <c r="AX32" s="736"/>
      <c r="AY32" s="736"/>
      <c r="AZ32" s="736"/>
      <c r="BA32" s="736"/>
      <c r="BB32" s="736"/>
      <c r="BC32" s="736"/>
      <c r="BD32" s="736"/>
      <c r="BE32" s="736"/>
      <c r="BF32" s="736"/>
      <c r="BG32" s="736"/>
      <c r="BH32" s="736"/>
      <c r="BI32" s="736"/>
      <c r="BJ32" s="736"/>
      <c r="BK32" s="736"/>
      <c r="BL32" s="736"/>
      <c r="BM32" s="736"/>
      <c r="BN32" s="736"/>
      <c r="BO32" s="736"/>
      <c r="BP32" s="736"/>
      <c r="BQ32" s="736"/>
      <c r="BR32" s="736"/>
      <c r="BS32" s="736"/>
      <c r="BT32" s="736"/>
      <c r="BU32" s="736"/>
      <c r="BV32" s="736"/>
      <c r="BW32" s="736"/>
      <c r="BX32" s="736"/>
      <c r="BY32" s="736"/>
      <c r="BZ32" s="736"/>
      <c r="CA32" s="736"/>
      <c r="CB32" s="736"/>
      <c r="CC32" s="736"/>
      <c r="CD32" s="736"/>
      <c r="CE32" s="736"/>
      <c r="CF32" s="736"/>
      <c r="CG32" s="736"/>
      <c r="CH32" s="736"/>
      <c r="CI32" s="736"/>
      <c r="CJ32" s="736"/>
      <c r="CK32" s="736"/>
      <c r="CL32" s="736"/>
      <c r="CM32" s="736"/>
      <c r="CN32" s="736"/>
      <c r="CO32" s="736"/>
      <c r="CP32" s="736"/>
      <c r="CQ32" s="736"/>
      <c r="CR32" s="736"/>
      <c r="CS32" s="736"/>
      <c r="CT32" s="736"/>
      <c r="CU32" s="736"/>
      <c r="CV32" s="736"/>
      <c r="CW32" s="736"/>
      <c r="CX32" s="736"/>
      <c r="CY32" s="736"/>
      <c r="CZ32" s="736"/>
      <c r="DA32" s="736"/>
      <c r="DB32" s="736"/>
      <c r="DH32" s="141"/>
    </row>
    <row r="33" spans="1:112" ht="15" customHeight="1">
      <c r="A33" s="19" t="s">
        <v>234</v>
      </c>
    </row>
    <row r="34" spans="1:112" ht="21.75" customHeight="1">
      <c r="A34" s="1046" t="s">
        <v>236</v>
      </c>
      <c r="B34" s="1046"/>
      <c r="C34" s="1046"/>
      <c r="D34" s="1046"/>
      <c r="E34" s="1046"/>
      <c r="F34" s="1046" t="s">
        <v>235</v>
      </c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237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/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/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 t="s">
        <v>27</v>
      </c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  <c r="DH34" s="141"/>
    </row>
    <row r="35" spans="1:112" ht="27" customHeight="1">
      <c r="A35" s="1046"/>
      <c r="B35" s="1046"/>
      <c r="C35" s="1046"/>
      <c r="D35" s="1046"/>
      <c r="E35" s="1046"/>
      <c r="F35" s="1046"/>
      <c r="G35" s="1046"/>
      <c r="H35" s="1046"/>
      <c r="I35" s="1046"/>
      <c r="J35" s="1046"/>
      <c r="K35" s="1046"/>
      <c r="L35" s="1046"/>
      <c r="M35" s="1046"/>
      <c r="N35" s="1046"/>
      <c r="O35" s="1046"/>
      <c r="P35" s="1046"/>
      <c r="Q35" s="1046"/>
      <c r="R35" s="1046"/>
      <c r="S35" s="1046"/>
      <c r="T35" s="1046"/>
      <c r="U35" s="1046"/>
      <c r="V35" s="1046"/>
      <c r="W35" s="1046"/>
      <c r="X35" s="1046"/>
      <c r="Y35" s="1046"/>
      <c r="Z35" s="1046" t="s">
        <v>238</v>
      </c>
      <c r="AA35" s="1046"/>
      <c r="AB35" s="1046"/>
      <c r="AC35" s="1046"/>
      <c r="AD35" s="1046"/>
      <c r="AE35" s="1046"/>
      <c r="AF35" s="1046"/>
      <c r="AG35" s="1046"/>
      <c r="AH35" s="1046"/>
      <c r="AI35" s="1046"/>
      <c r="AJ35" s="1046"/>
      <c r="AK35" s="1046"/>
      <c r="AL35" s="1046" t="s">
        <v>239</v>
      </c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46" t="s">
        <v>240</v>
      </c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6" t="s">
        <v>241</v>
      </c>
      <c r="BN35" s="1046"/>
      <c r="BO35" s="1046"/>
      <c r="BP35" s="1046"/>
      <c r="BQ35" s="1046"/>
      <c r="BR35" s="1046"/>
      <c r="BS35" s="1046"/>
      <c r="BT35" s="1046"/>
      <c r="BU35" s="1046"/>
      <c r="BV35" s="1046"/>
      <c r="BW35" s="1046"/>
      <c r="BX35" s="1046"/>
      <c r="BY35" s="1046"/>
      <c r="BZ35" s="1046" t="s">
        <v>242</v>
      </c>
      <c r="CA35" s="1046"/>
      <c r="CB35" s="1046"/>
      <c r="CC35" s="1046"/>
      <c r="CD35" s="1046"/>
      <c r="CE35" s="1046"/>
      <c r="CF35" s="1046"/>
      <c r="CG35" s="1046"/>
      <c r="CH35" s="1046"/>
      <c r="CI35" s="1046"/>
      <c r="CJ35" s="1046"/>
      <c r="CK35" s="1046"/>
      <c r="CL35" s="1046"/>
      <c r="CM35" s="1046"/>
      <c r="CN35" s="1046"/>
      <c r="CO35" s="1046"/>
      <c r="CP35" s="1046"/>
      <c r="CQ35" s="1046"/>
      <c r="CR35" s="1046"/>
      <c r="CS35" s="1046"/>
      <c r="CT35" s="1046"/>
      <c r="CU35" s="1046"/>
      <c r="CV35" s="1046"/>
      <c r="CW35" s="1046"/>
      <c r="CX35" s="1046"/>
      <c r="CY35" s="1046"/>
      <c r="CZ35" s="1046"/>
      <c r="DA35" s="1046"/>
      <c r="DB35" s="1046"/>
    </row>
    <row r="36" spans="1:112" ht="27" customHeight="1">
      <c r="A36" s="835">
        <v>1</v>
      </c>
      <c r="B36" s="1040"/>
      <c r="C36" s="1040"/>
      <c r="D36" s="1040"/>
      <c r="E36" s="836"/>
      <c r="F36" s="835" t="s">
        <v>366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836"/>
      <c r="Z36" s="835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836"/>
      <c r="AL36" s="835" t="s">
        <v>371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836"/>
      <c r="AZ36" s="835" t="s">
        <v>890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836"/>
      <c r="BM36" s="1048" t="s">
        <v>891</v>
      </c>
      <c r="BN36" s="1049"/>
      <c r="BO36" s="1049"/>
      <c r="BP36" s="1049"/>
      <c r="BQ36" s="1049"/>
      <c r="BR36" s="1049"/>
      <c r="BS36" s="1049"/>
      <c r="BT36" s="1049"/>
      <c r="BU36" s="1049"/>
      <c r="BV36" s="1049"/>
      <c r="BW36" s="1049"/>
      <c r="BX36" s="1049"/>
      <c r="BY36" s="1050"/>
      <c r="BZ36" s="1037"/>
      <c r="CA36" s="1038"/>
      <c r="CB36" s="1038"/>
      <c r="CC36" s="1038"/>
      <c r="CD36" s="1038"/>
      <c r="CE36" s="1038"/>
      <c r="CF36" s="1038"/>
      <c r="CG36" s="1038"/>
      <c r="CH36" s="1038"/>
      <c r="CI36" s="1038"/>
      <c r="CJ36" s="1038"/>
      <c r="CK36" s="1038"/>
      <c r="CL36" s="1038"/>
      <c r="CM36" s="1038"/>
      <c r="CN36" s="1039"/>
      <c r="CO36" s="835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836"/>
    </row>
    <row r="37" spans="1:112" ht="30.75" customHeight="1">
      <c r="A37" s="835">
        <v>2</v>
      </c>
      <c r="B37" s="1040"/>
      <c r="C37" s="1040"/>
      <c r="D37" s="1040"/>
      <c r="E37" s="836"/>
      <c r="F37" s="1037" t="s">
        <v>367</v>
      </c>
      <c r="G37" s="1038"/>
      <c r="H37" s="1038"/>
      <c r="I37" s="1038"/>
      <c r="J37" s="1038"/>
      <c r="K37" s="1038"/>
      <c r="L37" s="1038"/>
      <c r="M37" s="1038"/>
      <c r="N37" s="1038"/>
      <c r="O37" s="1038"/>
      <c r="P37" s="1038"/>
      <c r="Q37" s="1038"/>
      <c r="R37" s="1038"/>
      <c r="S37" s="1038"/>
      <c r="T37" s="1038"/>
      <c r="U37" s="1038"/>
      <c r="V37" s="1038"/>
      <c r="W37" s="1038"/>
      <c r="X37" s="1038"/>
      <c r="Y37" s="1039"/>
      <c r="Z37" s="1037" t="s">
        <v>368</v>
      </c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9"/>
      <c r="AL37" s="1037" t="s">
        <v>369</v>
      </c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9"/>
      <c r="AZ37" s="835" t="s">
        <v>635</v>
      </c>
      <c r="BA37" s="1040"/>
      <c r="BB37" s="1040"/>
      <c r="BC37" s="1040"/>
      <c r="BD37" s="1040"/>
      <c r="BE37" s="1040"/>
      <c r="BF37" s="1040"/>
      <c r="BG37" s="1040"/>
      <c r="BH37" s="1040"/>
      <c r="BI37" s="1040"/>
      <c r="BJ37" s="1040"/>
      <c r="BK37" s="1040"/>
      <c r="BL37" s="836"/>
      <c r="BM37" s="1048" t="s">
        <v>867</v>
      </c>
      <c r="BN37" s="1049"/>
      <c r="BO37" s="1049"/>
      <c r="BP37" s="1049"/>
      <c r="BQ37" s="1049"/>
      <c r="BR37" s="1049"/>
      <c r="BS37" s="1049"/>
      <c r="BT37" s="1049"/>
      <c r="BU37" s="1049"/>
      <c r="BV37" s="1049"/>
      <c r="BW37" s="1049"/>
      <c r="BX37" s="1049"/>
      <c r="BY37" s="1050"/>
      <c r="BZ37" s="1037">
        <v>0.7</v>
      </c>
      <c r="CA37" s="1038"/>
      <c r="CB37" s="1038"/>
      <c r="CC37" s="1038"/>
      <c r="CD37" s="1038"/>
      <c r="CE37" s="1038"/>
      <c r="CF37" s="1038"/>
      <c r="CG37" s="1038"/>
      <c r="CH37" s="1038"/>
      <c r="CI37" s="1038"/>
      <c r="CJ37" s="1038"/>
      <c r="CK37" s="1038"/>
      <c r="CL37" s="1038"/>
      <c r="CM37" s="1038"/>
      <c r="CN37" s="1039"/>
      <c r="CO37" s="835" t="s">
        <v>370</v>
      </c>
      <c r="CP37" s="1040"/>
      <c r="CQ37" s="1040"/>
      <c r="CR37" s="1040"/>
      <c r="CS37" s="1040"/>
      <c r="CT37" s="1040"/>
      <c r="CU37" s="1040"/>
      <c r="CV37" s="1040"/>
      <c r="CW37" s="1040"/>
      <c r="CX37" s="1040"/>
      <c r="CY37" s="1040"/>
      <c r="CZ37" s="1040"/>
      <c r="DA37" s="1040"/>
      <c r="DB37" s="836"/>
      <c r="DH37" s="149"/>
    </row>
    <row r="38" spans="1:112" ht="29.25" customHeight="1">
      <c r="A38" s="1041">
        <v>3</v>
      </c>
      <c r="B38" s="1041"/>
      <c r="C38" s="1041"/>
      <c r="D38" s="1041"/>
      <c r="E38" s="1041"/>
      <c r="F38" s="1042" t="s">
        <v>560</v>
      </c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 t="s">
        <v>368</v>
      </c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 t="s">
        <v>561</v>
      </c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1" t="s">
        <v>559</v>
      </c>
      <c r="BA38" s="1041"/>
      <c r="BB38" s="1041"/>
      <c r="BC38" s="1041"/>
      <c r="BD38" s="1041"/>
      <c r="BE38" s="1041"/>
      <c r="BF38" s="1041"/>
      <c r="BG38" s="1041"/>
      <c r="BH38" s="1041"/>
      <c r="BI38" s="1041"/>
      <c r="BJ38" s="1041"/>
      <c r="BK38" s="1041"/>
      <c r="BL38" s="1041"/>
      <c r="BM38" s="1047" t="s">
        <v>866</v>
      </c>
      <c r="BN38" s="1047"/>
      <c r="BO38" s="1047"/>
      <c r="BP38" s="1047"/>
      <c r="BQ38" s="1047"/>
      <c r="BR38" s="1047"/>
      <c r="BS38" s="1047"/>
      <c r="BT38" s="1047"/>
      <c r="BU38" s="1047"/>
      <c r="BV38" s="1047"/>
      <c r="BW38" s="1047"/>
      <c r="BX38" s="1047"/>
      <c r="BY38" s="1047"/>
      <c r="BZ38" s="1042" t="s">
        <v>64</v>
      </c>
      <c r="CA38" s="1042"/>
      <c r="CB38" s="1042"/>
      <c r="CC38" s="1042"/>
      <c r="CD38" s="1042"/>
      <c r="CE38" s="1042"/>
      <c r="CF38" s="1042"/>
      <c r="CG38" s="1042"/>
      <c r="CH38" s="1042"/>
      <c r="CI38" s="1042"/>
      <c r="CJ38" s="1042"/>
      <c r="CK38" s="1042"/>
      <c r="CL38" s="1042"/>
      <c r="CM38" s="1042"/>
      <c r="CN38" s="1042"/>
      <c r="CO38" s="1041" t="s">
        <v>370</v>
      </c>
      <c r="CP38" s="1041"/>
      <c r="CQ38" s="1041"/>
      <c r="CR38" s="1041"/>
      <c r="CS38" s="1041"/>
      <c r="CT38" s="1041"/>
      <c r="CU38" s="1041"/>
      <c r="CV38" s="1041"/>
      <c r="CW38" s="1041"/>
      <c r="CX38" s="1041"/>
      <c r="CY38" s="1041"/>
      <c r="CZ38" s="1041"/>
      <c r="DA38" s="1041"/>
      <c r="DB38" s="1041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59" t="s">
        <v>404</v>
      </c>
      <c r="AS40" s="759"/>
      <c r="AT40" s="759"/>
      <c r="AU40" s="759"/>
      <c r="AV40" s="759"/>
      <c r="AW40" s="759"/>
      <c r="AX40" s="759"/>
      <c r="AY40" s="759"/>
      <c r="AZ40" s="759"/>
      <c r="BA40" s="759"/>
      <c r="BB40" s="759"/>
      <c r="BC40" s="759"/>
      <c r="BD40" s="759"/>
      <c r="BE40" s="759"/>
      <c r="BF40" s="759"/>
      <c r="BG40" s="759"/>
      <c r="BH40" s="759"/>
      <c r="BI40" s="759"/>
      <c r="BJ40" s="759"/>
      <c r="BK40" s="759"/>
      <c r="BL40" s="759"/>
      <c r="BM40" s="759"/>
      <c r="BN40" s="759"/>
      <c r="BO40" s="759"/>
      <c r="BP40" s="759"/>
      <c r="BQ40" s="759"/>
      <c r="BR40" s="759"/>
      <c r="BS40" s="759"/>
      <c r="BT40" s="759"/>
      <c r="BU40" s="759"/>
      <c r="BV40" s="759"/>
      <c r="BW40" s="759"/>
      <c r="BX40" s="759"/>
      <c r="BY40" s="759"/>
      <c r="BZ40" s="759"/>
      <c r="CA40" s="759"/>
      <c r="CB40" s="759"/>
      <c r="CC40" s="759"/>
      <c r="CD40" s="759"/>
      <c r="CE40" s="759"/>
      <c r="CF40" s="759"/>
      <c r="CG40" s="759"/>
      <c r="CH40" s="759"/>
      <c r="CI40" s="759"/>
      <c r="CJ40" s="759"/>
      <c r="CK40" s="759"/>
      <c r="CL40" s="759"/>
      <c r="CM40" s="759"/>
      <c r="CN40" s="759"/>
      <c r="CO40" s="759"/>
      <c r="CP40" s="759"/>
      <c r="CQ40" s="759"/>
      <c r="CR40" s="759"/>
      <c r="CS40" s="759"/>
      <c r="CT40" s="759"/>
      <c r="CU40" s="759"/>
      <c r="CV40" s="759"/>
      <c r="CW40" s="759"/>
      <c r="CX40" s="759"/>
      <c r="CY40" s="759"/>
      <c r="CZ40" s="759"/>
      <c r="DA40" s="759"/>
      <c r="DB40" s="759"/>
    </row>
    <row r="41" spans="1:112" ht="15" customHeight="1">
      <c r="A41" s="758"/>
      <c r="B41" s="758"/>
      <c r="C41" s="758"/>
      <c r="D41" s="758"/>
      <c r="E41" s="758"/>
      <c r="F41" s="758"/>
      <c r="G41" s="758"/>
      <c r="H41" s="758"/>
      <c r="I41" s="758"/>
      <c r="J41" s="758"/>
      <c r="K41" s="758"/>
      <c r="L41" s="758"/>
      <c r="M41" s="758"/>
      <c r="N41" s="758"/>
      <c r="O41" s="758"/>
      <c r="P41" s="758"/>
      <c r="Q41" s="758"/>
      <c r="R41" s="758"/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</row>
    <row r="42" spans="1:112" ht="15" customHeight="1">
      <c r="A42" s="1045" t="s">
        <v>245</v>
      </c>
      <c r="B42" s="1045"/>
      <c r="C42" s="1045"/>
      <c r="D42" s="1045"/>
      <c r="E42" s="1045"/>
      <c r="F42" s="1045"/>
      <c r="G42" s="1045"/>
      <c r="H42" s="1045"/>
      <c r="I42" s="1045"/>
      <c r="J42" s="1045"/>
      <c r="K42" s="1045"/>
      <c r="L42" s="1045"/>
      <c r="M42" s="1045"/>
      <c r="N42" s="1045"/>
      <c r="O42" s="1045"/>
      <c r="P42" s="1045"/>
      <c r="Q42" s="1045"/>
      <c r="R42" s="1045"/>
      <c r="S42" s="1045"/>
      <c r="T42" s="1045"/>
      <c r="U42" s="1045"/>
      <c r="V42" s="1045"/>
      <c r="W42" s="1045"/>
      <c r="X42" s="1044" t="s">
        <v>249</v>
      </c>
      <c r="Y42" s="1044"/>
      <c r="Z42" s="1044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44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  <c r="BU42" s="1044"/>
      <c r="BV42" s="1044"/>
      <c r="BW42" s="1044"/>
      <c r="BX42" s="1044"/>
      <c r="BY42" s="1044"/>
      <c r="BZ42" s="1044"/>
      <c r="CA42" s="1044"/>
      <c r="CB42" s="1044"/>
      <c r="CC42" s="1044"/>
      <c r="CD42" s="1044"/>
      <c r="CE42" s="1044"/>
      <c r="CF42" s="1044"/>
      <c r="CG42" s="1044"/>
      <c r="CH42" s="1044"/>
      <c r="CI42" s="1044"/>
      <c r="CJ42" s="1044"/>
      <c r="CK42" s="1044"/>
      <c r="CL42" s="1044"/>
      <c r="CM42" s="1044"/>
      <c r="CN42" s="1044"/>
      <c r="CO42" s="1044"/>
      <c r="CP42" s="1044"/>
      <c r="CQ42" s="1044"/>
      <c r="CR42" s="1044"/>
      <c r="CS42" s="1044"/>
      <c r="CT42" s="1044"/>
      <c r="CU42" s="1044"/>
      <c r="CV42" s="1044"/>
      <c r="CW42" s="1044"/>
      <c r="CX42" s="1044"/>
      <c r="CY42" s="1044"/>
      <c r="CZ42" s="1044"/>
      <c r="DA42" s="1044"/>
      <c r="DB42" s="1044"/>
      <c r="DH42" s="141"/>
    </row>
    <row r="43" spans="1:112" ht="15" customHeight="1">
      <c r="A43" s="767" t="s">
        <v>246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58" t="s">
        <v>247</v>
      </c>
      <c r="S43" s="758"/>
      <c r="T43" s="758"/>
      <c r="U43" s="758"/>
      <c r="V43" s="758"/>
      <c r="W43" s="758"/>
      <c r="X43" s="758"/>
      <c r="Y43" s="758"/>
      <c r="Z43" s="758"/>
      <c r="AA43" s="758"/>
      <c r="AB43" s="758"/>
      <c r="AC43" s="758"/>
      <c r="AD43" s="758"/>
      <c r="AE43" s="758"/>
      <c r="AF43" s="758"/>
      <c r="AG43" s="758"/>
      <c r="AH43" s="758"/>
      <c r="AI43" s="758"/>
      <c r="AJ43" s="758"/>
      <c r="AK43" s="758"/>
      <c r="AL43" s="758"/>
      <c r="AM43" s="758"/>
      <c r="AN43" s="758"/>
      <c r="AO43" s="758"/>
      <c r="AP43" s="758"/>
      <c r="AQ43" s="758"/>
      <c r="AR43" s="758"/>
      <c r="AS43" s="758"/>
      <c r="AT43" s="758"/>
      <c r="AU43" s="758"/>
      <c r="AV43" s="758"/>
      <c r="AW43" s="758"/>
      <c r="AX43" s="758"/>
      <c r="AY43" s="758"/>
      <c r="AZ43" s="758"/>
      <c r="BA43" s="758"/>
      <c r="BB43" s="758"/>
      <c r="BC43" s="758"/>
      <c r="BD43" s="758"/>
      <c r="BE43" s="758"/>
      <c r="BF43" s="758"/>
      <c r="BG43" s="758"/>
      <c r="BH43" s="758"/>
      <c r="BI43" s="758"/>
      <c r="BJ43" s="758"/>
      <c r="BK43" s="758"/>
      <c r="BL43" s="75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8"/>
      <c r="BY43" s="758"/>
      <c r="BZ43" s="758"/>
      <c r="CA43" s="758"/>
      <c r="CB43" s="758"/>
      <c r="CC43" s="758"/>
      <c r="CD43" s="758"/>
      <c r="CE43" s="758"/>
      <c r="CF43" s="758"/>
      <c r="CG43" s="758"/>
      <c r="CH43" s="758"/>
      <c r="CI43" s="758"/>
      <c r="CJ43" s="758"/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ht="9" customHeight="1"/>
    <row r="45" spans="1:112" customFormat="1" ht="33.65" customHeight="1">
      <c r="A45" s="766" t="s">
        <v>721</v>
      </c>
      <c r="B45" s="766"/>
      <c r="C45" s="766"/>
      <c r="D45" s="766"/>
      <c r="E45" s="766"/>
      <c r="F45" s="766"/>
      <c r="G45" s="766"/>
      <c r="H45" s="766"/>
      <c r="I45" s="766"/>
      <c r="J45" s="766"/>
      <c r="K45" s="766"/>
      <c r="L45" s="766"/>
      <c r="M45" s="766"/>
      <c r="N45" s="766"/>
      <c r="O45" s="766"/>
      <c r="P45" s="766"/>
      <c r="Q45" s="766"/>
      <c r="R45" s="766"/>
      <c r="S45" s="766"/>
      <c r="T45" s="766"/>
      <c r="U45" s="766"/>
      <c r="V45" s="766"/>
      <c r="W45" s="766"/>
      <c r="X45" s="766"/>
      <c r="Y45" s="766"/>
      <c r="Z45" s="766"/>
      <c r="AA45" s="766"/>
      <c r="AB45" s="766"/>
      <c r="AC45" s="766"/>
      <c r="AD45" s="766"/>
      <c r="AE45" s="766"/>
      <c r="AF45" s="766"/>
      <c r="AG45" s="766"/>
      <c r="AH45" s="766"/>
      <c r="AI45" s="766"/>
      <c r="AJ45" s="766"/>
      <c r="AK45" s="766"/>
      <c r="AL45" s="766"/>
      <c r="AM45" s="76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23"/>
      <c r="CH45" s="23"/>
      <c r="CI45" s="23"/>
      <c r="CJ45" s="758" t="str">
        <f>ПОДПИСИ!E6</f>
        <v>Д.М. Чечин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customFormat="1" ht="33.65" customHeight="1">
      <c r="A47" s="766" t="s">
        <v>717</v>
      </c>
      <c r="B47" s="766"/>
      <c r="C47" s="766"/>
      <c r="D47" s="766"/>
      <c r="E47" s="766"/>
      <c r="F47" s="766"/>
      <c r="G47" s="766"/>
      <c r="H47" s="766"/>
      <c r="I47" s="766"/>
      <c r="J47" s="766"/>
      <c r="K47" s="766"/>
      <c r="L47" s="766"/>
      <c r="M47" s="766"/>
      <c r="N47" s="766"/>
      <c r="O47" s="766"/>
      <c r="P47" s="766"/>
      <c r="Q47" s="766"/>
      <c r="R47" s="766"/>
      <c r="S47" s="766"/>
      <c r="T47" s="766"/>
      <c r="U47" s="766"/>
      <c r="V47" s="766"/>
      <c r="W47" s="766"/>
      <c r="X47" s="766"/>
      <c r="Y47" s="766"/>
      <c r="Z47" s="766"/>
      <c r="AA47" s="766"/>
      <c r="AB47" s="766"/>
      <c r="AC47" s="766"/>
      <c r="AD47" s="766"/>
      <c r="AE47" s="766"/>
      <c r="AF47" s="766"/>
      <c r="AG47" s="766"/>
      <c r="AH47" s="766"/>
      <c r="AI47" s="766"/>
      <c r="AJ47" s="766"/>
      <c r="AK47" s="766"/>
      <c r="AL47" s="766"/>
      <c r="AM47" s="76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0"/>
      <c r="BJ47" s="760"/>
      <c r="BK47" s="760"/>
      <c r="BL47" s="760"/>
      <c r="BM47" s="760"/>
      <c r="BN47" s="760"/>
      <c r="BO47" s="760"/>
      <c r="BP47" s="760"/>
      <c r="BQ47" s="760"/>
      <c r="BR47" s="760"/>
      <c r="BS47" s="760"/>
      <c r="BT47" s="760"/>
      <c r="BU47" s="760"/>
      <c r="BV47" s="760"/>
      <c r="BW47" s="760"/>
      <c r="BX47" s="760"/>
      <c r="BY47" s="760"/>
      <c r="BZ47" s="760"/>
      <c r="CA47" s="760"/>
      <c r="CB47" s="760"/>
      <c r="CC47" s="760"/>
      <c r="CD47" s="760"/>
      <c r="CE47" s="760"/>
      <c r="CF47" s="760"/>
      <c r="CG47" s="19"/>
      <c r="CH47" s="19"/>
      <c r="CI47" s="19"/>
      <c r="CJ47" s="758" t="str">
        <f>ПОДПИСИ!E12</f>
        <v>А.Р. Махмадов</v>
      </c>
      <c r="CK47" s="758"/>
      <c r="CL47" s="758"/>
      <c r="CM47" s="758"/>
      <c r="CN47" s="758"/>
      <c r="CO47" s="758"/>
      <c r="CP47" s="758"/>
      <c r="CQ47" s="758"/>
      <c r="CR47" s="758"/>
      <c r="CS47" s="758"/>
      <c r="CT47" s="758"/>
      <c r="CU47" s="758"/>
      <c r="CV47" s="758"/>
      <c r="CW47" s="758"/>
      <c r="CX47" s="758"/>
      <c r="CY47" s="758"/>
      <c r="CZ47" s="758"/>
      <c r="DA47" s="758"/>
      <c r="DB47" s="758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36" t="s">
        <v>11</v>
      </c>
      <c r="BJ48" s="736"/>
      <c r="BK48" s="736"/>
      <c r="BL48" s="736"/>
      <c r="BM48" s="736"/>
      <c r="BN48" s="736"/>
      <c r="BO48" s="736"/>
      <c r="BP48" s="736"/>
      <c r="BQ48" s="736"/>
      <c r="BR48" s="736"/>
      <c r="BS48" s="736"/>
      <c r="BT48" s="736"/>
      <c r="BU48" s="736"/>
      <c r="BV48" s="736"/>
      <c r="BW48" s="736"/>
      <c r="BX48" s="736"/>
      <c r="BY48" s="736"/>
      <c r="BZ48" s="736"/>
      <c r="CA48" s="736"/>
      <c r="CB48" s="736"/>
      <c r="CC48" s="736"/>
      <c r="CD48" s="736"/>
      <c r="CE48" s="736"/>
      <c r="CF48" s="736"/>
      <c r="CG48" s="21"/>
      <c r="CH48" s="21"/>
      <c r="CI48" s="21"/>
      <c r="CJ48" s="1043" t="s">
        <v>50</v>
      </c>
      <c r="CK48" s="1043"/>
      <c r="CL48" s="1043"/>
      <c r="CM48" s="1043"/>
      <c r="CN48" s="1043"/>
      <c r="CO48" s="1043"/>
      <c r="CP48" s="1043"/>
      <c r="CQ48" s="1043"/>
      <c r="CR48" s="1043"/>
      <c r="CS48" s="1043"/>
      <c r="CT48" s="1043"/>
      <c r="CU48" s="1043"/>
      <c r="CV48" s="1043"/>
      <c r="CW48" s="1043"/>
      <c r="CX48" s="1043"/>
      <c r="CY48" s="1043"/>
      <c r="CZ48" s="1043"/>
      <c r="DA48" s="1043"/>
      <c r="DB48" s="1043"/>
      <c r="DH48" s="141"/>
    </row>
    <row r="49" spans="112:112" ht="14">
      <c r="DH49" s="150"/>
    </row>
    <row r="51" spans="112:112" ht="14">
      <c r="DH51" s="141"/>
    </row>
    <row r="52" spans="112:112" ht="14">
      <c r="DH52" s="151"/>
    </row>
    <row r="53" spans="112:112" ht="14">
      <c r="DH53" s="141"/>
    </row>
    <row r="54" spans="112:112" ht="14">
      <c r="DH54" s="152"/>
    </row>
    <row r="55" spans="112:112" ht="14">
      <c r="DH55" s="141"/>
    </row>
    <row r="56" spans="112:112" ht="14">
      <c r="DH56" s="153"/>
    </row>
    <row r="57" spans="112:112" ht="14">
      <c r="DH57" s="141"/>
    </row>
    <row r="58" spans="112:112" ht="14">
      <c r="DH58" s="152"/>
    </row>
    <row r="59" spans="112:112" ht="14">
      <c r="DH59" s="141"/>
    </row>
    <row r="60" spans="112:112" ht="14">
      <c r="DH60" s="151"/>
    </row>
    <row r="61" spans="112:112" ht="14">
      <c r="DH61" s="141"/>
    </row>
    <row r="62" spans="112:112" ht="14">
      <c r="DH62" s="151"/>
    </row>
    <row r="63" spans="112:112" ht="14">
      <c r="DH63" s="141"/>
    </row>
    <row r="65" spans="112:112" ht="14">
      <c r="DH65" s="141"/>
    </row>
    <row r="67" spans="112:112" ht="14">
      <c r="DH67" s="141"/>
    </row>
    <row r="68" spans="112:112" ht="14">
      <c r="DH68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  <row r="80" spans="112:112" ht="14">
      <c r="DH80" s="141"/>
    </row>
    <row r="81" spans="112:112" ht="14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98" priority="4" operator="equal">
      <formula>0</formula>
    </cfRule>
  </conditionalFormatting>
  <conditionalFormatting sqref="DH2:DH7">
    <cfRule type="cellIs" dxfId="97" priority="2" operator="equal">
      <formula>0</formula>
    </cfRule>
  </conditionalFormatting>
  <conditionalFormatting sqref="DH9">
    <cfRule type="cellIs" dxfId="9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2695312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BB2" s="758" t="str">
        <f>ФОРМА!G2</f>
        <v>Санкт-Петербург</v>
      </c>
      <c r="BC2" s="758"/>
      <c r="BD2" s="758"/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AV3" s="770"/>
      <c r="AW3" s="21"/>
      <c r="AX3" s="21"/>
      <c r="AY3" s="21"/>
      <c r="AZ3" s="21"/>
      <c r="BA3" s="21"/>
      <c r="BB3" s="770" t="s">
        <v>0</v>
      </c>
      <c r="BC3" s="770"/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AV4" s="758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21"/>
      <c r="AX5" s="21"/>
      <c r="AY5" s="21"/>
      <c r="AZ5" s="21"/>
      <c r="BA5" s="21"/>
      <c r="BB5" s="770" t="s">
        <v>2</v>
      </c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12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21"/>
      <c r="AX7" s="21"/>
      <c r="AY7" s="21"/>
      <c r="AZ7" s="21"/>
      <c r="BA7" s="21"/>
      <c r="BB7" s="770" t="s">
        <v>38</v>
      </c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AV8" s="758"/>
      <c r="BB8" s="735">
        <f>ФОРМА!B13</f>
        <v>45625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770"/>
      <c r="AW9" s="21"/>
      <c r="AX9" s="21"/>
      <c r="AY9" s="21"/>
      <c r="AZ9" s="21"/>
      <c r="BA9" s="21"/>
      <c r="BB9" s="770" t="s">
        <v>3</v>
      </c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747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946" t="s">
        <v>4</v>
      </c>
      <c r="B12" s="946"/>
      <c r="C12" s="946"/>
      <c r="D12" s="946"/>
      <c r="E12" s="946"/>
      <c r="F12" s="946"/>
      <c r="G12" s="946"/>
      <c r="H12" s="946"/>
      <c r="I12" s="946"/>
      <c r="J12" s="946"/>
      <c r="K12" s="946"/>
      <c r="L12" s="946"/>
      <c r="M12" s="946"/>
      <c r="N12" s="946"/>
      <c r="O12" s="946"/>
      <c r="P12" s="946"/>
      <c r="Q12" s="946"/>
      <c r="R12" s="946"/>
      <c r="S12" s="946"/>
      <c r="T12" s="946"/>
      <c r="U12" s="946"/>
      <c r="V12" s="946"/>
      <c r="W12" s="946"/>
      <c r="X12" s="946"/>
      <c r="Y12" s="946"/>
    </row>
    <row r="13" spans="1:112" ht="30" customHeight="1">
      <c r="A13" s="737" t="s">
        <v>713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1051" t="str">
        <f>ПОДПИСИ!B6</f>
        <v>Начальник мастерского участка №1 Курортного РЭС ПАО «Россети Ленэнерго» «СЭС»</v>
      </c>
      <c r="AF13" s="1051"/>
      <c r="AG13" s="1051"/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36" t="s">
        <v>5</v>
      </c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/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6"/>
      <c r="CH14" s="736"/>
      <c r="CI14" s="736"/>
      <c r="CJ14" s="736"/>
      <c r="CK14" s="736"/>
      <c r="CL14" s="736"/>
      <c r="CM14" s="736"/>
      <c r="CN14" s="736"/>
      <c r="CO14" s="736"/>
      <c r="CP14" s="736"/>
      <c r="CQ14" s="736"/>
      <c r="CR14" s="736"/>
      <c r="CS14" s="736"/>
      <c r="CT14" s="736"/>
      <c r="CU14" s="736"/>
      <c r="CV14" s="736"/>
      <c r="CW14" s="736"/>
      <c r="CX14" s="736"/>
      <c r="CY14" s="736"/>
      <c r="CZ14" s="736"/>
      <c r="DA14" s="736"/>
      <c r="DB14" s="736"/>
    </row>
    <row r="15" spans="1:112" ht="15" customHeight="1">
      <c r="A15" s="759" t="str">
        <f>ПОДПИСИ!C6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66" t="s">
        <v>716</v>
      </c>
      <c r="B17" s="766"/>
      <c r="C17" s="766"/>
      <c r="D17" s="766"/>
      <c r="E17" s="766"/>
      <c r="F17" s="766"/>
      <c r="G17" s="766"/>
      <c r="H17" s="766"/>
      <c r="I17" s="766"/>
      <c r="J17" s="766"/>
      <c r="K17" s="766"/>
      <c r="L17" s="766"/>
      <c r="M17" s="766"/>
      <c r="N17" s="766"/>
      <c r="O17" s="766"/>
      <c r="P17" s="766"/>
      <c r="Q17" s="766"/>
      <c r="R17" s="766"/>
      <c r="S17" s="766"/>
      <c r="T17" s="766"/>
      <c r="U17" s="766"/>
      <c r="V17" s="766"/>
      <c r="W17" s="766"/>
      <c r="X17" s="766"/>
      <c r="Y17" s="766"/>
      <c r="Z17" s="766"/>
      <c r="AA17" s="766"/>
      <c r="AB17" s="766"/>
      <c r="AC17" s="766"/>
      <c r="AD17" s="766"/>
      <c r="AE17" s="766"/>
      <c r="AF17" s="766"/>
      <c r="AG17" s="766"/>
      <c r="AH17" s="766"/>
      <c r="AI17" s="766"/>
      <c r="AJ17" s="766"/>
      <c r="AK17" s="766"/>
      <c r="AL17" s="766"/>
      <c r="AM17" s="766"/>
      <c r="AN17" s="766"/>
      <c r="AO17" s="766"/>
      <c r="AP17" s="766"/>
      <c r="AQ17" s="766"/>
      <c r="AR17" s="766"/>
      <c r="AS17" s="766"/>
      <c r="AT17" s="766"/>
      <c r="AU17" s="766"/>
      <c r="AV17" s="766"/>
      <c r="AW17" s="762" t="str">
        <f>ПОДПИСИ!B12</f>
        <v xml:space="preserve">Производитель работ ООО«БЭСК» </v>
      </c>
      <c r="AX17" s="762"/>
      <c r="AY17" s="762"/>
      <c r="AZ17" s="762"/>
      <c r="BA17" s="762"/>
      <c r="BB17" s="762"/>
      <c r="BC17" s="762"/>
      <c r="BD17" s="762"/>
      <c r="BE17" s="762"/>
      <c r="BF17" s="762"/>
      <c r="BG17" s="762"/>
      <c r="BH17" s="762"/>
      <c r="BI17" s="762"/>
      <c r="BJ17" s="762"/>
      <c r="BK17" s="762"/>
      <c r="BL17" s="762"/>
      <c r="BM17" s="762"/>
      <c r="BN17" s="762"/>
      <c r="BO17" s="762"/>
      <c r="BP17" s="762"/>
      <c r="BQ17" s="762"/>
      <c r="BR17" s="762"/>
      <c r="BS17" s="762"/>
      <c r="BT17" s="762"/>
      <c r="BU17" s="762"/>
      <c r="BV17" s="762"/>
      <c r="BW17" s="762"/>
      <c r="BX17" s="762"/>
      <c r="BY17" s="762"/>
      <c r="BZ17" s="762"/>
      <c r="CA17" s="762"/>
      <c r="CB17" s="762"/>
      <c r="CC17" s="762"/>
      <c r="CD17" s="762"/>
      <c r="CE17" s="762"/>
      <c r="CF17" s="762"/>
      <c r="CG17" s="762"/>
      <c r="CH17" s="762"/>
      <c r="CI17" s="762"/>
      <c r="CJ17" s="762"/>
      <c r="CK17" s="762"/>
      <c r="CL17" s="762"/>
      <c r="CM17" s="762"/>
      <c r="CN17" s="762"/>
      <c r="CO17" s="762"/>
      <c r="CP17" s="762"/>
      <c r="CQ17" s="762"/>
      <c r="CR17" s="762"/>
      <c r="CS17" s="762"/>
      <c r="CT17" s="762"/>
      <c r="CU17" s="762"/>
      <c r="CV17" s="762"/>
      <c r="CW17" s="762"/>
      <c r="CX17" s="762"/>
      <c r="CY17" s="762"/>
      <c r="CZ17" s="762"/>
      <c r="DA17" s="762"/>
      <c r="DB17" s="762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36" t="s">
        <v>5</v>
      </c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12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ht="11.15" customHeight="1">
      <c r="A20" s="736"/>
      <c r="B20" s="736"/>
      <c r="C20" s="736"/>
      <c r="D20" s="736"/>
      <c r="E20" s="736"/>
      <c r="F20" s="736"/>
      <c r="G20" s="736"/>
      <c r="H20" s="736"/>
      <c r="I20" s="736"/>
      <c r="J20" s="736"/>
      <c r="K20" s="736"/>
      <c r="L20" s="736"/>
      <c r="M20" s="736"/>
      <c r="N20" s="736"/>
      <c r="O20" s="736"/>
      <c r="P20" s="736"/>
      <c r="Q20" s="736"/>
      <c r="R20" s="736"/>
      <c r="S20" s="736"/>
      <c r="T20" s="736"/>
      <c r="U20" s="736"/>
      <c r="V20" s="736"/>
      <c r="W20" s="736"/>
      <c r="X20" s="736"/>
      <c r="Y20" s="736"/>
      <c r="Z20" s="736"/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6"/>
      <c r="AR20" s="736"/>
      <c r="AS20" s="736"/>
      <c r="AT20" s="736"/>
      <c r="AU20" s="736"/>
      <c r="AV20" s="736"/>
      <c r="AW20" s="736"/>
      <c r="AX20" s="736"/>
      <c r="AY20" s="736"/>
      <c r="AZ20" s="736"/>
      <c r="BA20" s="736"/>
      <c r="BB20" s="736"/>
      <c r="BC20" s="736"/>
      <c r="BD20" s="736"/>
      <c r="BE20" s="736"/>
      <c r="BF20" s="736"/>
      <c r="BG20" s="736"/>
      <c r="BH20" s="736"/>
      <c r="BI20" s="736"/>
      <c r="BJ20" s="736"/>
      <c r="BK20" s="736"/>
      <c r="BL20" s="736"/>
      <c r="BM20" s="736"/>
      <c r="BN20" s="736"/>
      <c r="BO20" s="736"/>
      <c r="BP20" s="736"/>
      <c r="BQ20" s="736"/>
      <c r="BR20" s="736"/>
      <c r="BS20" s="736"/>
      <c r="BT20" s="736"/>
      <c r="BU20" s="736"/>
      <c r="BV20" s="736"/>
      <c r="BW20" s="736"/>
      <c r="BX20" s="736"/>
      <c r="BY20" s="736"/>
      <c r="BZ20" s="736"/>
      <c r="CA20" s="736"/>
      <c r="CB20" s="736"/>
      <c r="CC20" s="736"/>
      <c r="CD20" s="736"/>
      <c r="CE20" s="736"/>
      <c r="CF20" s="736"/>
      <c r="CG20" s="736"/>
      <c r="CH20" s="736"/>
      <c r="CI20" s="736"/>
      <c r="CJ20" s="736"/>
      <c r="CK20" s="736"/>
      <c r="CL20" s="736"/>
      <c r="CM20" s="736"/>
      <c r="CN20" s="736"/>
      <c r="CO20" s="736"/>
      <c r="CP20" s="736"/>
      <c r="CQ20" s="736"/>
      <c r="CR20" s="736"/>
      <c r="CS20" s="736"/>
      <c r="CT20" s="736"/>
      <c r="CU20" s="736"/>
      <c r="CV20" s="736"/>
      <c r="CW20" s="736"/>
      <c r="CX20" s="736"/>
      <c r="CY20" s="736"/>
      <c r="CZ20" s="736"/>
      <c r="DA20" s="736"/>
      <c r="DB20" s="736"/>
    </row>
    <row r="21" spans="1:112">
      <c r="A21" s="19" t="s">
        <v>223</v>
      </c>
    </row>
    <row r="22" spans="1:112">
      <c r="A22" s="19" t="s">
        <v>224</v>
      </c>
    </row>
    <row r="23" spans="1:112">
      <c r="A23" s="764" t="s">
        <v>225</v>
      </c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64"/>
      <c r="Y23" s="764"/>
      <c r="Z23" s="764"/>
      <c r="AA23" s="764"/>
      <c r="AB23" s="764"/>
      <c r="AC23" s="764"/>
      <c r="AD23" s="764"/>
      <c r="AE23" s="764"/>
      <c r="AF23" s="764"/>
      <c r="AG23" s="764"/>
      <c r="AH23" s="764"/>
      <c r="AI23" s="764"/>
      <c r="AJ23" s="764"/>
      <c r="AK23" s="764"/>
      <c r="AL23" s="764"/>
      <c r="AM23" s="764"/>
      <c r="AN23" s="764"/>
      <c r="AO23" s="764"/>
      <c r="AP23" s="764"/>
      <c r="AQ23" s="764"/>
      <c r="AR23" s="764"/>
      <c r="AS23" s="764"/>
      <c r="AT23" s="764"/>
      <c r="AU23" s="764"/>
      <c r="AV23" s="764"/>
      <c r="AW23" s="764"/>
      <c r="AX23" s="764"/>
      <c r="AY23" s="764"/>
      <c r="AZ23" s="764"/>
      <c r="BA23" s="764"/>
      <c r="BB23" s="764"/>
      <c r="BC23" s="764"/>
      <c r="BD23" s="764"/>
      <c r="BE23" s="764"/>
      <c r="BF23" s="764"/>
      <c r="BG23" s="764"/>
      <c r="BH23" s="764"/>
      <c r="BI23" s="764"/>
      <c r="BJ23" s="764"/>
      <c r="BK23" s="764"/>
      <c r="BL23" s="764"/>
      <c r="BM23" s="764"/>
      <c r="BN23" s="764"/>
      <c r="BO23" s="764"/>
      <c r="BP23" s="764"/>
      <c r="BQ23" s="764"/>
      <c r="BR23" s="764"/>
      <c r="BS23" s="764"/>
      <c r="BT23" s="764"/>
      <c r="BU23" s="764"/>
      <c r="BV23" s="764"/>
      <c r="BW23" s="764"/>
      <c r="BX23" s="764"/>
      <c r="BY23" s="764"/>
      <c r="BZ23" s="764"/>
      <c r="CA23" s="764"/>
      <c r="CB23" s="764"/>
      <c r="CC23" s="764"/>
      <c r="CD23" s="764"/>
      <c r="CE23" s="764"/>
      <c r="CF23" s="764"/>
      <c r="CG23" s="764"/>
      <c r="CH23" s="764"/>
      <c r="CI23" s="764"/>
      <c r="CJ23" s="764"/>
      <c r="CK23" s="764"/>
      <c r="CL23" s="764"/>
      <c r="CM23" s="764"/>
      <c r="CN23" s="764"/>
      <c r="CO23" s="764"/>
      <c r="CP23" s="764"/>
      <c r="CQ23" s="764"/>
      <c r="CR23" s="764"/>
      <c r="CS23" s="764"/>
      <c r="CT23" s="764"/>
      <c r="CU23" s="764"/>
      <c r="CV23" s="764"/>
      <c r="CW23" s="764"/>
      <c r="CX23" s="764"/>
      <c r="CY23" s="764"/>
      <c r="CZ23" s="764"/>
      <c r="DA23" s="764"/>
      <c r="DB23" s="764"/>
    </row>
    <row r="24" spans="1:112" ht="52.15" customHeight="1">
      <c r="A24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20"/>
      <c r="C24" s="820"/>
      <c r="D24" s="820"/>
      <c r="E24" s="820"/>
      <c r="F24" s="820"/>
      <c r="G24" s="820"/>
      <c r="H24" s="820"/>
      <c r="I24" s="820"/>
      <c r="J24" s="820"/>
      <c r="K24" s="820"/>
      <c r="L24" s="820"/>
      <c r="M24" s="820"/>
      <c r="N24" s="820"/>
      <c r="O24" s="820"/>
      <c r="P24" s="820"/>
      <c r="Q24" s="820"/>
      <c r="R24" s="820"/>
      <c r="S24" s="820"/>
      <c r="T24" s="820"/>
      <c r="U24" s="820"/>
      <c r="V24" s="820"/>
      <c r="W24" s="820"/>
      <c r="X24" s="820"/>
      <c r="Y24" s="820"/>
      <c r="Z24" s="820"/>
      <c r="AA24" s="820"/>
      <c r="AB24" s="820"/>
      <c r="AC24" s="820"/>
      <c r="AD24" s="820"/>
      <c r="AE24" s="820"/>
      <c r="AF24" s="820"/>
      <c r="AG24" s="820"/>
      <c r="AH24" s="820"/>
      <c r="AI24" s="820"/>
      <c r="AJ24" s="820"/>
      <c r="AK24" s="820"/>
      <c r="AL24" s="820"/>
      <c r="AM24" s="820"/>
      <c r="AN24" s="820"/>
      <c r="AO24" s="820"/>
      <c r="AP24" s="820"/>
      <c r="AQ24" s="820"/>
      <c r="AR24" s="820"/>
      <c r="AS24" s="820"/>
      <c r="AT24" s="820"/>
      <c r="AU24" s="820"/>
      <c r="AV24" s="820"/>
      <c r="AW24" s="820"/>
      <c r="AX24" s="820"/>
      <c r="AY24" s="820"/>
      <c r="AZ24" s="820"/>
      <c r="BA24" s="820"/>
      <c r="BB24" s="820"/>
      <c r="BC24" s="820"/>
      <c r="BD24" s="820"/>
      <c r="BE24" s="820"/>
      <c r="BF24" s="820"/>
      <c r="BG24" s="820"/>
      <c r="BH24" s="820"/>
      <c r="BI24" s="820"/>
      <c r="BJ24" s="820"/>
      <c r="BK24" s="820"/>
      <c r="BL24" s="820"/>
      <c r="BM24" s="820"/>
      <c r="BN24" s="820"/>
      <c r="BO24" s="820"/>
      <c r="BP24" s="820"/>
      <c r="BQ24" s="820"/>
      <c r="BR24" s="820"/>
      <c r="BS24" s="820"/>
      <c r="BT24" s="820"/>
      <c r="BU24" s="820"/>
      <c r="BV24" s="820"/>
      <c r="BW24" s="820"/>
      <c r="BX24" s="820"/>
      <c r="BY24" s="820"/>
      <c r="BZ24" s="820"/>
      <c r="CA24" s="820"/>
      <c r="CB24" s="820"/>
      <c r="CC24" s="820"/>
      <c r="CD24" s="820"/>
      <c r="CE24" s="820"/>
      <c r="CF24" s="820"/>
      <c r="CG24" s="820"/>
      <c r="CH24" s="820"/>
      <c r="CI24" s="820"/>
      <c r="CJ24" s="820"/>
      <c r="CK24" s="820"/>
      <c r="CL24" s="820"/>
      <c r="CM24" s="820"/>
      <c r="CN24" s="820"/>
      <c r="CO24" s="820"/>
      <c r="CP24" s="820"/>
      <c r="CQ24" s="820"/>
      <c r="CR24" s="820"/>
      <c r="CS24" s="820"/>
      <c r="CT24" s="820"/>
      <c r="CU24" s="820"/>
      <c r="CV24" s="820"/>
      <c r="CW24" s="820"/>
      <c r="CX24" s="820"/>
      <c r="CY24" s="820"/>
      <c r="CZ24" s="820"/>
      <c r="DA24" s="820"/>
      <c r="DB24" s="820"/>
      <c r="DD24" s="56"/>
      <c r="DE24" s="57"/>
      <c r="DF24" s="57"/>
    </row>
    <row r="25" spans="1:112" s="24" customFormat="1" ht="11.5" customHeight="1">
      <c r="A25" s="1052" t="s">
        <v>226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  <c r="L25" s="1052"/>
      <c r="M25" s="1052"/>
      <c r="N25" s="1052"/>
      <c r="O25" s="1052"/>
      <c r="P25" s="1052"/>
      <c r="Q25" s="1052"/>
      <c r="R25" s="1052"/>
      <c r="S25" s="1052"/>
      <c r="T25" s="1052"/>
      <c r="U25" s="1052"/>
      <c r="V25" s="1052"/>
      <c r="W25" s="1052"/>
      <c r="X25" s="1052"/>
      <c r="Y25" s="1052"/>
      <c r="Z25" s="1052"/>
      <c r="AA25" s="1052"/>
      <c r="AB25" s="1052"/>
      <c r="AC25" s="1052"/>
      <c r="AD25" s="1052"/>
      <c r="AE25" s="1052"/>
      <c r="AF25" s="1052"/>
      <c r="AG25" s="1052"/>
      <c r="AH25" s="1052"/>
      <c r="AI25" s="1052"/>
      <c r="AJ25" s="1052"/>
      <c r="AK25" s="1052"/>
      <c r="AL25" s="1052"/>
      <c r="AM25" s="1052"/>
      <c r="AN25" s="1052"/>
      <c r="AO25" s="1052"/>
      <c r="AP25" s="1052"/>
      <c r="AQ25" s="1052"/>
      <c r="AR25" s="1052"/>
      <c r="AS25" s="1052"/>
      <c r="AT25" s="1052"/>
      <c r="AU25" s="1052"/>
      <c r="AV25" s="1052"/>
      <c r="AW25" s="1052"/>
      <c r="AX25" s="1052"/>
      <c r="AY25" s="1052"/>
      <c r="AZ25" s="1052"/>
      <c r="BA25" s="1052"/>
      <c r="BB25" s="1052"/>
      <c r="BC25" s="1052"/>
      <c r="BD25" s="1052"/>
      <c r="BE25" s="1052"/>
      <c r="BF25" s="1052"/>
      <c r="BG25" s="1052"/>
      <c r="BH25" s="1052"/>
      <c r="BI25" s="1052"/>
      <c r="BJ25" s="1052"/>
      <c r="BK25" s="1052"/>
      <c r="BL25" s="1052"/>
      <c r="BM25" s="1052"/>
      <c r="BN25" s="1052"/>
      <c r="BO25" s="1052"/>
      <c r="BP25" s="1052"/>
      <c r="BQ25" s="1052"/>
      <c r="BR25" s="1052"/>
      <c r="BS25" s="1052"/>
      <c r="BT25" s="1052"/>
      <c r="BU25" s="1052"/>
      <c r="BV25" s="1052"/>
      <c r="BW25" s="1052"/>
      <c r="BX25" s="1052"/>
      <c r="BY25" s="1052"/>
      <c r="BZ25" s="1052"/>
      <c r="CA25" s="1052"/>
      <c r="CB25" s="1052"/>
      <c r="CC25" s="1052"/>
      <c r="CD25" s="1052"/>
      <c r="CE25" s="1052"/>
      <c r="CF25" s="1052"/>
      <c r="CG25" s="1052"/>
      <c r="CH25" s="1052"/>
      <c r="CI25" s="1052"/>
      <c r="CJ25" s="1052"/>
      <c r="CK25" s="1052"/>
      <c r="CL25" s="1052"/>
      <c r="CM25" s="1052"/>
      <c r="CN25" s="1052"/>
      <c r="CO25" s="1052"/>
      <c r="CP25" s="1052"/>
      <c r="CQ25" s="1052"/>
      <c r="CR25" s="1052"/>
      <c r="CS25" s="1052"/>
      <c r="CT25" s="1052"/>
      <c r="CU25" s="1052"/>
      <c r="CV25" s="1052"/>
      <c r="CW25" s="1052"/>
      <c r="CX25" s="1052"/>
      <c r="CY25" s="1052"/>
      <c r="CZ25" s="1052"/>
      <c r="DA25" s="1052"/>
      <c r="DB25" s="1052"/>
      <c r="DD25" s="124"/>
      <c r="DE25" s="125"/>
      <c r="DF25" s="125"/>
      <c r="DH25" s="147"/>
    </row>
    <row r="26" spans="1:112" ht="30" customHeight="1">
      <c r="A26" s="19" t="s">
        <v>227</v>
      </c>
      <c r="Q26" s="758" t="str">
        <f>IF(ФОРМА!B8=0," ",ФОРМА!B8)</f>
        <v>ООО «Строительные энергетические технологии»</v>
      </c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19" t="s">
        <v>228</v>
      </c>
      <c r="BN26" s="1051" t="str">
        <f>IF(ФОРМА!B9=0," ",CONCATENATE("Шифр ",ФОРМА!B9))</f>
        <v>Шифр СЭС-23-32939-ЭС-ТКР2</v>
      </c>
      <c r="BO26" s="1051"/>
      <c r="BP26" s="1051"/>
      <c r="BQ26" s="1051"/>
      <c r="BR26" s="1051"/>
      <c r="BS26" s="1051"/>
      <c r="BT26" s="1051"/>
      <c r="BU26" s="1051"/>
      <c r="BV26" s="1051"/>
      <c r="BW26" s="1051"/>
      <c r="BX26" s="1051"/>
      <c r="BY26" s="1051"/>
      <c r="BZ26" s="1051"/>
      <c r="CA26" s="1051"/>
      <c r="CB26" s="1051"/>
      <c r="CC26" s="1051"/>
      <c r="CD26" s="1051"/>
      <c r="CE26" s="1051"/>
      <c r="CF26" s="1051"/>
      <c r="CG26" s="1051"/>
      <c r="CH26" s="1051"/>
      <c r="CI26" s="1051"/>
      <c r="CJ26" s="1051"/>
      <c r="CK26" s="1051"/>
      <c r="CL26" s="1051"/>
      <c r="CM26" s="1051"/>
      <c r="CN26" s="1051"/>
      <c r="CO26" s="1051"/>
      <c r="CP26" s="1051"/>
      <c r="CQ26" s="1051"/>
      <c r="CR26" s="1051"/>
      <c r="CS26" s="1051"/>
      <c r="CT26" s="1051"/>
      <c r="CU26" s="1051"/>
      <c r="CV26" s="1051"/>
      <c r="CW26" s="1051"/>
      <c r="CX26" s="1051"/>
      <c r="CY26" s="1051"/>
      <c r="CZ26" s="1051"/>
      <c r="DA26" s="1051"/>
      <c r="DB26" s="1051"/>
      <c r="DH26" s="148"/>
    </row>
    <row r="27" spans="1:112" ht="10.5" customHeight="1">
      <c r="Q27" s="736" t="s">
        <v>10</v>
      </c>
      <c r="R27" s="736"/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6"/>
      <c r="AR27" s="736"/>
      <c r="AS27" s="736"/>
      <c r="AT27" s="736"/>
      <c r="AU27" s="736"/>
      <c r="AV27" s="736"/>
      <c r="AW27" s="736"/>
      <c r="AX27" s="736"/>
      <c r="AY27" s="736"/>
      <c r="BN27" s="736" t="s">
        <v>229</v>
      </c>
      <c r="BO27" s="736"/>
      <c r="BP27" s="736"/>
      <c r="BQ27" s="736"/>
      <c r="BR27" s="736"/>
      <c r="BS27" s="736"/>
      <c r="BT27" s="736"/>
      <c r="BU27" s="736"/>
      <c r="BV27" s="736"/>
      <c r="BW27" s="736"/>
      <c r="BX27" s="736"/>
      <c r="BY27" s="736"/>
      <c r="BZ27" s="736"/>
      <c r="CA27" s="736"/>
      <c r="CB27" s="736"/>
      <c r="CC27" s="736"/>
      <c r="CD27" s="736"/>
      <c r="CE27" s="736"/>
      <c r="CF27" s="736"/>
      <c r="CG27" s="736"/>
      <c r="CH27" s="736"/>
      <c r="CI27" s="736"/>
      <c r="CJ27" s="736"/>
      <c r="CK27" s="736"/>
      <c r="CL27" s="736"/>
      <c r="CM27" s="736"/>
      <c r="CN27" s="736"/>
      <c r="CO27" s="736"/>
      <c r="CP27" s="736"/>
      <c r="CQ27" s="736"/>
      <c r="CR27" s="736"/>
      <c r="CS27" s="736"/>
      <c r="CT27" s="736"/>
      <c r="CU27" s="736"/>
      <c r="CV27" s="736"/>
      <c r="CW27" s="736"/>
      <c r="CX27" s="736"/>
      <c r="CY27" s="736"/>
      <c r="CZ27" s="736"/>
      <c r="DA27" s="736"/>
      <c r="DB27" s="736"/>
    </row>
    <row r="28" spans="1:112" ht="15" customHeight="1">
      <c r="A28" s="19" t="s">
        <v>230</v>
      </c>
      <c r="AB28" s="759" t="s">
        <v>392</v>
      </c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759"/>
      <c r="BB28" s="759"/>
      <c r="BC28" s="759"/>
      <c r="BD28" s="759"/>
      <c r="BE28" s="759"/>
      <c r="BF28" s="759"/>
      <c r="BG28" s="759"/>
      <c r="BH28" s="759"/>
      <c r="BI28" s="759"/>
      <c r="BJ28" s="759"/>
      <c r="BK28" s="759"/>
      <c r="BL28" s="759"/>
      <c r="BM28" s="759"/>
      <c r="BN28" s="759"/>
      <c r="BO28" s="759"/>
      <c r="BP28" s="759"/>
      <c r="BQ28" s="759"/>
      <c r="BR28" s="759"/>
      <c r="BS28" s="759"/>
      <c r="BT28" s="759"/>
      <c r="BU28" s="759"/>
      <c r="BV28" s="759"/>
      <c r="BW28" s="759"/>
      <c r="BX28" s="759"/>
      <c r="BY28" s="759"/>
      <c r="BZ28" s="759"/>
      <c r="CA28" s="759"/>
      <c r="CB28" s="759"/>
      <c r="CC28" s="759"/>
      <c r="CD28" s="759"/>
      <c r="CE28" s="759"/>
      <c r="CF28" s="759"/>
      <c r="CG28" s="759"/>
      <c r="CH28" s="759"/>
      <c r="CI28" s="759"/>
      <c r="CJ28" s="759"/>
      <c r="CK28" s="759"/>
      <c r="CL28" s="759"/>
      <c r="CM28" s="759"/>
      <c r="CN28" s="759"/>
      <c r="CO28" s="759"/>
      <c r="CP28" s="759"/>
      <c r="CQ28" s="759"/>
      <c r="CR28" s="759"/>
      <c r="CS28" s="759"/>
      <c r="CT28" s="759"/>
      <c r="CU28" s="759"/>
      <c r="CV28" s="759"/>
      <c r="CW28" s="759"/>
      <c r="CX28" s="759"/>
      <c r="CY28" s="759"/>
      <c r="CZ28" s="759"/>
      <c r="DA28" s="759"/>
      <c r="DB28" s="759"/>
    </row>
    <row r="29" spans="1:112" ht="15" customHeight="1">
      <c r="A29" s="19" t="s">
        <v>231</v>
      </c>
      <c r="P29" s="758" t="s">
        <v>65</v>
      </c>
      <c r="Q29" s="758"/>
      <c r="R29" s="758"/>
      <c r="S29" s="758"/>
      <c r="T29" s="758"/>
      <c r="U29" s="758"/>
      <c r="V29" s="758"/>
      <c r="W29" s="758"/>
      <c r="X29" s="758"/>
      <c r="Y29" s="758"/>
      <c r="Z29" s="758"/>
      <c r="AA29" s="758"/>
      <c r="AB29" s="758"/>
      <c r="AC29" s="758"/>
      <c r="AD29" s="758"/>
      <c r="AE29" s="758"/>
      <c r="AF29" s="758"/>
      <c r="AG29" s="758"/>
      <c r="AH29" s="758"/>
      <c r="AI29" s="758"/>
      <c r="AJ29" s="758"/>
      <c r="AK29" s="758"/>
      <c r="AL29" s="758"/>
      <c r="AM29" s="758"/>
      <c r="AN29" s="758"/>
      <c r="AO29" s="758"/>
      <c r="AP29" s="758"/>
      <c r="AQ29" s="758"/>
      <c r="AR29" s="758"/>
      <c r="AS29" s="758"/>
      <c r="AT29" s="758"/>
      <c r="AU29" s="758"/>
      <c r="AV29" s="758"/>
      <c r="AW29" s="758"/>
      <c r="AX29" s="758"/>
      <c r="AY29" s="758"/>
      <c r="AZ29" s="758"/>
      <c r="BA29" s="758"/>
      <c r="BB29" s="758"/>
      <c r="BC29" s="758"/>
      <c r="BD29" s="758"/>
      <c r="BE29" s="758"/>
      <c r="BF29" s="758"/>
      <c r="BG29" s="758"/>
      <c r="BH29" s="758"/>
      <c r="BI29" s="758"/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758"/>
      <c r="CH29" s="758"/>
      <c r="CI29" s="758"/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</row>
    <row r="30" spans="1:112" ht="11.25" customHeight="1">
      <c r="P30" s="736" t="s">
        <v>233</v>
      </c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</row>
    <row r="31" spans="1:112" ht="15" customHeight="1">
      <c r="A31" s="19" t="s">
        <v>232</v>
      </c>
      <c r="W31" s="758" t="s">
        <v>65</v>
      </c>
      <c r="X31" s="758"/>
      <c r="Y31" s="758"/>
      <c r="Z31" s="758"/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8"/>
      <c r="AQ31" s="758"/>
      <c r="AR31" s="758"/>
      <c r="AS31" s="758"/>
      <c r="AT31" s="758"/>
      <c r="AU31" s="758"/>
      <c r="AV31" s="758"/>
      <c r="AW31" s="758"/>
      <c r="AX31" s="758"/>
      <c r="AY31" s="758"/>
      <c r="AZ31" s="758"/>
      <c r="BA31" s="758"/>
      <c r="BB31" s="758"/>
      <c r="BC31" s="758"/>
      <c r="BD31" s="758"/>
      <c r="BE31" s="758"/>
      <c r="BF31" s="758"/>
      <c r="BG31" s="758"/>
      <c r="BH31" s="758"/>
      <c r="BI31" s="758"/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758"/>
      <c r="CH31" s="758"/>
      <c r="CI31" s="758"/>
      <c r="CJ31" s="758"/>
      <c r="CK31" s="758"/>
      <c r="CL31" s="758"/>
      <c r="CM31" s="758"/>
      <c r="CN31" s="758"/>
      <c r="CO31" s="758"/>
      <c r="CP31" s="758"/>
      <c r="CQ31" s="758"/>
      <c r="CR31" s="758"/>
      <c r="CS31" s="758"/>
      <c r="CT31" s="758"/>
      <c r="CU31" s="758"/>
      <c r="CV31" s="758"/>
      <c r="CW31" s="758"/>
      <c r="CX31" s="758"/>
      <c r="CY31" s="758"/>
      <c r="CZ31" s="758"/>
      <c r="DA31" s="758"/>
      <c r="DB31" s="758"/>
      <c r="DH31" s="141"/>
    </row>
    <row r="32" spans="1:112" ht="11.25" customHeight="1">
      <c r="W32" s="736" t="s">
        <v>229</v>
      </c>
      <c r="X32" s="736"/>
      <c r="Y32" s="736"/>
      <c r="Z32" s="736"/>
      <c r="AA32" s="736"/>
      <c r="AB32" s="736"/>
      <c r="AC32" s="736"/>
      <c r="AD32" s="736"/>
      <c r="AE32" s="736"/>
      <c r="AF32" s="736"/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6"/>
      <c r="AR32" s="736"/>
      <c r="AS32" s="736"/>
      <c r="AT32" s="736"/>
      <c r="AU32" s="736"/>
      <c r="AV32" s="736"/>
      <c r="AW32" s="736"/>
      <c r="AX32" s="736"/>
      <c r="AY32" s="736"/>
      <c r="AZ32" s="736"/>
      <c r="BA32" s="736"/>
      <c r="BB32" s="736"/>
      <c r="BC32" s="736"/>
      <c r="BD32" s="736"/>
      <c r="BE32" s="736"/>
      <c r="BF32" s="736"/>
      <c r="BG32" s="736"/>
      <c r="BH32" s="736"/>
      <c r="BI32" s="736"/>
      <c r="BJ32" s="736"/>
      <c r="BK32" s="736"/>
      <c r="BL32" s="736"/>
      <c r="BM32" s="736"/>
      <c r="BN32" s="736"/>
      <c r="BO32" s="736"/>
      <c r="BP32" s="736"/>
      <c r="BQ32" s="736"/>
      <c r="BR32" s="736"/>
      <c r="BS32" s="736"/>
      <c r="BT32" s="736"/>
      <c r="BU32" s="736"/>
      <c r="BV32" s="736"/>
      <c r="BW32" s="736"/>
      <c r="BX32" s="736"/>
      <c r="BY32" s="736"/>
      <c r="BZ32" s="736"/>
      <c r="CA32" s="736"/>
      <c r="CB32" s="736"/>
      <c r="CC32" s="736"/>
      <c r="CD32" s="736"/>
      <c r="CE32" s="736"/>
      <c r="CF32" s="736"/>
      <c r="CG32" s="736"/>
      <c r="CH32" s="736"/>
      <c r="CI32" s="736"/>
      <c r="CJ32" s="736"/>
      <c r="CK32" s="736"/>
      <c r="CL32" s="736"/>
      <c r="CM32" s="736"/>
      <c r="CN32" s="736"/>
      <c r="CO32" s="736"/>
      <c r="CP32" s="736"/>
      <c r="CQ32" s="736"/>
      <c r="CR32" s="736"/>
      <c r="CS32" s="736"/>
      <c r="CT32" s="736"/>
      <c r="CU32" s="736"/>
      <c r="CV32" s="736"/>
      <c r="CW32" s="736"/>
      <c r="CX32" s="736"/>
      <c r="CY32" s="736"/>
      <c r="CZ32" s="736"/>
      <c r="DA32" s="736"/>
      <c r="DB32" s="736"/>
      <c r="DH32" s="141"/>
    </row>
    <row r="33" spans="1:112" ht="15" customHeight="1">
      <c r="A33" s="19" t="s">
        <v>234</v>
      </c>
    </row>
    <row r="34" spans="1:112" ht="21.75" customHeight="1">
      <c r="A34" s="1046" t="s">
        <v>236</v>
      </c>
      <c r="B34" s="1046"/>
      <c r="C34" s="1046"/>
      <c r="D34" s="1046"/>
      <c r="E34" s="1046"/>
      <c r="F34" s="1046" t="s">
        <v>235</v>
      </c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237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/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/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 t="s">
        <v>27</v>
      </c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  <c r="DH34" s="141"/>
    </row>
    <row r="35" spans="1:112" ht="27" customHeight="1">
      <c r="A35" s="1046"/>
      <c r="B35" s="1046"/>
      <c r="C35" s="1046"/>
      <c r="D35" s="1046"/>
      <c r="E35" s="1046"/>
      <c r="F35" s="1046"/>
      <c r="G35" s="1046"/>
      <c r="H35" s="1046"/>
      <c r="I35" s="1046"/>
      <c r="J35" s="1046"/>
      <c r="K35" s="1046"/>
      <c r="L35" s="1046"/>
      <c r="M35" s="1046"/>
      <c r="N35" s="1046"/>
      <c r="O35" s="1046"/>
      <c r="P35" s="1046"/>
      <c r="Q35" s="1046"/>
      <c r="R35" s="1046"/>
      <c r="S35" s="1046"/>
      <c r="T35" s="1046"/>
      <c r="U35" s="1046"/>
      <c r="V35" s="1046"/>
      <c r="W35" s="1046"/>
      <c r="X35" s="1046"/>
      <c r="Y35" s="1046"/>
      <c r="Z35" s="1046" t="s">
        <v>238</v>
      </c>
      <c r="AA35" s="1046"/>
      <c r="AB35" s="1046"/>
      <c r="AC35" s="1046"/>
      <c r="AD35" s="1046"/>
      <c r="AE35" s="1046"/>
      <c r="AF35" s="1046"/>
      <c r="AG35" s="1046"/>
      <c r="AH35" s="1046"/>
      <c r="AI35" s="1046"/>
      <c r="AJ35" s="1046"/>
      <c r="AK35" s="1046"/>
      <c r="AL35" s="1046" t="s">
        <v>239</v>
      </c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46" t="s">
        <v>240</v>
      </c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6" t="s">
        <v>241</v>
      </c>
      <c r="BN35" s="1046"/>
      <c r="BO35" s="1046"/>
      <c r="BP35" s="1046"/>
      <c r="BQ35" s="1046"/>
      <c r="BR35" s="1046"/>
      <c r="BS35" s="1046"/>
      <c r="BT35" s="1046"/>
      <c r="BU35" s="1046"/>
      <c r="BV35" s="1046"/>
      <c r="BW35" s="1046"/>
      <c r="BX35" s="1046"/>
      <c r="BY35" s="1046"/>
      <c r="BZ35" s="1046" t="s">
        <v>242</v>
      </c>
      <c r="CA35" s="1046"/>
      <c r="CB35" s="1046"/>
      <c r="CC35" s="1046"/>
      <c r="CD35" s="1046"/>
      <c r="CE35" s="1046"/>
      <c r="CF35" s="1046"/>
      <c r="CG35" s="1046"/>
      <c r="CH35" s="1046"/>
      <c r="CI35" s="1046"/>
      <c r="CJ35" s="1046"/>
      <c r="CK35" s="1046"/>
      <c r="CL35" s="1046"/>
      <c r="CM35" s="1046"/>
      <c r="CN35" s="1046"/>
      <c r="CO35" s="1046"/>
      <c r="CP35" s="1046"/>
      <c r="CQ35" s="1046"/>
      <c r="CR35" s="1046"/>
      <c r="CS35" s="1046"/>
      <c r="CT35" s="1046"/>
      <c r="CU35" s="1046"/>
      <c r="CV35" s="1046"/>
      <c r="CW35" s="1046"/>
      <c r="CX35" s="1046"/>
      <c r="CY35" s="1046"/>
      <c r="CZ35" s="1046"/>
      <c r="DA35" s="1046"/>
      <c r="DB35" s="1046"/>
    </row>
    <row r="36" spans="1:112" ht="27" customHeight="1">
      <c r="A36" s="835">
        <v>1</v>
      </c>
      <c r="B36" s="1040"/>
      <c r="C36" s="1040"/>
      <c r="D36" s="1040"/>
      <c r="E36" s="836"/>
      <c r="F36" s="835" t="s">
        <v>366</v>
      </c>
      <c r="G36" s="1040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836"/>
      <c r="Z36" s="835" t="s">
        <v>368</v>
      </c>
      <c r="AA36" s="1040"/>
      <c r="AB36" s="1040"/>
      <c r="AC36" s="1040"/>
      <c r="AD36" s="1040"/>
      <c r="AE36" s="1040"/>
      <c r="AF36" s="1040"/>
      <c r="AG36" s="1040"/>
      <c r="AH36" s="1040"/>
      <c r="AI36" s="1040"/>
      <c r="AJ36" s="1040"/>
      <c r="AK36" s="836"/>
      <c r="AL36" s="835" t="s">
        <v>371</v>
      </c>
      <c r="AM36" s="1040"/>
      <c r="AN36" s="1040"/>
      <c r="AO36" s="1040"/>
      <c r="AP36" s="1040"/>
      <c r="AQ36" s="1040"/>
      <c r="AR36" s="1040"/>
      <c r="AS36" s="1040"/>
      <c r="AT36" s="1040"/>
      <c r="AU36" s="1040"/>
      <c r="AV36" s="1040"/>
      <c r="AW36" s="1040"/>
      <c r="AX36" s="1040"/>
      <c r="AY36" s="836"/>
      <c r="AZ36" s="835" t="s">
        <v>890</v>
      </c>
      <c r="BA36" s="1040"/>
      <c r="BB36" s="1040"/>
      <c r="BC36" s="1040"/>
      <c r="BD36" s="1040"/>
      <c r="BE36" s="1040"/>
      <c r="BF36" s="1040"/>
      <c r="BG36" s="1040"/>
      <c r="BH36" s="1040"/>
      <c r="BI36" s="1040"/>
      <c r="BJ36" s="1040"/>
      <c r="BK36" s="1040"/>
      <c r="BL36" s="836"/>
      <c r="BM36" s="1048" t="s">
        <v>865</v>
      </c>
      <c r="BN36" s="1049"/>
      <c r="BO36" s="1049"/>
      <c r="BP36" s="1049"/>
      <c r="BQ36" s="1049"/>
      <c r="BR36" s="1049"/>
      <c r="BS36" s="1049"/>
      <c r="BT36" s="1049"/>
      <c r="BU36" s="1049"/>
      <c r="BV36" s="1049"/>
      <c r="BW36" s="1049"/>
      <c r="BX36" s="1049"/>
      <c r="BY36" s="1050"/>
      <c r="BZ36" s="1037"/>
      <c r="CA36" s="1038"/>
      <c r="CB36" s="1038"/>
      <c r="CC36" s="1038"/>
      <c r="CD36" s="1038"/>
      <c r="CE36" s="1038"/>
      <c r="CF36" s="1038"/>
      <c r="CG36" s="1038"/>
      <c r="CH36" s="1038"/>
      <c r="CI36" s="1038"/>
      <c r="CJ36" s="1038"/>
      <c r="CK36" s="1038"/>
      <c r="CL36" s="1038"/>
      <c r="CM36" s="1038"/>
      <c r="CN36" s="1039"/>
      <c r="CO36" s="835" t="s">
        <v>370</v>
      </c>
      <c r="CP36" s="1040"/>
      <c r="CQ36" s="1040"/>
      <c r="CR36" s="1040"/>
      <c r="CS36" s="1040"/>
      <c r="CT36" s="1040"/>
      <c r="CU36" s="1040"/>
      <c r="CV36" s="1040"/>
      <c r="CW36" s="1040"/>
      <c r="CX36" s="1040"/>
      <c r="CY36" s="1040"/>
      <c r="CZ36" s="1040"/>
      <c r="DA36" s="1040"/>
      <c r="DB36" s="836"/>
    </row>
    <row r="37" spans="1:112" ht="30.75" customHeight="1">
      <c r="A37" s="835">
        <v>2</v>
      </c>
      <c r="B37" s="1040"/>
      <c r="C37" s="1040"/>
      <c r="D37" s="1040"/>
      <c r="E37" s="836"/>
      <c r="F37" s="1037" t="s">
        <v>367</v>
      </c>
      <c r="G37" s="1038"/>
      <c r="H37" s="1038"/>
      <c r="I37" s="1038"/>
      <c r="J37" s="1038"/>
      <c r="K37" s="1038"/>
      <c r="L37" s="1038"/>
      <c r="M37" s="1038"/>
      <c r="N37" s="1038"/>
      <c r="O37" s="1038"/>
      <c r="P37" s="1038"/>
      <c r="Q37" s="1038"/>
      <c r="R37" s="1038"/>
      <c r="S37" s="1038"/>
      <c r="T37" s="1038"/>
      <c r="U37" s="1038"/>
      <c r="V37" s="1038"/>
      <c r="W37" s="1038"/>
      <c r="X37" s="1038"/>
      <c r="Y37" s="1039"/>
      <c r="Z37" s="1037" t="s">
        <v>368</v>
      </c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9"/>
      <c r="AL37" s="1037" t="s">
        <v>369</v>
      </c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9"/>
      <c r="AZ37" s="835" t="s">
        <v>635</v>
      </c>
      <c r="BA37" s="1040"/>
      <c r="BB37" s="1040"/>
      <c r="BC37" s="1040"/>
      <c r="BD37" s="1040"/>
      <c r="BE37" s="1040"/>
      <c r="BF37" s="1040"/>
      <c r="BG37" s="1040"/>
      <c r="BH37" s="1040"/>
      <c r="BI37" s="1040"/>
      <c r="BJ37" s="1040"/>
      <c r="BK37" s="1040"/>
      <c r="BL37" s="836"/>
      <c r="BM37" s="1048" t="s">
        <v>869</v>
      </c>
      <c r="BN37" s="1049"/>
      <c r="BO37" s="1049"/>
      <c r="BP37" s="1049"/>
      <c r="BQ37" s="1049"/>
      <c r="BR37" s="1049"/>
      <c r="BS37" s="1049"/>
      <c r="BT37" s="1049"/>
      <c r="BU37" s="1049"/>
      <c r="BV37" s="1049"/>
      <c r="BW37" s="1049"/>
      <c r="BX37" s="1049"/>
      <c r="BY37" s="1050"/>
      <c r="BZ37" s="1037">
        <v>0.7</v>
      </c>
      <c r="CA37" s="1038"/>
      <c r="CB37" s="1038"/>
      <c r="CC37" s="1038"/>
      <c r="CD37" s="1038"/>
      <c r="CE37" s="1038"/>
      <c r="CF37" s="1038"/>
      <c r="CG37" s="1038"/>
      <c r="CH37" s="1038"/>
      <c r="CI37" s="1038"/>
      <c r="CJ37" s="1038"/>
      <c r="CK37" s="1038"/>
      <c r="CL37" s="1038"/>
      <c r="CM37" s="1038"/>
      <c r="CN37" s="1039"/>
      <c r="CO37" s="835" t="s">
        <v>370</v>
      </c>
      <c r="CP37" s="1040"/>
      <c r="CQ37" s="1040"/>
      <c r="CR37" s="1040"/>
      <c r="CS37" s="1040"/>
      <c r="CT37" s="1040"/>
      <c r="CU37" s="1040"/>
      <c r="CV37" s="1040"/>
      <c r="CW37" s="1040"/>
      <c r="CX37" s="1040"/>
      <c r="CY37" s="1040"/>
      <c r="CZ37" s="1040"/>
      <c r="DA37" s="1040"/>
      <c r="DB37" s="836"/>
      <c r="DH37" s="149"/>
    </row>
    <row r="38" spans="1:112" ht="29.25" customHeight="1">
      <c r="A38" s="1041">
        <v>3</v>
      </c>
      <c r="B38" s="1041"/>
      <c r="C38" s="1041"/>
      <c r="D38" s="1041"/>
      <c r="E38" s="1041"/>
      <c r="F38" s="1042" t="s">
        <v>560</v>
      </c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 t="s">
        <v>368</v>
      </c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 t="s">
        <v>561</v>
      </c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1" t="s">
        <v>559</v>
      </c>
      <c r="BA38" s="1041"/>
      <c r="BB38" s="1041"/>
      <c r="BC38" s="1041"/>
      <c r="BD38" s="1041"/>
      <c r="BE38" s="1041"/>
      <c r="BF38" s="1041"/>
      <c r="BG38" s="1041"/>
      <c r="BH38" s="1041"/>
      <c r="BI38" s="1041"/>
      <c r="BJ38" s="1041"/>
      <c r="BK38" s="1041"/>
      <c r="BL38" s="1041"/>
      <c r="BM38" s="1047" t="s">
        <v>868</v>
      </c>
      <c r="BN38" s="1047"/>
      <c r="BO38" s="1047"/>
      <c r="BP38" s="1047"/>
      <c r="BQ38" s="1047"/>
      <c r="BR38" s="1047"/>
      <c r="BS38" s="1047"/>
      <c r="BT38" s="1047"/>
      <c r="BU38" s="1047"/>
      <c r="BV38" s="1047"/>
      <c r="BW38" s="1047"/>
      <c r="BX38" s="1047"/>
      <c r="BY38" s="1047"/>
      <c r="BZ38" s="1042" t="s">
        <v>64</v>
      </c>
      <c r="CA38" s="1042"/>
      <c r="CB38" s="1042"/>
      <c r="CC38" s="1042"/>
      <c r="CD38" s="1042"/>
      <c r="CE38" s="1042"/>
      <c r="CF38" s="1042"/>
      <c r="CG38" s="1042"/>
      <c r="CH38" s="1042"/>
      <c r="CI38" s="1042"/>
      <c r="CJ38" s="1042"/>
      <c r="CK38" s="1042"/>
      <c r="CL38" s="1042"/>
      <c r="CM38" s="1042"/>
      <c r="CN38" s="1042"/>
      <c r="CO38" s="1041" t="s">
        <v>370</v>
      </c>
      <c r="CP38" s="1041"/>
      <c r="CQ38" s="1041"/>
      <c r="CR38" s="1041"/>
      <c r="CS38" s="1041"/>
      <c r="CT38" s="1041"/>
      <c r="CU38" s="1041"/>
      <c r="CV38" s="1041"/>
      <c r="CW38" s="1041"/>
      <c r="CX38" s="1041"/>
      <c r="CY38" s="1041"/>
      <c r="CZ38" s="1041"/>
      <c r="DA38" s="1041"/>
      <c r="DB38" s="1041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59" t="s">
        <v>404</v>
      </c>
      <c r="AS40" s="759"/>
      <c r="AT40" s="759"/>
      <c r="AU40" s="759"/>
      <c r="AV40" s="759"/>
      <c r="AW40" s="759"/>
      <c r="AX40" s="759"/>
      <c r="AY40" s="759"/>
      <c r="AZ40" s="759"/>
      <c r="BA40" s="759"/>
      <c r="BB40" s="759"/>
      <c r="BC40" s="759"/>
      <c r="BD40" s="759"/>
      <c r="BE40" s="759"/>
      <c r="BF40" s="759"/>
      <c r="BG40" s="759"/>
      <c r="BH40" s="759"/>
      <c r="BI40" s="759"/>
      <c r="BJ40" s="759"/>
      <c r="BK40" s="759"/>
      <c r="BL40" s="759"/>
      <c r="BM40" s="759"/>
      <c r="BN40" s="759"/>
      <c r="BO40" s="759"/>
      <c r="BP40" s="759"/>
      <c r="BQ40" s="759"/>
      <c r="BR40" s="759"/>
      <c r="BS40" s="759"/>
      <c r="BT40" s="759"/>
      <c r="BU40" s="759"/>
      <c r="BV40" s="759"/>
      <c r="BW40" s="759"/>
      <c r="BX40" s="759"/>
      <c r="BY40" s="759"/>
      <c r="BZ40" s="759"/>
      <c r="CA40" s="759"/>
      <c r="CB40" s="759"/>
      <c r="CC40" s="759"/>
      <c r="CD40" s="759"/>
      <c r="CE40" s="759"/>
      <c r="CF40" s="759"/>
      <c r="CG40" s="759"/>
      <c r="CH40" s="759"/>
      <c r="CI40" s="759"/>
      <c r="CJ40" s="759"/>
      <c r="CK40" s="759"/>
      <c r="CL40" s="759"/>
      <c r="CM40" s="759"/>
      <c r="CN40" s="759"/>
      <c r="CO40" s="759"/>
      <c r="CP40" s="759"/>
      <c r="CQ40" s="759"/>
      <c r="CR40" s="759"/>
      <c r="CS40" s="759"/>
      <c r="CT40" s="759"/>
      <c r="CU40" s="759"/>
      <c r="CV40" s="759"/>
      <c r="CW40" s="759"/>
      <c r="CX40" s="759"/>
      <c r="CY40" s="759"/>
      <c r="CZ40" s="759"/>
      <c r="DA40" s="759"/>
      <c r="DB40" s="759"/>
    </row>
    <row r="41" spans="1:112" ht="15" customHeight="1">
      <c r="A41" s="758"/>
      <c r="B41" s="758"/>
      <c r="C41" s="758"/>
      <c r="D41" s="758"/>
      <c r="E41" s="758"/>
      <c r="F41" s="758"/>
      <c r="G41" s="758"/>
      <c r="H41" s="758"/>
      <c r="I41" s="758"/>
      <c r="J41" s="758"/>
      <c r="K41" s="758"/>
      <c r="L41" s="758"/>
      <c r="M41" s="758"/>
      <c r="N41" s="758"/>
      <c r="O41" s="758"/>
      <c r="P41" s="758"/>
      <c r="Q41" s="758"/>
      <c r="R41" s="758"/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</row>
    <row r="42" spans="1:112" ht="15" customHeight="1">
      <c r="A42" s="1045" t="s">
        <v>245</v>
      </c>
      <c r="B42" s="1045"/>
      <c r="C42" s="1045"/>
      <c r="D42" s="1045"/>
      <c r="E42" s="1045"/>
      <c r="F42" s="1045"/>
      <c r="G42" s="1045"/>
      <c r="H42" s="1045"/>
      <c r="I42" s="1045"/>
      <c r="J42" s="1045"/>
      <c r="K42" s="1045"/>
      <c r="L42" s="1045"/>
      <c r="M42" s="1045"/>
      <c r="N42" s="1045"/>
      <c r="O42" s="1045"/>
      <c r="P42" s="1045"/>
      <c r="Q42" s="1045"/>
      <c r="R42" s="1045"/>
      <c r="S42" s="1045"/>
      <c r="T42" s="1045"/>
      <c r="U42" s="1045"/>
      <c r="V42" s="1045"/>
      <c r="W42" s="1045"/>
      <c r="X42" s="1044" t="s">
        <v>249</v>
      </c>
      <c r="Y42" s="1044"/>
      <c r="Z42" s="1044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44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  <c r="BU42" s="1044"/>
      <c r="BV42" s="1044"/>
      <c r="BW42" s="1044"/>
      <c r="BX42" s="1044"/>
      <c r="BY42" s="1044"/>
      <c r="BZ42" s="1044"/>
      <c r="CA42" s="1044"/>
      <c r="CB42" s="1044"/>
      <c r="CC42" s="1044"/>
      <c r="CD42" s="1044"/>
      <c r="CE42" s="1044"/>
      <c r="CF42" s="1044"/>
      <c r="CG42" s="1044"/>
      <c r="CH42" s="1044"/>
      <c r="CI42" s="1044"/>
      <c r="CJ42" s="1044"/>
      <c r="CK42" s="1044"/>
      <c r="CL42" s="1044"/>
      <c r="CM42" s="1044"/>
      <c r="CN42" s="1044"/>
      <c r="CO42" s="1044"/>
      <c r="CP42" s="1044"/>
      <c r="CQ42" s="1044"/>
      <c r="CR42" s="1044"/>
      <c r="CS42" s="1044"/>
      <c r="CT42" s="1044"/>
      <c r="CU42" s="1044"/>
      <c r="CV42" s="1044"/>
      <c r="CW42" s="1044"/>
      <c r="CX42" s="1044"/>
      <c r="CY42" s="1044"/>
      <c r="CZ42" s="1044"/>
      <c r="DA42" s="1044"/>
      <c r="DB42" s="1044"/>
      <c r="DH42" s="141"/>
    </row>
    <row r="43" spans="1:112" ht="15" customHeight="1">
      <c r="A43" s="767" t="s">
        <v>246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58" t="s">
        <v>247</v>
      </c>
      <c r="S43" s="758"/>
      <c r="T43" s="758"/>
      <c r="U43" s="758"/>
      <c r="V43" s="758"/>
      <c r="W43" s="758"/>
      <c r="X43" s="758"/>
      <c r="Y43" s="758"/>
      <c r="Z43" s="758"/>
      <c r="AA43" s="758"/>
      <c r="AB43" s="758"/>
      <c r="AC43" s="758"/>
      <c r="AD43" s="758"/>
      <c r="AE43" s="758"/>
      <c r="AF43" s="758"/>
      <c r="AG43" s="758"/>
      <c r="AH43" s="758"/>
      <c r="AI43" s="758"/>
      <c r="AJ43" s="758"/>
      <c r="AK43" s="758"/>
      <c r="AL43" s="758"/>
      <c r="AM43" s="758"/>
      <c r="AN43" s="758"/>
      <c r="AO43" s="758"/>
      <c r="AP43" s="758"/>
      <c r="AQ43" s="758"/>
      <c r="AR43" s="758"/>
      <c r="AS43" s="758"/>
      <c r="AT43" s="758"/>
      <c r="AU43" s="758"/>
      <c r="AV43" s="758"/>
      <c r="AW43" s="758"/>
      <c r="AX43" s="758"/>
      <c r="AY43" s="758"/>
      <c r="AZ43" s="758"/>
      <c r="BA43" s="758"/>
      <c r="BB43" s="758"/>
      <c r="BC43" s="758"/>
      <c r="BD43" s="758"/>
      <c r="BE43" s="758"/>
      <c r="BF43" s="758"/>
      <c r="BG43" s="758"/>
      <c r="BH43" s="758"/>
      <c r="BI43" s="758"/>
      <c r="BJ43" s="758"/>
      <c r="BK43" s="758"/>
      <c r="BL43" s="75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8"/>
      <c r="BY43" s="758"/>
      <c r="BZ43" s="758"/>
      <c r="CA43" s="758"/>
      <c r="CB43" s="758"/>
      <c r="CC43" s="758"/>
      <c r="CD43" s="758"/>
      <c r="CE43" s="758"/>
      <c r="CF43" s="758"/>
      <c r="CG43" s="758"/>
      <c r="CH43" s="758"/>
      <c r="CI43" s="758"/>
      <c r="CJ43" s="758"/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ht="9" customHeight="1"/>
    <row r="45" spans="1:112" customFormat="1" ht="50.25" customHeight="1">
      <c r="A45" s="766" t="s">
        <v>721</v>
      </c>
      <c r="B45" s="766"/>
      <c r="C45" s="766"/>
      <c r="D45" s="766"/>
      <c r="E45" s="766"/>
      <c r="F45" s="766"/>
      <c r="G45" s="766"/>
      <c r="H45" s="766"/>
      <c r="I45" s="766"/>
      <c r="J45" s="766"/>
      <c r="K45" s="766"/>
      <c r="L45" s="766"/>
      <c r="M45" s="766"/>
      <c r="N45" s="766"/>
      <c r="O45" s="766"/>
      <c r="P45" s="766"/>
      <c r="Q45" s="766"/>
      <c r="R45" s="766"/>
      <c r="S45" s="766"/>
      <c r="T45" s="766"/>
      <c r="U45" s="766"/>
      <c r="V45" s="766"/>
      <c r="W45" s="766"/>
      <c r="X45" s="766"/>
      <c r="Y45" s="766"/>
      <c r="Z45" s="766"/>
      <c r="AA45" s="766"/>
      <c r="AB45" s="766"/>
      <c r="AC45" s="766"/>
      <c r="AD45" s="766"/>
      <c r="AE45" s="766"/>
      <c r="AF45" s="766"/>
      <c r="AG45" s="766"/>
      <c r="AH45" s="766"/>
      <c r="AI45" s="766"/>
      <c r="AJ45" s="766"/>
      <c r="AK45" s="766"/>
      <c r="AL45" s="766"/>
      <c r="AM45" s="76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23"/>
      <c r="CH45" s="23"/>
      <c r="CI45" s="23"/>
      <c r="CJ45" s="758" t="str">
        <f>ПОДПИСИ!E6</f>
        <v>Д.М. Чечин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customFormat="1" ht="48" customHeight="1">
      <c r="A47" s="766" t="s">
        <v>717</v>
      </c>
      <c r="B47" s="766"/>
      <c r="C47" s="766"/>
      <c r="D47" s="766"/>
      <c r="E47" s="766"/>
      <c r="F47" s="766"/>
      <c r="G47" s="766"/>
      <c r="H47" s="766"/>
      <c r="I47" s="766"/>
      <c r="J47" s="766"/>
      <c r="K47" s="766"/>
      <c r="L47" s="766"/>
      <c r="M47" s="766"/>
      <c r="N47" s="766"/>
      <c r="O47" s="766"/>
      <c r="P47" s="766"/>
      <c r="Q47" s="766"/>
      <c r="R47" s="766"/>
      <c r="S47" s="766"/>
      <c r="T47" s="766"/>
      <c r="U47" s="766"/>
      <c r="V47" s="766"/>
      <c r="W47" s="766"/>
      <c r="X47" s="766"/>
      <c r="Y47" s="766"/>
      <c r="Z47" s="766"/>
      <c r="AA47" s="766"/>
      <c r="AB47" s="766"/>
      <c r="AC47" s="766"/>
      <c r="AD47" s="766"/>
      <c r="AE47" s="766"/>
      <c r="AF47" s="766"/>
      <c r="AG47" s="766"/>
      <c r="AH47" s="766"/>
      <c r="AI47" s="766"/>
      <c r="AJ47" s="766"/>
      <c r="AK47" s="766"/>
      <c r="AL47" s="766"/>
      <c r="AM47" s="76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0"/>
      <c r="BJ47" s="760"/>
      <c r="BK47" s="760"/>
      <c r="BL47" s="760"/>
      <c r="BM47" s="760"/>
      <c r="BN47" s="760"/>
      <c r="BO47" s="760"/>
      <c r="BP47" s="760"/>
      <c r="BQ47" s="760"/>
      <c r="BR47" s="760"/>
      <c r="BS47" s="760"/>
      <c r="BT47" s="760"/>
      <c r="BU47" s="760"/>
      <c r="BV47" s="760"/>
      <c r="BW47" s="760"/>
      <c r="BX47" s="760"/>
      <c r="BY47" s="760"/>
      <c r="BZ47" s="760"/>
      <c r="CA47" s="760"/>
      <c r="CB47" s="760"/>
      <c r="CC47" s="760"/>
      <c r="CD47" s="760"/>
      <c r="CE47" s="760"/>
      <c r="CF47" s="760"/>
      <c r="CG47" s="19"/>
      <c r="CH47" s="19"/>
      <c r="CI47" s="19"/>
      <c r="CJ47" s="758" t="str">
        <f>ПОДПИСИ!E12</f>
        <v>А.Р. Махмадов</v>
      </c>
      <c r="CK47" s="758"/>
      <c r="CL47" s="758"/>
      <c r="CM47" s="758"/>
      <c r="CN47" s="758"/>
      <c r="CO47" s="758"/>
      <c r="CP47" s="758"/>
      <c r="CQ47" s="758"/>
      <c r="CR47" s="758"/>
      <c r="CS47" s="758"/>
      <c r="CT47" s="758"/>
      <c r="CU47" s="758"/>
      <c r="CV47" s="758"/>
      <c r="CW47" s="758"/>
      <c r="CX47" s="758"/>
      <c r="CY47" s="758"/>
      <c r="CZ47" s="758"/>
      <c r="DA47" s="758"/>
      <c r="DB47" s="758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36" t="s">
        <v>11</v>
      </c>
      <c r="BJ48" s="736"/>
      <c r="BK48" s="736"/>
      <c r="BL48" s="736"/>
      <c r="BM48" s="736"/>
      <c r="BN48" s="736"/>
      <c r="BO48" s="736"/>
      <c r="BP48" s="736"/>
      <c r="BQ48" s="736"/>
      <c r="BR48" s="736"/>
      <c r="BS48" s="736"/>
      <c r="BT48" s="736"/>
      <c r="BU48" s="736"/>
      <c r="BV48" s="736"/>
      <c r="BW48" s="736"/>
      <c r="BX48" s="736"/>
      <c r="BY48" s="736"/>
      <c r="BZ48" s="736"/>
      <c r="CA48" s="736"/>
      <c r="CB48" s="736"/>
      <c r="CC48" s="736"/>
      <c r="CD48" s="736"/>
      <c r="CE48" s="736"/>
      <c r="CF48" s="736"/>
      <c r="CG48" s="21"/>
      <c r="CH48" s="21"/>
      <c r="CI48" s="21"/>
      <c r="CJ48" s="1043" t="s">
        <v>50</v>
      </c>
      <c r="CK48" s="1043"/>
      <c r="CL48" s="1043"/>
      <c r="CM48" s="1043"/>
      <c r="CN48" s="1043"/>
      <c r="CO48" s="1043"/>
      <c r="CP48" s="1043"/>
      <c r="CQ48" s="1043"/>
      <c r="CR48" s="1043"/>
      <c r="CS48" s="1043"/>
      <c r="CT48" s="1043"/>
      <c r="CU48" s="1043"/>
      <c r="CV48" s="1043"/>
      <c r="CW48" s="1043"/>
      <c r="CX48" s="1043"/>
      <c r="CY48" s="1043"/>
      <c r="CZ48" s="1043"/>
      <c r="DA48" s="1043"/>
      <c r="DB48" s="1043"/>
      <c r="DH48" s="141"/>
    </row>
    <row r="49" spans="112:112" ht="14">
      <c r="DH49" s="150"/>
    </row>
    <row r="51" spans="112:112" ht="14">
      <c r="DH51" s="141"/>
    </row>
    <row r="52" spans="112:112" ht="14">
      <c r="DH52" s="151"/>
    </row>
    <row r="53" spans="112:112" ht="14">
      <c r="DH53" s="141"/>
    </row>
    <row r="54" spans="112:112" ht="14">
      <c r="DH54" s="152"/>
    </row>
    <row r="55" spans="112:112" ht="14">
      <c r="DH55" s="141"/>
    </row>
    <row r="56" spans="112:112" ht="14">
      <c r="DH56" s="153"/>
    </row>
    <row r="57" spans="112:112" ht="14">
      <c r="DH57" s="141"/>
    </row>
    <row r="58" spans="112:112" ht="14">
      <c r="DH58" s="152"/>
    </row>
    <row r="59" spans="112:112" ht="14">
      <c r="DH59" s="141"/>
    </row>
    <row r="60" spans="112:112" ht="14">
      <c r="DH60" s="151"/>
    </row>
    <row r="61" spans="112:112" ht="14">
      <c r="DH61" s="141"/>
    </row>
    <row r="62" spans="112:112" ht="14">
      <c r="DH62" s="151"/>
    </row>
    <row r="63" spans="112:112" ht="14">
      <c r="DH63" s="141"/>
    </row>
    <row r="65" spans="112:112" ht="14">
      <c r="DH65" s="141"/>
    </row>
    <row r="67" spans="112:112" ht="14">
      <c r="DH67" s="141"/>
    </row>
    <row r="68" spans="112:112" ht="14">
      <c r="DH68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  <row r="80" spans="112:112" ht="14">
      <c r="DH80" s="141"/>
    </row>
    <row r="81" spans="112:112" ht="14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95" priority="3" operator="equal">
      <formula>0</formula>
    </cfRule>
  </conditionalFormatting>
  <conditionalFormatting sqref="DH2:DH7">
    <cfRule type="cellIs" dxfId="94" priority="2" operator="equal">
      <formula>0</formula>
    </cfRule>
  </conditionalFormatting>
  <conditionalFormatting sqref="DH9">
    <cfRule type="cellIs" dxfId="9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4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1730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92" priority="4" operator="equal">
      <formula>0</formula>
    </cfRule>
  </conditionalFormatting>
  <conditionalFormatting sqref="DH2:DH7">
    <cfRule type="cellIs" dxfId="91" priority="2" operator="equal">
      <formula>0</formula>
    </cfRule>
  </conditionalFormatting>
  <conditionalFormatting sqref="DH9">
    <cfRule type="cellIs" dxfId="9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73CB-5A27-475E-A77C-9A8BE855C160}">
  <sheetPr>
    <tabColor rgb="FF92D050"/>
  </sheetPr>
  <dimension ref="A1:DH79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1731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55" priority="3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dataValidations count="2">
    <dataValidation type="list" allowBlank="1" showInputMessage="1" showErrorMessage="1" sqref="AL35:AY36" xr:uid="{A4133069-5515-4862-A564-597F3703332F}">
      <formula1>INDIRECT("ЗУ[Профиль]")</formula1>
    </dataValidation>
    <dataValidation type="list" allowBlank="1" showInputMessage="1" showErrorMessage="1" sqref="F35:Y36" xr:uid="{6C31709B-E97F-476D-957E-AC6783F679DA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6B26-F580-4D3B-AFF7-1271693F007A}">
  <sheetPr>
    <tabColor rgb="FF92D050"/>
  </sheetPr>
  <dimension ref="A1:DH79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1732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52" priority="3" operator="equal">
      <formula>0</formula>
    </cfRule>
  </conditionalFormatting>
  <conditionalFormatting sqref="DH2:DH7">
    <cfRule type="cellIs" dxfId="51" priority="2" operator="equal">
      <formula>0</formula>
    </cfRule>
  </conditionalFormatting>
  <conditionalFormatting sqref="DH9">
    <cfRule type="cellIs" dxfId="50" priority="1" operator="equal">
      <formula>0</formula>
    </cfRule>
  </conditionalFormatting>
  <dataValidations count="2">
    <dataValidation type="list" allowBlank="1" showInputMessage="1" showErrorMessage="1" sqref="AL35:AY36" xr:uid="{60C52477-7CC2-4941-ADAC-3088176BB1AD}">
      <formula1>INDIRECT("ЗУ[Профиль]")</formula1>
    </dataValidation>
    <dataValidation type="list" allowBlank="1" showInputMessage="1" showErrorMessage="1" sqref="F35:Y36" xr:uid="{4A57A32D-ABE2-4FB4-AC48-62AE7F54F64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B00E-758D-4C59-903B-F0775E3CE9FC}">
  <sheetPr>
    <tabColor rgb="FF92D050"/>
  </sheetPr>
  <dimension ref="A1:DH79"/>
  <sheetViews>
    <sheetView view="pageBreakPreview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1733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46" priority="3" operator="equal">
      <formula>0</formula>
    </cfRule>
  </conditionalFormatting>
  <conditionalFormatting sqref="DH2:DH7">
    <cfRule type="cellIs" dxfId="45" priority="2" operator="equal">
      <formula>0</formula>
    </cfRule>
  </conditionalFormatting>
  <conditionalFormatting sqref="DH9">
    <cfRule type="cellIs" dxfId="44" priority="1" operator="equal">
      <formula>0</formula>
    </cfRule>
  </conditionalFormatting>
  <dataValidations count="2">
    <dataValidation type="list" allowBlank="1" showInputMessage="1" showErrorMessage="1" sqref="AL35:AY36" xr:uid="{CA5F3E69-F06D-4939-9F16-C1853000DC9D}">
      <formula1>INDIRECT("ЗУ[Профиль]")</formula1>
    </dataValidation>
    <dataValidation type="list" allowBlank="1" showInputMessage="1" showErrorMessage="1" sqref="F35:Y36" xr:uid="{597B0D29-9011-44DB-8098-9F6EB86D0AA4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2697-9485-4606-9D35-7F2C4B81828A}">
  <sheetPr>
    <tabColor rgb="FF92D050"/>
  </sheetPr>
  <dimension ref="A1:DH79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1734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43" priority="3" operator="equal">
      <formula>0</formula>
    </cfRule>
  </conditionalFormatting>
  <conditionalFormatting sqref="DH2:DH7">
    <cfRule type="cellIs" dxfId="42" priority="2" operator="equal">
      <formula>0</formula>
    </cfRule>
  </conditionalFormatting>
  <conditionalFormatting sqref="DH9">
    <cfRule type="cellIs" dxfId="41" priority="1" operator="equal">
      <formula>0</formula>
    </cfRule>
  </conditionalFormatting>
  <dataValidations count="2">
    <dataValidation type="list" allowBlank="1" showInputMessage="1" showErrorMessage="1" sqref="F35:Y36" xr:uid="{76802B8E-C255-44DB-9B14-A100FEF8390A}">
      <formula1>INDIRECT("ЗУ[Элемент]")</formula1>
    </dataValidation>
    <dataValidation type="list" allowBlank="1" showInputMessage="1" showErrorMessage="1" sqref="AL35:AY36" xr:uid="{70475FBD-2A35-4B62-B409-705D100EC9EA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B37-CCCB-42CE-BEE8-EAF2971A2B77}">
  <sheetPr>
    <tabColor rgb="FF92D050"/>
  </sheetPr>
  <dimension ref="A1:DH79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1735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40" priority="3" operator="equal">
      <formula>0</formula>
    </cfRule>
  </conditionalFormatting>
  <conditionalFormatting sqref="DH2:DH7">
    <cfRule type="cellIs" dxfId="39" priority="2" operator="equal">
      <formula>0</formula>
    </cfRule>
  </conditionalFormatting>
  <conditionalFormatting sqref="DH9">
    <cfRule type="cellIs" dxfId="38" priority="1" operator="equal">
      <formula>0</formula>
    </cfRule>
  </conditionalFormatting>
  <dataValidations count="2">
    <dataValidation type="list" allowBlank="1" showInputMessage="1" showErrorMessage="1" sqref="F35:Y36" xr:uid="{A3E5A54B-6C88-4B9B-B5CB-4B25731B2459}">
      <formula1>INDIRECT("ЗУ[Элемент]")</formula1>
    </dataValidation>
    <dataValidation type="list" allowBlank="1" showInputMessage="1" showErrorMessage="1" sqref="AL35:AY36" xr:uid="{1806190C-FDB7-43A4-8460-6E3F5344CB02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63B-9B1B-4398-A6C8-E0102B60BD7D}">
  <sheetPr>
    <tabColor rgb="FF92D050"/>
  </sheetPr>
  <dimension ref="A1:DH79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1736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37" priority="3" operator="equal">
      <formula>0</formula>
    </cfRule>
  </conditionalFormatting>
  <conditionalFormatting sqref="DH2:DH7">
    <cfRule type="cellIs" dxfId="36" priority="2" operator="equal">
      <formula>0</formula>
    </cfRule>
  </conditionalFormatting>
  <conditionalFormatting sqref="DH9">
    <cfRule type="cellIs" dxfId="35" priority="1" operator="equal">
      <formula>0</formula>
    </cfRule>
  </conditionalFormatting>
  <dataValidations count="2">
    <dataValidation type="list" allowBlank="1" showInputMessage="1" showErrorMessage="1" sqref="AL35:AY36" xr:uid="{0C45FDAA-7D01-4E5B-9763-3519F6D1AD00}">
      <formula1>INDIRECT("ЗУ[Профиль]")</formula1>
    </dataValidation>
    <dataValidation type="list" allowBlank="1" showInputMessage="1" showErrorMessage="1" sqref="F35:Y36" xr:uid="{FF3C5E93-199B-4322-A16D-0B95DFF423C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FCF5-1E55-4F4B-96B3-0C0CF7E226C6}">
  <sheetPr>
    <tabColor rgb="FF92D050"/>
  </sheetPr>
  <dimension ref="A1:DH79"/>
  <sheetViews>
    <sheetView view="pageBreakPreview" zoomScale="60" zoomScaleNormal="100" workbookViewId="0">
      <selection activeCell="A23" sqref="A23:DB23"/>
    </sheetView>
  </sheetViews>
  <sheetFormatPr defaultColWidth="9.1796875" defaultRowHeight="14.5"/>
  <cols>
    <col min="1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2.1796875" style="147" customWidth="1"/>
    <col min="113" max="16384" width="9.179687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BD2" s="758" t="str">
        <f>ФОРМА!G2</f>
        <v>Санкт-Петербург</v>
      </c>
      <c r="BE2" s="758"/>
      <c r="BF2" s="758"/>
      <c r="BG2" s="758"/>
      <c r="BH2" s="758"/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H2" s="142"/>
    </row>
    <row r="3" spans="1:112" s="50" customFormat="1" ht="15" customHeight="1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21"/>
      <c r="AV3" s="21"/>
      <c r="AW3" s="21"/>
      <c r="AX3" s="21"/>
      <c r="AY3" s="21"/>
      <c r="AZ3" s="21"/>
      <c r="BA3" s="21"/>
      <c r="BB3" s="21"/>
      <c r="BC3" s="21"/>
      <c r="BD3" s="770" t="s">
        <v>0</v>
      </c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43"/>
    </row>
    <row r="4" spans="1:112" ht="22.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21"/>
      <c r="AV5" s="21"/>
      <c r="AW5" s="21"/>
      <c r="AX5" s="21"/>
      <c r="AY5" s="21"/>
      <c r="AZ5" s="21"/>
      <c r="BA5" s="21"/>
      <c r="BB5" s="21"/>
      <c r="BC5" s="21"/>
      <c r="BD5" s="770" t="s">
        <v>2</v>
      </c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43.5" customHeight="1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21"/>
      <c r="AV7" s="21"/>
      <c r="AW7" s="21"/>
      <c r="AX7" s="21"/>
      <c r="AY7" s="21"/>
      <c r="AZ7" s="21"/>
      <c r="BA7" s="21"/>
      <c r="BB7" s="21"/>
      <c r="BC7" s="21"/>
      <c r="BD7" s="770" t="s">
        <v>38</v>
      </c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43"/>
    </row>
    <row r="8" spans="1:112" ht="14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BD8" s="735">
        <f>ФОРМА!B13</f>
        <v>45625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21"/>
      <c r="BB9" s="21"/>
      <c r="BC9" s="21"/>
      <c r="BD9" s="770" t="s">
        <v>3</v>
      </c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46"/>
    </row>
    <row r="10" spans="1:112" ht="21.75" customHeight="1">
      <c r="A10" s="822" t="s">
        <v>598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4">
      <c r="A11" s="822" t="s">
        <v>1737</v>
      </c>
      <c r="B11" s="822"/>
      <c r="C11" s="822"/>
      <c r="D11" s="822"/>
      <c r="E11" s="822"/>
      <c r="F11" s="822"/>
      <c r="G11" s="822"/>
      <c r="H11" s="822"/>
      <c r="I11" s="822"/>
      <c r="J11" s="822"/>
      <c r="K11" s="822"/>
      <c r="L11" s="822"/>
      <c r="M11" s="822"/>
      <c r="N11" s="822"/>
      <c r="O11" s="822"/>
      <c r="P11" s="822"/>
      <c r="Q11" s="822"/>
      <c r="R11" s="822"/>
      <c r="S11" s="822"/>
      <c r="T11" s="822"/>
      <c r="U11" s="822"/>
      <c r="V11" s="822"/>
      <c r="W11" s="822"/>
      <c r="X11" s="822"/>
      <c r="Y11" s="822"/>
      <c r="Z11" s="822"/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22"/>
      <c r="AR11" s="822"/>
      <c r="AS11" s="822"/>
      <c r="AT11" s="822"/>
      <c r="AU11" s="822"/>
      <c r="AV11" s="822"/>
      <c r="AW11" s="822"/>
      <c r="AX11" s="822"/>
      <c r="AY11" s="822"/>
      <c r="AZ11" s="822"/>
      <c r="BA11" s="822"/>
      <c r="BB11" s="822"/>
      <c r="BC11" s="822"/>
      <c r="BD11" s="822"/>
      <c r="BE11" s="822"/>
      <c r="BF11" s="822"/>
      <c r="BG11" s="822"/>
      <c r="BH11" s="822"/>
      <c r="BI11" s="822"/>
      <c r="BJ11" s="822"/>
      <c r="BK11" s="822"/>
      <c r="BL11" s="822"/>
      <c r="BM11" s="822"/>
      <c r="BN11" s="822"/>
      <c r="BO11" s="822"/>
      <c r="BP11" s="822"/>
      <c r="BQ11" s="822"/>
      <c r="BR11" s="822"/>
      <c r="BS11" s="822"/>
      <c r="BT11" s="822"/>
      <c r="BU11" s="822"/>
      <c r="BV11" s="822"/>
      <c r="BW11" s="822"/>
      <c r="BX11" s="822"/>
      <c r="BY11" s="822"/>
      <c r="BZ11" s="822"/>
      <c r="CA11" s="822"/>
      <c r="CB11" s="822"/>
      <c r="CC11" s="822"/>
      <c r="CD11" s="822"/>
      <c r="CE11" s="822"/>
      <c r="CF11" s="822"/>
      <c r="CG11" s="822"/>
      <c r="CH11" s="822"/>
      <c r="CI11" s="822"/>
      <c r="CJ11" s="822"/>
      <c r="CK11" s="822"/>
      <c r="CL11" s="822"/>
      <c r="CM11" s="822"/>
      <c r="CN11" s="822"/>
      <c r="CO11" s="822"/>
      <c r="CP11" s="822"/>
      <c r="CQ11" s="822"/>
      <c r="CR11" s="822"/>
      <c r="CS11" s="822"/>
      <c r="CT11" s="822"/>
      <c r="CU11" s="822"/>
      <c r="CV11" s="822"/>
      <c r="CW11" s="822"/>
      <c r="CX11" s="822"/>
      <c r="CY11" s="822"/>
      <c r="CZ11" s="822"/>
      <c r="DA11" s="822"/>
      <c r="DB11" s="822"/>
      <c r="DH11" s="141"/>
    </row>
    <row r="12" spans="1:112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</row>
    <row r="13" spans="1:112" ht="30" customHeight="1">
      <c r="A13" s="767" t="s">
        <v>725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Z13" s="767"/>
      <c r="AA13" s="767"/>
      <c r="AB13" s="767"/>
      <c r="AC13" s="767"/>
      <c r="AD13" s="767"/>
      <c r="AE13" s="767"/>
      <c r="AF13" s="767"/>
      <c r="AG13" s="1051" t="str">
        <f>ПОДПИСИ!B5</f>
        <v>Начальник мастерского участка №1 Курортного РЭС ПАО «Россети Ленэнерго» «СЭС»</v>
      </c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51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1"/>
      <c r="DB13" s="105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0" t="s">
        <v>5</v>
      </c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8.5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1053" t="str">
        <f>ПОДПИСИ!B13</f>
        <v xml:space="preserve">Производитель работ ООО«БЭСК» </v>
      </c>
      <c r="BD16" s="1053"/>
      <c r="BE16" s="1053"/>
      <c r="BF16" s="1053"/>
      <c r="BG16" s="1053"/>
      <c r="BH16" s="1053"/>
      <c r="BI16" s="1053"/>
      <c r="BJ16" s="1053"/>
      <c r="BK16" s="1053"/>
      <c r="BL16" s="1053"/>
      <c r="BM16" s="1053"/>
      <c r="BN16" s="1053"/>
      <c r="BO16" s="1053"/>
      <c r="BP16" s="1053"/>
      <c r="BQ16" s="1053"/>
      <c r="BR16" s="1053"/>
      <c r="BS16" s="1053"/>
      <c r="BT16" s="1053"/>
      <c r="BU16" s="1053"/>
      <c r="BV16" s="1053"/>
      <c r="BW16" s="1053"/>
      <c r="BX16" s="1053"/>
      <c r="BY16" s="1053"/>
      <c r="BZ16" s="1053"/>
      <c r="CA16" s="1053"/>
      <c r="CB16" s="1053"/>
      <c r="CC16" s="1053"/>
      <c r="CD16" s="1053"/>
      <c r="CE16" s="1053"/>
      <c r="CF16" s="1053"/>
      <c r="CG16" s="1053"/>
      <c r="CH16" s="1053"/>
      <c r="CI16" s="1053"/>
      <c r="CJ16" s="1053"/>
      <c r="CK16" s="1053"/>
      <c r="CL16" s="1053"/>
      <c r="CM16" s="1053"/>
      <c r="CN16" s="1053"/>
      <c r="CO16" s="1053"/>
      <c r="CP16" s="1053"/>
      <c r="CQ16" s="1053"/>
      <c r="CR16" s="1053"/>
      <c r="CS16" s="1053"/>
      <c r="CT16" s="1053"/>
      <c r="CU16" s="1053"/>
      <c r="CV16" s="1053"/>
      <c r="CW16" s="1053"/>
      <c r="CX16" s="1053"/>
      <c r="CY16" s="1053"/>
      <c r="CZ16" s="1053"/>
      <c r="DA16" s="1053"/>
      <c r="DB16" s="105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0" t="s">
        <v>5</v>
      </c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1.15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223</v>
      </c>
    </row>
    <row r="21" spans="1:112">
      <c r="A21" s="19" t="s">
        <v>224</v>
      </c>
    </row>
    <row r="22" spans="1:112">
      <c r="A22" s="764" t="s">
        <v>225</v>
      </c>
      <c r="B22" s="764"/>
      <c r="C22" s="764"/>
      <c r="D22" s="764"/>
      <c r="E22" s="764"/>
      <c r="F22" s="764"/>
      <c r="G22" s="764"/>
      <c r="H22" s="764"/>
      <c r="I22" s="764"/>
      <c r="J22" s="764"/>
      <c r="K22" s="764"/>
      <c r="L22" s="764"/>
      <c r="M22" s="764"/>
      <c r="N22" s="764"/>
      <c r="O22" s="764"/>
      <c r="P22" s="764"/>
      <c r="Q22" s="764"/>
      <c r="R22" s="764"/>
      <c r="S22" s="764"/>
      <c r="T22" s="764"/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4"/>
      <c r="AI22" s="764"/>
      <c r="AJ22" s="764"/>
      <c r="AK22" s="764"/>
      <c r="AL22" s="764"/>
      <c r="AM22" s="764"/>
      <c r="AN22" s="764"/>
      <c r="AO22" s="764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4"/>
      <c r="BW22" s="764"/>
      <c r="BX22" s="764"/>
      <c r="BY22" s="764"/>
      <c r="BZ22" s="764"/>
      <c r="CA22" s="764"/>
      <c r="CB22" s="764"/>
      <c r="CC22" s="764"/>
      <c r="CD22" s="764"/>
      <c r="CE22" s="764"/>
      <c r="CF22" s="764"/>
      <c r="CG22" s="764"/>
      <c r="CH22" s="764"/>
      <c r="CI22" s="764"/>
      <c r="CJ22" s="764"/>
      <c r="CK22" s="764"/>
      <c r="CL22" s="764"/>
      <c r="CM22" s="764"/>
      <c r="CN22" s="764"/>
      <c r="CO22" s="764"/>
      <c r="CP22" s="764"/>
      <c r="CQ22" s="764"/>
      <c r="CR22" s="764"/>
      <c r="CS22" s="764"/>
      <c r="CT22" s="764"/>
      <c r="CU22" s="764"/>
      <c r="CV22" s="764"/>
      <c r="CW22" s="764"/>
      <c r="CX22" s="764"/>
      <c r="CY22" s="764"/>
      <c r="CZ22" s="764"/>
      <c r="DA22" s="764"/>
      <c r="DB22" s="764"/>
    </row>
    <row r="23" spans="1:112" ht="56" customHeight="1">
      <c r="A23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0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0"/>
      <c r="BL23" s="820"/>
      <c r="BM23" s="820"/>
      <c r="BN23" s="820"/>
      <c r="BO23" s="820"/>
      <c r="BP23" s="820"/>
      <c r="BQ23" s="820"/>
      <c r="BR23" s="820"/>
      <c r="BS23" s="820"/>
      <c r="BT23" s="820"/>
      <c r="BU23" s="820"/>
      <c r="BV23" s="820"/>
      <c r="BW23" s="820"/>
      <c r="BX23" s="820"/>
      <c r="BY23" s="820"/>
      <c r="BZ23" s="820"/>
      <c r="CA23" s="820"/>
      <c r="CB23" s="820"/>
      <c r="CC23" s="820"/>
      <c r="CD23" s="820"/>
      <c r="CE23" s="820"/>
      <c r="CF23" s="820"/>
      <c r="CG23" s="820"/>
      <c r="CH23" s="820"/>
      <c r="CI23" s="820"/>
      <c r="CJ23" s="820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820"/>
      <c r="CW23" s="820"/>
      <c r="CX23" s="820"/>
      <c r="CY23" s="820"/>
      <c r="CZ23" s="820"/>
      <c r="DA23" s="820"/>
      <c r="DB23" s="820"/>
      <c r="DD23" s="56"/>
      <c r="DE23" s="57"/>
      <c r="DF23" s="57"/>
    </row>
    <row r="24" spans="1:112" s="24" customFormat="1" ht="10.15" customHeight="1">
      <c r="A24" s="1052" t="s">
        <v>226</v>
      </c>
      <c r="B24" s="1052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2"/>
      <c r="AD24" s="1052"/>
      <c r="AE24" s="1052"/>
      <c r="AF24" s="1052"/>
      <c r="AG24" s="1052"/>
      <c r="AH24" s="1052"/>
      <c r="AI24" s="1052"/>
      <c r="AJ24" s="1052"/>
      <c r="AK24" s="1052"/>
      <c r="AL24" s="1052"/>
      <c r="AM24" s="1052"/>
      <c r="AN24" s="1052"/>
      <c r="AO24" s="1052"/>
      <c r="AP24" s="1052"/>
      <c r="AQ24" s="1052"/>
      <c r="AR24" s="1052"/>
      <c r="AS24" s="1052"/>
      <c r="AT24" s="1052"/>
      <c r="AU24" s="1052"/>
      <c r="AV24" s="1052"/>
      <c r="AW24" s="1052"/>
      <c r="AX24" s="1052"/>
      <c r="AY24" s="1052"/>
      <c r="AZ24" s="1052"/>
      <c r="BA24" s="1052"/>
      <c r="BB24" s="1052"/>
      <c r="BC24" s="1052"/>
      <c r="BD24" s="1052"/>
      <c r="BE24" s="1052"/>
      <c r="BF24" s="1052"/>
      <c r="BG24" s="1052"/>
      <c r="BH24" s="1052"/>
      <c r="BI24" s="1052"/>
      <c r="BJ24" s="1052"/>
      <c r="BK24" s="1052"/>
      <c r="BL24" s="1052"/>
      <c r="BM24" s="1052"/>
      <c r="BN24" s="1052"/>
      <c r="BO24" s="1052"/>
      <c r="BP24" s="1052"/>
      <c r="BQ24" s="1052"/>
      <c r="BR24" s="1052"/>
      <c r="BS24" s="1052"/>
      <c r="BT24" s="1052"/>
      <c r="BU24" s="1052"/>
      <c r="BV24" s="1052"/>
      <c r="BW24" s="1052"/>
      <c r="BX24" s="1052"/>
      <c r="BY24" s="1052"/>
      <c r="BZ24" s="1052"/>
      <c r="CA24" s="1052"/>
      <c r="CB24" s="1052"/>
      <c r="CC24" s="1052"/>
      <c r="CD24" s="1052"/>
      <c r="CE24" s="1052"/>
      <c r="CF24" s="1052"/>
      <c r="CG24" s="1052"/>
      <c r="CH24" s="1052"/>
      <c r="CI24" s="1052"/>
      <c r="CJ24" s="1052"/>
      <c r="CK24" s="1052"/>
      <c r="CL24" s="1052"/>
      <c r="CM24" s="1052"/>
      <c r="CN24" s="1052"/>
      <c r="CO24" s="1052"/>
      <c r="CP24" s="1052"/>
      <c r="CQ24" s="1052"/>
      <c r="CR24" s="1052"/>
      <c r="CS24" s="1052"/>
      <c r="CT24" s="1052"/>
      <c r="CU24" s="1052"/>
      <c r="CV24" s="1052"/>
      <c r="CW24" s="1052"/>
      <c r="CX24" s="1052"/>
      <c r="CY24" s="1052"/>
      <c r="CZ24" s="1052"/>
      <c r="DA24" s="1052"/>
      <c r="DB24" s="1052"/>
      <c r="DD24" s="124"/>
      <c r="DE24" s="125"/>
      <c r="DF24" s="125"/>
      <c r="DH24" s="147"/>
    </row>
    <row r="25" spans="1:112" ht="30" customHeight="1">
      <c r="A25" s="19" t="s">
        <v>227</v>
      </c>
      <c r="Q25" s="758" t="str">
        <f>IF(ФОРМА!B8=0," ",ФОРМА!B8)</f>
        <v>ООО «Строительные энергетические технологии»</v>
      </c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19" t="s">
        <v>228</v>
      </c>
      <c r="BN25" s="1051" t="str">
        <f>IF(ФОРМА!B9=0," ",CONCATENATE("Шифр ",ФОРМА!B9))</f>
        <v>Шифр СЭС-23-32939-ЭС-ТКР2</v>
      </c>
      <c r="BO25" s="1051"/>
      <c r="BP25" s="1051"/>
      <c r="BQ25" s="1051"/>
      <c r="BR25" s="1051"/>
      <c r="BS25" s="1051"/>
      <c r="BT25" s="1051"/>
      <c r="BU25" s="1051"/>
      <c r="BV25" s="1051"/>
      <c r="BW25" s="1051"/>
      <c r="BX25" s="1051"/>
      <c r="BY25" s="1051"/>
      <c r="BZ25" s="1051"/>
      <c r="CA25" s="1051"/>
      <c r="CB25" s="1051"/>
      <c r="CC25" s="1051"/>
      <c r="CD25" s="1051"/>
      <c r="CE25" s="1051"/>
      <c r="CF25" s="1051"/>
      <c r="CG25" s="1051"/>
      <c r="CH25" s="1051"/>
      <c r="CI25" s="1051"/>
      <c r="CJ25" s="1051"/>
      <c r="CK25" s="1051"/>
      <c r="CL25" s="1051"/>
      <c r="CM25" s="1051"/>
      <c r="CN25" s="1051"/>
      <c r="CO25" s="1051"/>
      <c r="CP25" s="1051"/>
      <c r="CQ25" s="1051"/>
      <c r="CR25" s="1051"/>
      <c r="CS25" s="1051"/>
      <c r="CT25" s="1051"/>
      <c r="CU25" s="1051"/>
      <c r="CV25" s="1051"/>
      <c r="CW25" s="1051"/>
      <c r="CX25" s="1051"/>
      <c r="CY25" s="1051"/>
      <c r="CZ25" s="1051"/>
      <c r="DA25" s="1051"/>
      <c r="DB25" s="1051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229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230</v>
      </c>
      <c r="AB27" s="759" t="s">
        <v>392</v>
      </c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>
      <c r="A28" s="19" t="s">
        <v>231</v>
      </c>
      <c r="P28" s="758" t="s">
        <v>65</v>
      </c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25" customHeight="1">
      <c r="P29" s="736" t="s">
        <v>233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232</v>
      </c>
      <c r="W30" s="758" t="s">
        <v>65</v>
      </c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41"/>
    </row>
    <row r="31" spans="1:112" ht="11.25" customHeight="1">
      <c r="W31" s="736" t="s">
        <v>229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234</v>
      </c>
    </row>
    <row r="33" spans="1:112" ht="21.75" customHeight="1">
      <c r="A33" s="1046" t="s">
        <v>236</v>
      </c>
      <c r="B33" s="1046"/>
      <c r="C33" s="1046"/>
      <c r="D33" s="1046"/>
      <c r="E33" s="1046"/>
      <c r="F33" s="1046" t="s">
        <v>235</v>
      </c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 t="s">
        <v>237</v>
      </c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  <c r="BU33" s="1046"/>
      <c r="BV33" s="1046"/>
      <c r="BW33" s="1046"/>
      <c r="BX33" s="1046"/>
      <c r="BY33" s="1046"/>
      <c r="BZ33" s="1046"/>
      <c r="CA33" s="1046"/>
      <c r="CB33" s="1046"/>
      <c r="CC33" s="1046"/>
      <c r="CD33" s="1046"/>
      <c r="CE33" s="1046"/>
      <c r="CF33" s="1046"/>
      <c r="CG33" s="1046"/>
      <c r="CH33" s="1046"/>
      <c r="CI33" s="1046"/>
      <c r="CJ33" s="1046"/>
      <c r="CK33" s="1046"/>
      <c r="CL33" s="1046"/>
      <c r="CM33" s="1046"/>
      <c r="CN33" s="1046"/>
      <c r="CO33" s="1046" t="s">
        <v>27</v>
      </c>
      <c r="CP33" s="1046"/>
      <c r="CQ33" s="1046"/>
      <c r="CR33" s="1046"/>
      <c r="CS33" s="1046"/>
      <c r="CT33" s="1046"/>
      <c r="CU33" s="1046"/>
      <c r="CV33" s="1046"/>
      <c r="CW33" s="1046"/>
      <c r="CX33" s="1046"/>
      <c r="CY33" s="1046"/>
      <c r="CZ33" s="1046"/>
      <c r="DA33" s="1046"/>
      <c r="DB33" s="1046"/>
      <c r="DH33" s="141"/>
    </row>
    <row r="34" spans="1:112" ht="27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 t="s">
        <v>238</v>
      </c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 t="s">
        <v>239</v>
      </c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 t="s">
        <v>240</v>
      </c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 t="s">
        <v>241</v>
      </c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 t="s">
        <v>242</v>
      </c>
      <c r="CA34" s="1046"/>
      <c r="CB34" s="1046"/>
      <c r="CC34" s="1046"/>
      <c r="CD34" s="1046"/>
      <c r="CE34" s="1046"/>
      <c r="CF34" s="1046"/>
      <c r="CG34" s="1046"/>
      <c r="CH34" s="1046"/>
      <c r="CI34" s="1046"/>
      <c r="CJ34" s="1046"/>
      <c r="CK34" s="1046"/>
      <c r="CL34" s="1046"/>
      <c r="CM34" s="1046"/>
      <c r="CN34" s="1046"/>
      <c r="CO34" s="1046"/>
      <c r="CP34" s="1046"/>
      <c r="CQ34" s="1046"/>
      <c r="CR34" s="1046"/>
      <c r="CS34" s="1046"/>
      <c r="CT34" s="1046"/>
      <c r="CU34" s="1046"/>
      <c r="CV34" s="1046"/>
      <c r="CW34" s="1046"/>
      <c r="CX34" s="1046"/>
      <c r="CY34" s="1046"/>
      <c r="CZ34" s="1046"/>
      <c r="DA34" s="1046"/>
      <c r="DB34" s="1046"/>
    </row>
    <row r="35" spans="1:112" ht="27" customHeight="1">
      <c r="A35" s="1041">
        <v>1</v>
      </c>
      <c r="B35" s="1041"/>
      <c r="C35" s="1041"/>
      <c r="D35" s="1041"/>
      <c r="E35" s="1041"/>
      <c r="F35" s="1041" t="s">
        <v>366</v>
      </c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 t="s">
        <v>368</v>
      </c>
      <c r="AA35" s="1041"/>
      <c r="AB35" s="1041"/>
      <c r="AC35" s="1041"/>
      <c r="AD35" s="1041"/>
      <c r="AE35" s="1041"/>
      <c r="AF35" s="1041"/>
      <c r="AG35" s="1041"/>
      <c r="AH35" s="1041"/>
      <c r="AI35" s="1041"/>
      <c r="AJ35" s="1041"/>
      <c r="AK35" s="1041"/>
      <c r="AL35" s="1041" t="s">
        <v>371</v>
      </c>
      <c r="AM35" s="1041"/>
      <c r="AN35" s="1041"/>
      <c r="AO35" s="1041"/>
      <c r="AP35" s="1041"/>
      <c r="AQ35" s="1041"/>
      <c r="AR35" s="1041"/>
      <c r="AS35" s="1041"/>
      <c r="AT35" s="1041"/>
      <c r="AU35" s="1041"/>
      <c r="AV35" s="1041"/>
      <c r="AW35" s="1041"/>
      <c r="AX35" s="1041"/>
      <c r="AY35" s="1041"/>
      <c r="AZ35" s="1041" t="s">
        <v>1729</v>
      </c>
      <c r="BA35" s="1041"/>
      <c r="BB35" s="1041"/>
      <c r="BC35" s="1041"/>
      <c r="BD35" s="1041"/>
      <c r="BE35" s="1041"/>
      <c r="BF35" s="1041"/>
      <c r="BG35" s="1041"/>
      <c r="BH35" s="1041"/>
      <c r="BI35" s="1041"/>
      <c r="BJ35" s="1041"/>
      <c r="BK35" s="1041"/>
      <c r="BL35" s="1041"/>
      <c r="BM35" s="1047" t="s">
        <v>631</v>
      </c>
      <c r="BN35" s="1047"/>
      <c r="BO35" s="1047"/>
      <c r="BP35" s="1047"/>
      <c r="BQ35" s="1047"/>
      <c r="BR35" s="1047"/>
      <c r="BS35" s="1047"/>
      <c r="BT35" s="1047"/>
      <c r="BU35" s="1047"/>
      <c r="BV35" s="1047"/>
      <c r="BW35" s="1047"/>
      <c r="BX35" s="1047"/>
      <c r="BY35" s="1047"/>
      <c r="BZ35" s="1041">
        <v>0.7</v>
      </c>
      <c r="CA35" s="1041"/>
      <c r="CB35" s="1041"/>
      <c r="CC35" s="1041"/>
      <c r="CD35" s="1041"/>
      <c r="CE35" s="1041"/>
      <c r="CF35" s="1041"/>
      <c r="CG35" s="1041"/>
      <c r="CH35" s="1041"/>
      <c r="CI35" s="1041"/>
      <c r="CJ35" s="1041"/>
      <c r="CK35" s="1041"/>
      <c r="CL35" s="1041"/>
      <c r="CM35" s="1041"/>
      <c r="CN35" s="1041"/>
      <c r="CO35" s="1041" t="s">
        <v>370</v>
      </c>
      <c r="CP35" s="1041"/>
      <c r="CQ35" s="1041"/>
      <c r="CR35" s="1041"/>
      <c r="CS35" s="1041"/>
      <c r="CT35" s="1041"/>
      <c r="CU35" s="1041"/>
      <c r="CV35" s="1041"/>
      <c r="CW35" s="1041"/>
      <c r="CX35" s="1041"/>
      <c r="CY35" s="1041"/>
      <c r="CZ35" s="1041"/>
      <c r="DA35" s="1041"/>
      <c r="DB35" s="1041"/>
    </row>
    <row r="36" spans="1:112" ht="27" customHeight="1">
      <c r="A36" s="1041">
        <v>2</v>
      </c>
      <c r="B36" s="1041"/>
      <c r="C36" s="1041"/>
      <c r="D36" s="1041"/>
      <c r="E36" s="1041"/>
      <c r="F36" s="1041" t="s">
        <v>367</v>
      </c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 t="s">
        <v>368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 t="s">
        <v>369</v>
      </c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 t="s">
        <v>1738</v>
      </c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7">
        <v>6</v>
      </c>
      <c r="BN36" s="1047"/>
      <c r="BO36" s="1047"/>
      <c r="BP36" s="1047"/>
      <c r="BQ36" s="1047"/>
      <c r="BR36" s="1047"/>
      <c r="BS36" s="1047"/>
      <c r="BT36" s="1047"/>
      <c r="BU36" s="1047"/>
      <c r="BV36" s="1047"/>
      <c r="BW36" s="1047"/>
      <c r="BX36" s="1047"/>
      <c r="BY36" s="1047"/>
      <c r="BZ36" s="1041">
        <v>0.7</v>
      </c>
      <c r="CA36" s="1041"/>
      <c r="CB36" s="1041"/>
      <c r="CC36" s="1041"/>
      <c r="CD36" s="1041"/>
      <c r="CE36" s="1041"/>
      <c r="CF36" s="1041"/>
      <c r="CG36" s="1041"/>
      <c r="CH36" s="1041"/>
      <c r="CI36" s="1041"/>
      <c r="CJ36" s="1041"/>
      <c r="CK36" s="1041"/>
      <c r="CL36" s="1041"/>
      <c r="CM36" s="1041"/>
      <c r="CN36" s="1041"/>
      <c r="CO36" s="1041" t="s">
        <v>370</v>
      </c>
      <c r="CP36" s="1041"/>
      <c r="CQ36" s="1041"/>
      <c r="CR36" s="1041"/>
      <c r="CS36" s="1041"/>
      <c r="CT36" s="1041"/>
      <c r="CU36" s="1041"/>
      <c r="CV36" s="1041"/>
      <c r="CW36" s="1041"/>
      <c r="CX36" s="1041"/>
      <c r="CY36" s="1041"/>
      <c r="CZ36" s="1041"/>
      <c r="DA36" s="1041"/>
      <c r="DB36" s="1041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59" t="s">
        <v>404</v>
      </c>
      <c r="AS38" s="759"/>
      <c r="AT38" s="759"/>
      <c r="AU38" s="759"/>
      <c r="AV38" s="759"/>
      <c r="AW38" s="759"/>
      <c r="AX38" s="759"/>
      <c r="AY38" s="759"/>
      <c r="AZ38" s="759"/>
      <c r="BA38" s="759"/>
      <c r="BB38" s="759"/>
      <c r="BC38" s="759"/>
      <c r="BD38" s="759"/>
      <c r="BE38" s="759"/>
      <c r="BF38" s="759"/>
      <c r="BG38" s="759"/>
      <c r="BH38" s="759"/>
      <c r="BI38" s="759"/>
      <c r="BJ38" s="759"/>
      <c r="BK38" s="759"/>
      <c r="BL38" s="759"/>
      <c r="BM38" s="759"/>
      <c r="BN38" s="759"/>
      <c r="BO38" s="759"/>
      <c r="BP38" s="759"/>
      <c r="BQ38" s="759"/>
      <c r="BR38" s="759"/>
      <c r="BS38" s="759"/>
      <c r="BT38" s="759"/>
      <c r="BU38" s="759"/>
      <c r="BV38" s="759"/>
      <c r="BW38" s="759"/>
      <c r="BX38" s="759"/>
      <c r="BY38" s="759"/>
      <c r="BZ38" s="759"/>
      <c r="CA38" s="759"/>
      <c r="CB38" s="759"/>
      <c r="CC38" s="759"/>
      <c r="CD38" s="759"/>
      <c r="CE38" s="759"/>
      <c r="CF38" s="759"/>
      <c r="CG38" s="759"/>
      <c r="CH38" s="759"/>
      <c r="CI38" s="759"/>
      <c r="CJ38" s="759"/>
      <c r="CK38" s="759"/>
      <c r="CL38" s="759"/>
      <c r="CM38" s="759"/>
      <c r="CN38" s="759"/>
      <c r="CO38" s="759"/>
      <c r="CP38" s="759"/>
      <c r="CQ38" s="759"/>
      <c r="CR38" s="759"/>
      <c r="CS38" s="759"/>
      <c r="CT38" s="759"/>
      <c r="CU38" s="759"/>
      <c r="CV38" s="759"/>
      <c r="CW38" s="759"/>
      <c r="CX38" s="759"/>
      <c r="CY38" s="759"/>
      <c r="CZ38" s="759"/>
      <c r="DA38" s="759"/>
      <c r="DB38" s="759"/>
    </row>
    <row r="39" spans="1:112" ht="15" customHeight="1">
      <c r="A39" s="758"/>
      <c r="B39" s="758"/>
      <c r="C39" s="758"/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8"/>
      <c r="AE39" s="758"/>
      <c r="AF39" s="758"/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758"/>
      <c r="CH39" s="758"/>
      <c r="CI39" s="758"/>
      <c r="CJ39" s="758"/>
      <c r="CK39" s="758"/>
      <c r="CL39" s="758"/>
      <c r="CM39" s="758"/>
      <c r="CN39" s="758"/>
      <c r="CO39" s="758"/>
      <c r="CP39" s="758"/>
      <c r="CQ39" s="758"/>
      <c r="CR39" s="758"/>
      <c r="CS39" s="758"/>
      <c r="CT39" s="758"/>
      <c r="CU39" s="758"/>
      <c r="CV39" s="758"/>
      <c r="CW39" s="758"/>
      <c r="CX39" s="758"/>
      <c r="CY39" s="758"/>
      <c r="CZ39" s="758"/>
      <c r="DA39" s="758"/>
      <c r="DB39" s="758"/>
    </row>
    <row r="40" spans="1:112" ht="15" customHeight="1">
      <c r="A40" s="1045" t="s">
        <v>245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249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767" t="s">
        <v>246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58" t="s">
        <v>247</v>
      </c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758"/>
      <c r="CH41" s="758"/>
      <c r="CI41" s="758"/>
      <c r="CJ41" s="758"/>
      <c r="CK41" s="758"/>
      <c r="CL41" s="758"/>
      <c r="CM41" s="758"/>
      <c r="CN41" s="758"/>
      <c r="CO41" s="758"/>
      <c r="CP41" s="758"/>
      <c r="CQ41" s="758"/>
      <c r="CR41" s="758"/>
      <c r="CS41" s="758"/>
      <c r="CT41" s="758"/>
      <c r="CU41" s="758"/>
      <c r="CV41" s="758"/>
      <c r="CW41" s="758"/>
      <c r="CX41" s="758"/>
      <c r="CY41" s="758"/>
      <c r="CZ41" s="758"/>
      <c r="DA41" s="758"/>
      <c r="DB41" s="758"/>
      <c r="DH41" s="141"/>
    </row>
    <row r="42" spans="1:112" ht="9" customHeight="1"/>
    <row r="43" spans="1:112" customFormat="1" ht="41.25" customHeight="1">
      <c r="A43" s="767" t="s">
        <v>724</v>
      </c>
      <c r="B43" s="767"/>
      <c r="C43" s="767"/>
      <c r="D43" s="767"/>
      <c r="E43" s="767"/>
      <c r="F43" s="767"/>
      <c r="G43" s="767"/>
      <c r="H43" s="767"/>
      <c r="I43" s="767"/>
      <c r="J43" s="767"/>
      <c r="K43" s="767"/>
      <c r="L43" s="767"/>
      <c r="M43" s="767"/>
      <c r="N43" s="767"/>
      <c r="O43" s="767"/>
      <c r="P43" s="767"/>
      <c r="Q43" s="767"/>
      <c r="R43" s="767"/>
      <c r="S43" s="767"/>
      <c r="T43" s="767"/>
      <c r="U43" s="767"/>
      <c r="V43" s="767"/>
      <c r="W43" s="767"/>
      <c r="X43" s="767"/>
      <c r="Y43" s="767"/>
      <c r="Z43" s="767"/>
      <c r="AA43" s="767"/>
      <c r="AB43" s="767"/>
      <c r="AC43" s="767"/>
      <c r="AD43" s="767"/>
      <c r="AE43" s="767"/>
      <c r="AF43" s="767"/>
      <c r="AG43" s="767"/>
      <c r="AH43" s="767"/>
      <c r="AI43" s="767"/>
      <c r="AJ43" s="767"/>
      <c r="AK43" s="767"/>
      <c r="AL43" s="767"/>
      <c r="AM43" s="767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767"/>
      <c r="AY43" s="767"/>
      <c r="AZ43" s="767"/>
      <c r="BA43" s="767"/>
      <c r="BB43" s="767"/>
      <c r="BC43" s="767"/>
      <c r="BD43" s="767"/>
      <c r="BE43" s="767"/>
      <c r="BF43" s="767"/>
      <c r="BG43" s="19"/>
      <c r="BH43" s="19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23"/>
      <c r="CH43" s="23"/>
      <c r="CI43" s="23"/>
      <c r="CJ43" s="758" t="str">
        <f>ПОДПИСИ!E5</f>
        <v>Д.М. Чечин</v>
      </c>
      <c r="CK43" s="758"/>
      <c r="CL43" s="758"/>
      <c r="CM43" s="758"/>
      <c r="CN43" s="758"/>
      <c r="CO43" s="758"/>
      <c r="CP43" s="758"/>
      <c r="CQ43" s="758"/>
      <c r="CR43" s="758"/>
      <c r="CS43" s="758"/>
      <c r="CT43" s="758"/>
      <c r="CU43" s="758"/>
      <c r="CV43" s="758"/>
      <c r="CW43" s="758"/>
      <c r="CX43" s="758"/>
      <c r="CY43" s="758"/>
      <c r="CZ43" s="758"/>
      <c r="DA43" s="758"/>
      <c r="DB43" s="758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767" t="s">
        <v>16</v>
      </c>
      <c r="B45" s="767"/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  <c r="P45" s="767"/>
      <c r="Q45" s="767"/>
      <c r="R45" s="767"/>
      <c r="S45" s="767"/>
      <c r="T45" s="767"/>
      <c r="U45" s="767"/>
      <c r="V45" s="767"/>
      <c r="W45" s="767"/>
      <c r="X45" s="767"/>
      <c r="Y45" s="767"/>
      <c r="Z45" s="767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67"/>
      <c r="BA45" s="767"/>
      <c r="BB45" s="767"/>
      <c r="BC45" s="767"/>
      <c r="BD45" s="767"/>
      <c r="BE45" s="767"/>
      <c r="BF45" s="19"/>
      <c r="BG45" s="19"/>
      <c r="BH45" s="19"/>
      <c r="BI45" s="760"/>
      <c r="BJ45" s="760"/>
      <c r="BK45" s="760"/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19"/>
      <c r="CH45" s="19"/>
      <c r="CI45" s="19"/>
      <c r="CJ45" s="758" t="str">
        <f>ПОДПИСИ!E12</f>
        <v>А.Р. Махмадов</v>
      </c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ht="14">
      <c r="DH47" s="150"/>
    </row>
    <row r="49" spans="112:112" ht="14">
      <c r="DH49" s="141"/>
    </row>
    <row r="50" spans="112:112" ht="14">
      <c r="DH50" s="151"/>
    </row>
    <row r="51" spans="112:112" ht="14">
      <c r="DH51" s="141"/>
    </row>
    <row r="52" spans="112:112" ht="14">
      <c r="DH52" s="152"/>
    </row>
    <row r="53" spans="112:112" ht="14">
      <c r="DH53" s="141"/>
    </row>
    <row r="54" spans="112:112" ht="14">
      <c r="DH54" s="153"/>
    </row>
    <row r="55" spans="112:112" ht="14">
      <c r="DH55" s="141"/>
    </row>
    <row r="56" spans="112:112" ht="14">
      <c r="DH56" s="152"/>
    </row>
    <row r="57" spans="112:112" ht="14">
      <c r="DH57" s="141"/>
    </row>
    <row r="58" spans="112:112" ht="14">
      <c r="DH58" s="151"/>
    </row>
    <row r="59" spans="112:112" ht="14">
      <c r="DH59" s="141"/>
    </row>
    <row r="60" spans="112:112" ht="14">
      <c r="DH60" s="151"/>
    </row>
    <row r="61" spans="112:112" ht="14">
      <c r="DH61" s="141"/>
    </row>
    <row r="63" spans="112:112" ht="14">
      <c r="DH63" s="141"/>
    </row>
    <row r="65" spans="112:112" ht="14">
      <c r="DH65" s="141"/>
    </row>
    <row r="66" spans="112:112" ht="14">
      <c r="DH66" s="141"/>
    </row>
    <row r="68" spans="112:112" ht="14">
      <c r="DH68" s="141"/>
    </row>
    <row r="69" spans="112:112" ht="14">
      <c r="DH69" s="141"/>
    </row>
    <row r="70" spans="112:112" ht="14">
      <c r="DH70" s="141"/>
    </row>
    <row r="71" spans="112:112" ht="14">
      <c r="DH71" s="141"/>
    </row>
    <row r="72" spans="112:112" ht="14">
      <c r="DH72" s="141"/>
    </row>
    <row r="73" spans="112:112" ht="14">
      <c r="DH73" s="141"/>
    </row>
    <row r="74" spans="112:112" ht="14">
      <c r="DH74" s="141"/>
    </row>
    <row r="75" spans="112:112" ht="14">
      <c r="DH75" s="141"/>
    </row>
    <row r="76" spans="112:112" ht="14">
      <c r="DH76" s="141"/>
    </row>
    <row r="77" spans="112:112" ht="14">
      <c r="DH77" s="141"/>
    </row>
    <row r="78" spans="112:112" ht="14">
      <c r="DH78" s="141"/>
    </row>
    <row r="79" spans="112:112" ht="14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BM34:BY34"/>
    <mergeCell ref="BZ34:CN34"/>
    <mergeCell ref="A35:E35"/>
    <mergeCell ref="F35:Y35"/>
    <mergeCell ref="Z35:AK35"/>
    <mergeCell ref="AL35:AY35"/>
    <mergeCell ref="AZ35:BL35"/>
    <mergeCell ref="BM35:BY35"/>
    <mergeCell ref="BZ35:CN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Q25:AY25"/>
    <mergeCell ref="BN25:DB25"/>
    <mergeCell ref="Q26:AY26"/>
    <mergeCell ref="BN26:DB26"/>
    <mergeCell ref="AB27:DB27"/>
    <mergeCell ref="P28:DB28"/>
    <mergeCell ref="AA17:DB17"/>
    <mergeCell ref="A18:DB18"/>
    <mergeCell ref="A19:DB19"/>
    <mergeCell ref="A22:DB22"/>
    <mergeCell ref="A23:DB23"/>
    <mergeCell ref="A24:DB24"/>
    <mergeCell ref="A12:AF12"/>
    <mergeCell ref="A13:AF13"/>
    <mergeCell ref="AG13:DB13"/>
    <mergeCell ref="AW14:DB14"/>
    <mergeCell ref="A15:DB15"/>
    <mergeCell ref="A16:BB16"/>
    <mergeCell ref="BC16:DB16"/>
    <mergeCell ref="A8:AT8"/>
    <mergeCell ref="BD8:DB8"/>
    <mergeCell ref="A9:AT9"/>
    <mergeCell ref="BD9:DB9"/>
    <mergeCell ref="A10:DB10"/>
    <mergeCell ref="A11:DB11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49" priority="3" operator="equal">
      <formula>0</formula>
    </cfRule>
  </conditionalFormatting>
  <conditionalFormatting sqref="DH2:DH7">
    <cfRule type="cellIs" dxfId="48" priority="2" operator="equal">
      <formula>0</formula>
    </cfRule>
  </conditionalFormatting>
  <conditionalFormatting sqref="DH9">
    <cfRule type="cellIs" dxfId="47" priority="1" operator="equal">
      <formula>0</formula>
    </cfRule>
  </conditionalFormatting>
  <dataValidations count="2">
    <dataValidation type="list" allowBlank="1" showInputMessage="1" showErrorMessage="1" sqref="F35:Y36" xr:uid="{8970CFDC-46B5-40EC-9E1C-A64F6B5BFAE1}">
      <formula1>INDIRECT("ЗУ[Элемент]")</formula1>
    </dataValidation>
    <dataValidation type="list" allowBlank="1" showInputMessage="1" showErrorMessage="1" sqref="AL35:AY36" xr:uid="{79DA882A-E8DD-4969-BBF8-C10EDB50E6F8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sqref="A1:C1"/>
    </sheetView>
  </sheetViews>
  <sheetFormatPr defaultColWidth="9.1796875" defaultRowHeight="15.5"/>
  <cols>
    <col min="1" max="1" width="3.54296875" style="444" customWidth="1"/>
    <col min="2" max="8" width="5.54296875" style="444" customWidth="1"/>
    <col min="9" max="17" width="7.453125" style="444" customWidth="1"/>
    <col min="18" max="18" width="1.26953125" style="444" customWidth="1"/>
    <col min="19" max="16384" width="9.1796875" style="440"/>
  </cols>
  <sheetData>
    <row r="1" spans="1:18" ht="14.5">
      <c r="A1" s="453"/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4"/>
      <c r="O1" s="453"/>
      <c r="P1" s="453"/>
      <c r="Q1" s="454"/>
      <c r="R1" s="453"/>
    </row>
    <row r="2" spans="1:18">
      <c r="A2" s="1058" t="str">
        <f>ФОРМА!B3</f>
        <v>ООО «БЭСК»</v>
      </c>
      <c r="B2" s="1058"/>
      <c r="C2" s="1058"/>
      <c r="D2" s="1058"/>
      <c r="E2" s="1058"/>
      <c r="F2" s="1058"/>
      <c r="G2" s="1058"/>
      <c r="H2" s="455"/>
      <c r="I2" s="456"/>
      <c r="J2" s="456"/>
      <c r="K2" s="456"/>
      <c r="L2" s="1059" t="str">
        <f>ФОРМА!G2</f>
        <v>Санкт-Петербург</v>
      </c>
      <c r="M2" s="1059"/>
      <c r="N2" s="1059"/>
      <c r="O2" s="1059"/>
      <c r="P2" s="1059"/>
      <c r="Q2" s="1059"/>
      <c r="R2" s="457"/>
    </row>
    <row r="3" spans="1:18" ht="14.5">
      <c r="A3" s="1057" t="s">
        <v>1011</v>
      </c>
      <c r="B3" s="1057"/>
      <c r="C3" s="1057"/>
      <c r="D3" s="1057"/>
      <c r="E3" s="1057"/>
      <c r="F3" s="1057"/>
      <c r="G3" s="1057"/>
      <c r="H3" s="458"/>
      <c r="I3" s="458"/>
      <c r="J3" s="458"/>
      <c r="K3" s="458"/>
      <c r="L3" s="1057" t="s">
        <v>1012</v>
      </c>
      <c r="M3" s="1057"/>
      <c r="N3" s="1057"/>
      <c r="O3" s="1057"/>
      <c r="P3" s="1057"/>
      <c r="Q3" s="1057"/>
      <c r="R3" s="453"/>
    </row>
    <row r="4" spans="1:18" ht="15.75" customHeight="1">
      <c r="A4" s="1060" t="str">
        <f>ФОРМА!B4</f>
        <v>ООО «БЭСК»</v>
      </c>
      <c r="B4" s="1060"/>
      <c r="C4" s="1060"/>
      <c r="D4" s="1060"/>
      <c r="E4" s="1060"/>
      <c r="F4" s="1060"/>
      <c r="G4" s="1060"/>
      <c r="H4" s="457"/>
      <c r="I4" s="459"/>
      <c r="J4" s="459"/>
      <c r="K4" s="459"/>
      <c r="L4" s="1061" t="str">
        <f>ФОРМА!B2</f>
        <v>ПАО "Россети Ленэнерго"</v>
      </c>
      <c r="M4" s="1061"/>
      <c r="N4" s="1061"/>
      <c r="O4" s="1061"/>
      <c r="P4" s="1061"/>
      <c r="Q4" s="1061"/>
      <c r="R4" s="457"/>
    </row>
    <row r="5" spans="1:18" ht="14.5">
      <c r="A5" s="1057" t="s">
        <v>1013</v>
      </c>
      <c r="B5" s="1057"/>
      <c r="C5" s="1057"/>
      <c r="D5" s="1057"/>
      <c r="E5" s="1057"/>
      <c r="F5" s="1057"/>
      <c r="G5" s="1057"/>
      <c r="H5" s="453"/>
      <c r="I5" s="460"/>
      <c r="J5" s="460"/>
      <c r="K5" s="460"/>
      <c r="L5" s="1058"/>
      <c r="M5" s="1058"/>
      <c r="N5" s="1058"/>
      <c r="O5" s="1058"/>
      <c r="P5" s="1058"/>
      <c r="Q5" s="1058"/>
      <c r="R5" s="453"/>
    </row>
    <row r="6" spans="1:18" ht="14.5">
      <c r="A6" s="458"/>
      <c r="B6" s="458"/>
      <c r="C6" s="458"/>
      <c r="D6" s="458"/>
      <c r="E6" s="458"/>
      <c r="F6" s="458"/>
      <c r="G6" s="458"/>
      <c r="H6" s="453"/>
      <c r="I6" s="460"/>
      <c r="J6" s="460"/>
      <c r="K6" s="460"/>
      <c r="L6" s="1055" t="s">
        <v>70</v>
      </c>
      <c r="M6" s="1055"/>
      <c r="N6" s="1055"/>
      <c r="O6" s="1055"/>
      <c r="P6" s="1055"/>
      <c r="Q6" s="1055"/>
      <c r="R6" s="453"/>
    </row>
    <row r="7" spans="1:18" ht="138.75" customHeight="1">
      <c r="A7" s="457"/>
      <c r="B7" s="457"/>
      <c r="C7" s="457"/>
      <c r="D7" s="457"/>
      <c r="E7" s="457"/>
      <c r="F7" s="457"/>
      <c r="G7" s="457"/>
      <c r="H7" s="457"/>
      <c r="I7" s="488"/>
      <c r="J7" s="456"/>
      <c r="K7" s="456"/>
      <c r="L7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56"/>
      <c r="N7" s="1056"/>
      <c r="O7" s="1056"/>
      <c r="P7" s="1056"/>
      <c r="Q7" s="1056"/>
      <c r="R7" s="457"/>
    </row>
    <row r="8" spans="1:18" ht="14.5">
      <c r="A8" s="453"/>
      <c r="B8" s="453"/>
      <c r="C8" s="453"/>
      <c r="D8" s="453"/>
      <c r="E8" s="453"/>
      <c r="F8" s="453"/>
      <c r="G8" s="453"/>
      <c r="H8" s="453"/>
      <c r="I8" s="458"/>
      <c r="J8" s="458"/>
      <c r="K8" s="458"/>
      <c r="L8" s="1057" t="s">
        <v>1014</v>
      </c>
      <c r="M8" s="1057"/>
      <c r="N8" s="1057"/>
      <c r="O8" s="1057"/>
      <c r="P8" s="1057"/>
      <c r="Q8" s="1057"/>
      <c r="R8" s="453"/>
    </row>
    <row r="9" spans="1:18">
      <c r="A9" s="457"/>
      <c r="B9" s="457"/>
      <c r="C9" s="457"/>
      <c r="D9" s="457"/>
      <c r="E9" s="457"/>
      <c r="F9" s="457"/>
      <c r="G9" s="457"/>
      <c r="H9" s="457"/>
      <c r="I9" s="457"/>
      <c r="J9" s="457"/>
      <c r="K9" s="457"/>
      <c r="L9" s="1062">
        <f>ФОРМА!D14</f>
        <v>45320</v>
      </c>
      <c r="M9" s="1062"/>
      <c r="N9" s="1062"/>
      <c r="O9" s="1062"/>
      <c r="P9" s="1062"/>
      <c r="Q9" s="1062"/>
      <c r="R9" s="461"/>
    </row>
    <row r="10" spans="1:18" ht="17.5">
      <c r="A10" s="1063" t="s">
        <v>1015</v>
      </c>
      <c r="B10" s="1063"/>
      <c r="C10" s="1063"/>
      <c r="D10" s="1063"/>
      <c r="E10" s="1063"/>
      <c r="F10" s="1063"/>
      <c r="G10" s="1063"/>
      <c r="H10" s="1063"/>
      <c r="I10" s="1063"/>
      <c r="J10" s="1063"/>
      <c r="K10" s="1063"/>
      <c r="L10" s="1063"/>
      <c r="M10" s="1063"/>
      <c r="N10" s="1063"/>
      <c r="O10" s="1063"/>
      <c r="P10" s="1063"/>
      <c r="Q10" s="1063"/>
      <c r="R10" s="457"/>
    </row>
    <row r="11" spans="1:18">
      <c r="A11" s="1064" t="s">
        <v>1016</v>
      </c>
      <c r="B11" s="1064"/>
      <c r="C11" s="1064"/>
      <c r="D11" s="1064"/>
      <c r="E11" s="1064"/>
      <c r="F11" s="1064"/>
      <c r="G11" s="1064"/>
      <c r="H11" s="1064"/>
      <c r="I11" s="1064"/>
      <c r="J11" s="1064"/>
      <c r="K11" s="1064"/>
      <c r="L11" s="1064"/>
      <c r="M11" s="1064"/>
      <c r="N11" s="1064"/>
      <c r="O11" s="1064"/>
      <c r="P11" s="1064"/>
      <c r="Q11" s="1064"/>
      <c r="R11" s="457"/>
    </row>
    <row r="12" spans="1:18">
      <c r="A12" s="457"/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457"/>
      <c r="M12" s="457"/>
      <c r="N12" s="457"/>
      <c r="O12" s="457"/>
      <c r="P12" s="457"/>
      <c r="Q12" s="457"/>
      <c r="R12" s="457"/>
    </row>
    <row r="13" spans="1:18">
      <c r="A13" s="457" t="s">
        <v>4</v>
      </c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7"/>
      <c r="M13" s="457"/>
      <c r="N13" s="457"/>
      <c r="O13" s="457"/>
      <c r="P13" s="457"/>
      <c r="Q13" s="457"/>
      <c r="R13" s="457"/>
    </row>
    <row r="14" spans="1:18">
      <c r="A14" s="462" t="s">
        <v>1017</v>
      </c>
      <c r="B14" s="463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463"/>
      <c r="Q14" s="463"/>
      <c r="R14" s="457"/>
    </row>
    <row r="15" spans="1:18">
      <c r="A15" s="1054" t="str">
        <f>ПОДПИСИ!B7</f>
        <v>Начальник мастерского участка №1 Курортного РЭС ПАО «Россети Ленэнерго» «СЭС»</v>
      </c>
      <c r="B15" s="1054"/>
      <c r="C15" s="1054"/>
      <c r="D15" s="1054"/>
      <c r="E15" s="1054"/>
      <c r="F15" s="1054"/>
      <c r="G15" s="1054"/>
      <c r="H15" s="1054"/>
      <c r="I15" s="1054"/>
      <c r="J15" s="1054"/>
      <c r="K15" s="1054"/>
      <c r="L15" s="1054"/>
      <c r="M15" s="1054"/>
      <c r="N15" s="1054"/>
      <c r="O15" s="1054"/>
      <c r="P15" s="1054"/>
      <c r="Q15" s="1054"/>
      <c r="R15" s="457"/>
    </row>
    <row r="16" spans="1:18">
      <c r="A16" s="1054" t="str">
        <f>ПОДПИСИ!C7</f>
        <v>Чечин Д.М.</v>
      </c>
      <c r="B16" s="1054"/>
      <c r="C16" s="1054"/>
      <c r="D16" s="1054"/>
      <c r="E16" s="1054"/>
      <c r="F16" s="1054"/>
      <c r="G16" s="1054"/>
      <c r="H16" s="1054"/>
      <c r="I16" s="1054"/>
      <c r="J16" s="1054"/>
      <c r="K16" s="1054"/>
      <c r="L16" s="1054"/>
      <c r="M16" s="1054"/>
      <c r="N16" s="1054"/>
      <c r="O16" s="1054"/>
      <c r="P16" s="1054"/>
      <c r="Q16" s="1054"/>
      <c r="R16" s="457"/>
    </row>
    <row r="17" spans="1:18" s="441" customFormat="1" ht="10.5">
      <c r="A17" s="1065" t="s">
        <v>1018</v>
      </c>
      <c r="B17" s="1065"/>
      <c r="C17" s="1065"/>
      <c r="D17" s="1065"/>
      <c r="E17" s="1065"/>
      <c r="F17" s="1065"/>
      <c r="G17" s="1065"/>
      <c r="H17" s="1065"/>
      <c r="I17" s="1065"/>
      <c r="J17" s="1065"/>
      <c r="K17" s="1065"/>
      <c r="L17" s="1065"/>
      <c r="M17" s="1065"/>
      <c r="N17" s="1065"/>
      <c r="O17" s="1065"/>
      <c r="P17" s="1065"/>
      <c r="Q17" s="1065"/>
      <c r="R17" s="464"/>
    </row>
    <row r="18" spans="1:18" ht="14.5">
      <c r="A18" s="465"/>
      <c r="B18" s="465"/>
      <c r="C18" s="465"/>
      <c r="D18" s="465"/>
      <c r="E18" s="465"/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5"/>
      <c r="Q18" s="465"/>
      <c r="R18" s="461"/>
    </row>
    <row r="19" spans="1:18">
      <c r="A19" s="466" t="s">
        <v>1036</v>
      </c>
      <c r="B19" s="455"/>
      <c r="C19" s="455"/>
      <c r="D19" s="455"/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5"/>
      <c r="Q19" s="455"/>
      <c r="R19" s="457"/>
    </row>
    <row r="20" spans="1:18">
      <c r="A20" s="1066" t="str">
        <f>CONCATENATE(ПОДПИСИ!B12,", ",ПОДПИСИ!C12)</f>
        <v>Производитель работ ООО«БЭСК» , Махмадов А.Р.</v>
      </c>
      <c r="B20" s="1066"/>
      <c r="C20" s="1066"/>
      <c r="D20" s="1066"/>
      <c r="E20" s="1066"/>
      <c r="F20" s="1066"/>
      <c r="G20" s="1066"/>
      <c r="H20" s="1066"/>
      <c r="I20" s="1066"/>
      <c r="J20" s="1066"/>
      <c r="K20" s="1066"/>
      <c r="L20" s="1066"/>
      <c r="M20" s="1066"/>
      <c r="N20" s="1066"/>
      <c r="O20" s="1066"/>
      <c r="P20" s="1066"/>
      <c r="Q20" s="1066"/>
      <c r="R20" s="457"/>
    </row>
    <row r="21" spans="1:18" ht="14.5">
      <c r="A21" s="1065" t="s">
        <v>1018</v>
      </c>
      <c r="B21" s="1065"/>
      <c r="C21" s="1065"/>
      <c r="D21" s="1065"/>
      <c r="E21" s="1065"/>
      <c r="F21" s="1065"/>
      <c r="G21" s="1065"/>
      <c r="H21" s="1065"/>
      <c r="I21" s="1065"/>
      <c r="J21" s="1065"/>
      <c r="K21" s="1065"/>
      <c r="L21" s="1065"/>
      <c r="M21" s="1065"/>
      <c r="N21" s="1065"/>
      <c r="O21" s="1065"/>
      <c r="P21" s="1065"/>
      <c r="Q21" s="1065"/>
      <c r="R21" s="464"/>
    </row>
    <row r="22" spans="1:18" ht="14.5">
      <c r="A22" s="465"/>
      <c r="B22" s="465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1"/>
    </row>
    <row r="23" spans="1:18">
      <c r="A23" s="467" t="s">
        <v>1019</v>
      </c>
      <c r="B23" s="457"/>
      <c r="C23" s="457"/>
      <c r="D23" s="457"/>
      <c r="E23" s="457"/>
      <c r="F23" s="457"/>
      <c r="G23" s="457"/>
      <c r="H23" s="457"/>
      <c r="I23" s="1067" t="str">
        <f>ФОРМА!B4</f>
        <v>ООО «БЭСК»</v>
      </c>
      <c r="J23" s="1067"/>
      <c r="K23" s="1067"/>
      <c r="L23" s="1067"/>
      <c r="M23" s="467" t="s">
        <v>1020</v>
      </c>
      <c r="N23" s="467"/>
      <c r="O23" s="457"/>
      <c r="P23" s="457"/>
      <c r="Q23" s="457"/>
      <c r="R23" s="461"/>
    </row>
    <row r="24" spans="1:18" s="441" customFormat="1" ht="10.5">
      <c r="A24" s="1068"/>
      <c r="B24" s="1068"/>
      <c r="C24" s="1068"/>
      <c r="D24" s="1068"/>
      <c r="E24" s="1068"/>
      <c r="F24" s="1068"/>
      <c r="G24" s="1068"/>
      <c r="H24" s="1068"/>
      <c r="I24" s="1068" t="s">
        <v>1021</v>
      </c>
      <c r="J24" s="1068"/>
      <c r="K24" s="1068"/>
      <c r="L24" s="1068"/>
      <c r="M24" s="469"/>
      <c r="N24" s="468"/>
      <c r="O24" s="468"/>
      <c r="P24" s="468"/>
      <c r="Q24" s="468"/>
      <c r="R24" s="453"/>
    </row>
    <row r="25" spans="1:18">
      <c r="A25" s="1070"/>
      <c r="B25" s="1070"/>
      <c r="C25" s="1070"/>
      <c r="D25" s="1070"/>
      <c r="E25" s="1070"/>
      <c r="F25" s="1070"/>
      <c r="G25" s="1070"/>
      <c r="H25" s="1070"/>
      <c r="I25" s="470"/>
      <c r="J25" s="470"/>
      <c r="K25" s="471"/>
      <c r="L25" s="471"/>
      <c r="M25" s="471"/>
      <c r="N25" s="471"/>
      <c r="O25" s="471"/>
      <c r="P25" s="471"/>
      <c r="Q25" s="471"/>
      <c r="R25" s="472"/>
    </row>
    <row r="26" spans="1:18">
      <c r="A26" s="473" t="s">
        <v>1022</v>
      </c>
      <c r="B26" s="457" t="s">
        <v>1023</v>
      </c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71"/>
    </row>
    <row r="27" spans="1:18">
      <c r="A27" s="474"/>
      <c r="B27" s="1071" t="s">
        <v>1024</v>
      </c>
      <c r="C27" s="1072"/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457"/>
    </row>
    <row r="28" spans="1:18">
      <c r="A28" s="474"/>
      <c r="B28" s="1072"/>
      <c r="C28" s="1072"/>
      <c r="D28" s="1072"/>
      <c r="E28" s="1072"/>
      <c r="F28" s="1072"/>
      <c r="G28" s="1072"/>
      <c r="H28" s="1072"/>
      <c r="I28" s="1072"/>
      <c r="J28" s="1072"/>
      <c r="K28" s="1072"/>
      <c r="L28" s="1072"/>
      <c r="M28" s="1072"/>
      <c r="N28" s="1072"/>
      <c r="O28" s="1072"/>
      <c r="P28" s="1072"/>
      <c r="Q28" s="1072"/>
      <c r="R28" s="457"/>
    </row>
    <row r="29" spans="1:18" s="441" customFormat="1" ht="10.5">
      <c r="A29" s="475"/>
      <c r="B29" s="1073" t="s">
        <v>1025</v>
      </c>
      <c r="C29" s="1073"/>
      <c r="D29" s="1073"/>
      <c r="E29" s="1073"/>
      <c r="F29" s="1073"/>
      <c r="G29" s="1073"/>
      <c r="H29" s="1073"/>
      <c r="I29" s="1073"/>
      <c r="J29" s="1073"/>
      <c r="K29" s="1073"/>
      <c r="L29" s="1073"/>
      <c r="M29" s="1073"/>
      <c r="N29" s="1073"/>
      <c r="O29" s="1073"/>
      <c r="P29" s="1073"/>
      <c r="Q29" s="1073"/>
      <c r="R29" s="453"/>
    </row>
    <row r="30" spans="1:18">
      <c r="A30" s="476"/>
      <c r="B30" s="1074"/>
      <c r="C30" s="1074"/>
      <c r="D30" s="1074"/>
      <c r="E30" s="1074"/>
      <c r="F30" s="1074"/>
      <c r="G30" s="1074"/>
      <c r="H30" s="1074"/>
      <c r="I30" s="1074"/>
      <c r="J30" s="1074"/>
      <c r="K30" s="1074"/>
      <c r="L30" s="1074"/>
      <c r="M30" s="1074"/>
      <c r="N30" s="1074"/>
      <c r="O30" s="457"/>
      <c r="P30" s="457"/>
      <c r="Q30" s="457"/>
      <c r="R30" s="461"/>
    </row>
    <row r="31" spans="1:18">
      <c r="A31" s="476" t="s">
        <v>1026</v>
      </c>
      <c r="B31" s="473" t="s">
        <v>1027</v>
      </c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57"/>
      <c r="P31" s="457"/>
      <c r="Q31" s="457"/>
      <c r="R31" s="461"/>
    </row>
    <row r="32" spans="1:18">
      <c r="A32" s="476"/>
      <c r="B32" s="1064" t="str">
        <f>ФОРМА!B8</f>
        <v>ООО «Строительные энергетические технологии»</v>
      </c>
      <c r="C32" s="1064"/>
      <c r="D32" s="1064"/>
      <c r="E32" s="1064"/>
      <c r="F32" s="1064"/>
      <c r="G32" s="1064"/>
      <c r="H32" s="1064"/>
      <c r="I32" s="1064"/>
      <c r="J32" s="1064"/>
      <c r="K32" s="1064"/>
      <c r="L32" s="1064"/>
      <c r="M32" s="477"/>
      <c r="N32" s="1064" t="str">
        <f>ФОРМА!B9</f>
        <v>СЭС-23-32939-ЭС-ТКР2</v>
      </c>
      <c r="O32" s="1064"/>
      <c r="P32" s="1064"/>
      <c r="Q32" s="1064"/>
      <c r="R32" s="457"/>
    </row>
    <row r="33" spans="1:18" s="441" customFormat="1" ht="10.5">
      <c r="A33" s="478"/>
      <c r="B33" s="1055" t="s">
        <v>1028</v>
      </c>
      <c r="C33" s="1055"/>
      <c r="D33" s="1055"/>
      <c r="E33" s="1055"/>
      <c r="F33" s="1055"/>
      <c r="G33" s="1055"/>
      <c r="H33" s="1055"/>
      <c r="I33" s="1055"/>
      <c r="J33" s="1055"/>
      <c r="K33" s="1055"/>
      <c r="L33" s="1055"/>
      <c r="M33" s="460"/>
      <c r="N33" s="1055" t="s">
        <v>1029</v>
      </c>
      <c r="O33" s="1055"/>
      <c r="P33" s="1055"/>
      <c r="Q33" s="1055"/>
      <c r="R33" s="453"/>
    </row>
    <row r="34" spans="1:18" ht="14.5">
      <c r="A34" s="479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61"/>
    </row>
    <row r="35" spans="1:18">
      <c r="A35" s="476" t="s">
        <v>1030</v>
      </c>
      <c r="B35" s="1074" t="s">
        <v>1031</v>
      </c>
      <c r="C35" s="1074"/>
      <c r="D35" s="1074"/>
      <c r="E35" s="1074"/>
      <c r="F35" s="1074"/>
      <c r="G35" s="1074"/>
      <c r="H35" s="1074"/>
      <c r="I35" s="1074"/>
      <c r="J35" s="1074"/>
      <c r="K35" s="1074"/>
      <c r="L35" s="1074"/>
      <c r="M35" s="1074"/>
      <c r="N35" s="1074"/>
      <c r="O35" s="481"/>
      <c r="P35" s="481"/>
      <c r="Q35" s="481"/>
      <c r="R35" s="461"/>
    </row>
    <row r="36" spans="1:18" s="441" customFormat="1" ht="10.5">
      <c r="A36" s="478"/>
      <c r="B36" s="482"/>
      <c r="C36" s="482"/>
      <c r="D36" s="482"/>
      <c r="E36" s="475"/>
      <c r="F36" s="475"/>
      <c r="G36" s="475"/>
      <c r="H36" s="475"/>
      <c r="I36" s="475"/>
      <c r="J36" s="475"/>
      <c r="K36" s="475"/>
      <c r="L36" s="475"/>
      <c r="M36" s="475"/>
      <c r="N36" s="475"/>
      <c r="O36" s="475"/>
      <c r="P36" s="475"/>
      <c r="Q36" s="475"/>
      <c r="R36" s="453"/>
    </row>
    <row r="37" spans="1:18">
      <c r="A37" s="476" t="s">
        <v>1032</v>
      </c>
      <c r="B37" s="1074" t="s">
        <v>1033</v>
      </c>
      <c r="C37" s="1074"/>
      <c r="D37" s="1074"/>
      <c r="E37" s="1074"/>
      <c r="F37" s="1074"/>
      <c r="G37" s="1074"/>
      <c r="H37" s="1074"/>
      <c r="I37" s="1074"/>
      <c r="J37" s="1074"/>
      <c r="K37" s="1074"/>
      <c r="L37" s="1074"/>
      <c r="M37" s="1074"/>
      <c r="N37" s="1074"/>
      <c r="O37" s="457"/>
      <c r="P37" s="457"/>
      <c r="Q37" s="457"/>
      <c r="R37" s="457"/>
    </row>
    <row r="38" spans="1:18" s="442" customFormat="1">
      <c r="A38" s="475"/>
      <c r="B38" s="473" t="s">
        <v>1034</v>
      </c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5"/>
      <c r="P38" s="475"/>
      <c r="Q38" s="475"/>
      <c r="R38" s="483"/>
    </row>
    <row r="39" spans="1:18" s="442" customFormat="1" ht="10.5">
      <c r="A39" s="475"/>
      <c r="B39" s="475"/>
      <c r="C39" s="475"/>
      <c r="D39" s="475"/>
      <c r="E39" s="475"/>
      <c r="F39" s="475"/>
      <c r="G39" s="475"/>
      <c r="H39" s="475"/>
      <c r="I39" s="484"/>
      <c r="J39" s="485"/>
      <c r="K39" s="484"/>
      <c r="L39" s="475"/>
      <c r="M39" s="475"/>
      <c r="N39" s="475"/>
      <c r="O39" s="475"/>
      <c r="P39" s="475"/>
      <c r="Q39" s="475"/>
      <c r="R39" s="483"/>
    </row>
    <row r="40" spans="1:18" s="443" customFormat="1">
      <c r="A40" s="470"/>
      <c r="B40" s="1075" t="s">
        <v>222</v>
      </c>
      <c r="C40" s="1075"/>
      <c r="D40" s="1075"/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1"/>
    </row>
    <row r="41" spans="1:18" s="443" customFormat="1" ht="15.75" customHeight="1">
      <c r="A41" s="470"/>
      <c r="B41" s="1069" t="s">
        <v>1035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471"/>
    </row>
    <row r="42" spans="1:18" s="443" customFormat="1">
      <c r="A42" s="470"/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471"/>
    </row>
    <row r="43" spans="1:18">
      <c r="A43" s="457"/>
      <c r="B43" s="457"/>
      <c r="C43" s="457"/>
      <c r="D43" s="457"/>
      <c r="E43" s="457"/>
      <c r="F43" s="457"/>
      <c r="G43" s="457"/>
      <c r="H43" s="457"/>
      <c r="I43" s="457"/>
      <c r="J43" s="457"/>
      <c r="K43" s="457"/>
      <c r="L43" s="457"/>
      <c r="M43" s="457"/>
      <c r="N43" s="457"/>
      <c r="O43" s="457"/>
      <c r="P43" s="457"/>
      <c r="Q43" s="457"/>
      <c r="R43" s="457"/>
    </row>
    <row r="44" spans="1:18">
      <c r="A44" s="1076" t="str">
        <f>ПОДПИСИ!B7</f>
        <v>Начальник мастерского участка №1 Курортного РЭС ПАО «Россети Ленэнерго» «СЭС»</v>
      </c>
      <c r="B44" s="1076"/>
      <c r="C44" s="1076"/>
      <c r="D44" s="1076"/>
      <c r="E44" s="1076"/>
      <c r="F44" s="1076"/>
      <c r="G44" s="1076"/>
      <c r="H44" s="1076"/>
      <c r="I44" s="1076"/>
      <c r="J44" s="1076"/>
      <c r="K44" s="1076"/>
      <c r="L44" s="1076"/>
      <c r="M44" s="1076"/>
      <c r="N44" s="455"/>
      <c r="O44" s="1077" t="str">
        <f>ПОДПИСИ!E7</f>
        <v>Д.М. Чечин</v>
      </c>
      <c r="P44" s="1077"/>
      <c r="Q44" s="1077"/>
      <c r="R44" s="457"/>
    </row>
    <row r="45" spans="1:18">
      <c r="A45" s="1076"/>
      <c r="B45" s="1076"/>
      <c r="C45" s="1076"/>
      <c r="D45" s="1076"/>
      <c r="E45" s="1076"/>
      <c r="F45" s="1076"/>
      <c r="G45" s="1076"/>
      <c r="H45" s="1076"/>
      <c r="I45" s="1076"/>
      <c r="J45" s="1076"/>
      <c r="K45" s="1076"/>
      <c r="L45" s="1076"/>
      <c r="M45" s="1076"/>
      <c r="N45" s="455"/>
      <c r="O45" s="1077"/>
      <c r="P45" s="1077"/>
      <c r="Q45" s="1077"/>
      <c r="R45" s="457"/>
    </row>
    <row r="46" spans="1:18" ht="14.5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1057" t="s">
        <v>49</v>
      </c>
      <c r="N46" s="1057"/>
      <c r="O46" s="458"/>
      <c r="P46" s="1057"/>
      <c r="Q46" s="1057"/>
      <c r="R46" s="453"/>
    </row>
    <row r="47" spans="1:18">
      <c r="A47" s="1078" t="str">
        <f>ПОДПИСИ!B12</f>
        <v xml:space="preserve">Производитель работ ООО«БЭСК» </v>
      </c>
      <c r="B47" s="1078"/>
      <c r="C47" s="1078"/>
      <c r="D47" s="1078"/>
      <c r="E47" s="1078"/>
      <c r="F47" s="1078"/>
      <c r="G47" s="1078"/>
      <c r="H47" s="1078"/>
      <c r="I47" s="1078"/>
      <c r="J47" s="1078"/>
      <c r="K47" s="1078"/>
      <c r="L47" s="1078"/>
      <c r="M47" s="1078"/>
      <c r="N47" s="455"/>
      <c r="O47" s="1077" t="str">
        <f>ПОДПИСИ!E12</f>
        <v>А.Р. Махмадов</v>
      </c>
      <c r="P47" s="1077"/>
      <c r="Q47" s="1077"/>
      <c r="R47" s="457"/>
    </row>
    <row r="48" spans="1:18">
      <c r="A48" s="1078"/>
      <c r="B48" s="1078"/>
      <c r="C48" s="1078"/>
      <c r="D48" s="1078"/>
      <c r="E48" s="1078"/>
      <c r="F48" s="1078"/>
      <c r="G48" s="1078"/>
      <c r="H48" s="1078"/>
      <c r="I48" s="1078"/>
      <c r="J48" s="1078"/>
      <c r="K48" s="1078"/>
      <c r="L48" s="1078"/>
      <c r="M48" s="1078"/>
      <c r="N48" s="455"/>
      <c r="O48" s="1077"/>
      <c r="P48" s="1077"/>
      <c r="Q48" s="1077"/>
      <c r="R48" s="457"/>
    </row>
    <row r="49" spans="1:18" ht="14.5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1057" t="s">
        <v>49</v>
      </c>
      <c r="N49" s="1057"/>
      <c r="O49" s="454"/>
      <c r="P49" s="1057"/>
      <c r="Q49" s="1057"/>
      <c r="R49" s="453"/>
    </row>
    <row r="50" spans="1:18">
      <c r="A50" s="487"/>
      <c r="B50" s="487"/>
      <c r="C50" s="487"/>
      <c r="D50" s="487"/>
      <c r="E50" s="457"/>
      <c r="F50" s="457"/>
      <c r="G50" s="457"/>
      <c r="H50" s="457"/>
      <c r="I50" s="457"/>
      <c r="J50" s="457"/>
      <c r="K50" s="457"/>
      <c r="L50" s="457"/>
      <c r="M50" s="457"/>
      <c r="N50" s="457"/>
      <c r="O50" s="457"/>
      <c r="P50" s="457"/>
      <c r="Q50" s="457"/>
      <c r="R50" s="457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sqref="A1:C1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 ht="20.5" customHeight="1">
      <c r="A12" s="738" t="s">
        <v>405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 ht="15" customHeight="1">
      <c r="A13" s="767" t="s">
        <v>4</v>
      </c>
      <c r="B13" s="767"/>
      <c r="C13" s="767"/>
      <c r="D13" s="767"/>
      <c r="E13" s="767"/>
      <c r="F13" s="767"/>
      <c r="G13" s="767"/>
      <c r="H13" s="767"/>
      <c r="I13" s="767"/>
      <c r="J13" s="767"/>
      <c r="K13" s="767"/>
      <c r="L13" s="767"/>
      <c r="M13" s="767"/>
      <c r="N13" s="767"/>
      <c r="O13" s="767"/>
      <c r="P13" s="767"/>
      <c r="Q13" s="767"/>
      <c r="R13" s="767"/>
      <c r="S13" s="767"/>
      <c r="T13" s="767"/>
      <c r="U13" s="767"/>
      <c r="V13" s="767"/>
      <c r="W13" s="767"/>
      <c r="X13" s="767"/>
      <c r="Y13" s="767"/>
      <c r="DH13" s="229"/>
    </row>
    <row r="14" spans="1:112" ht="30" customHeight="1">
      <c r="A14" s="766" t="s">
        <v>115</v>
      </c>
      <c r="B14" s="766"/>
      <c r="C14" s="766"/>
      <c r="D14" s="766"/>
      <c r="E14" s="766"/>
      <c r="F14" s="766"/>
      <c r="G14" s="766"/>
      <c r="H14" s="766"/>
      <c r="I14" s="766"/>
      <c r="J14" s="766"/>
      <c r="K14" s="766"/>
      <c r="L14" s="766"/>
      <c r="M14" s="766"/>
      <c r="N14" s="766"/>
      <c r="O14" s="766"/>
      <c r="P14" s="766"/>
      <c r="Q14" s="766"/>
      <c r="R14" s="766"/>
      <c r="S14" s="766"/>
      <c r="T14" s="766"/>
      <c r="U14" s="766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  <c r="AF14" s="762" t="str">
        <f>ПОДПИСИ!B6</f>
        <v>Начальник мастерского участка №1 Курортного РЭС ПАО «Россети Ленэнерго» «СЭС»</v>
      </c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  <c r="CJ14" s="762"/>
      <c r="CK14" s="762"/>
      <c r="CL14" s="762"/>
      <c r="CM14" s="762"/>
      <c r="CN14" s="762"/>
      <c r="CO14" s="762"/>
      <c r="CP14" s="762"/>
      <c r="CQ14" s="762"/>
      <c r="CR14" s="762"/>
      <c r="CS14" s="762"/>
      <c r="CT14" s="762"/>
      <c r="CU14" s="762"/>
      <c r="CV14" s="762"/>
      <c r="CW14" s="762"/>
      <c r="CX14" s="762"/>
      <c r="CY14" s="762"/>
      <c r="CZ14" s="762"/>
      <c r="DA14" s="762"/>
      <c r="DB14" s="762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0" t="s">
        <v>5</v>
      </c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>
      <c r="A16" s="1080" t="str">
        <f>ПОДПИСИ!C6</f>
        <v>Чечин Д.М.</v>
      </c>
      <c r="B16" s="1080"/>
      <c r="C16" s="1080"/>
      <c r="D16" s="1080"/>
      <c r="E16" s="1080"/>
      <c r="F16" s="1080"/>
      <c r="G16" s="1080"/>
      <c r="H16" s="1080"/>
      <c r="I16" s="1080"/>
      <c r="J16" s="1080"/>
      <c r="K16" s="1080"/>
      <c r="L16" s="1080"/>
      <c r="M16" s="1080"/>
      <c r="N16" s="1080"/>
      <c r="O16" s="1080"/>
      <c r="P16" s="1080"/>
      <c r="Q16" s="1080"/>
      <c r="R16" s="1080"/>
      <c r="S16" s="1080"/>
      <c r="T16" s="1080"/>
      <c r="U16" s="1080"/>
      <c r="V16" s="1080"/>
      <c r="W16" s="1080"/>
      <c r="X16" s="1080"/>
      <c r="Y16" s="1080"/>
      <c r="Z16" s="1080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  <c r="BX16" s="1080"/>
      <c r="BY16" s="1080"/>
      <c r="BZ16" s="1080"/>
      <c r="CA16" s="1080"/>
      <c r="CB16" s="1080"/>
      <c r="CC16" s="1080"/>
      <c r="CD16" s="1080"/>
      <c r="CE16" s="1080"/>
      <c r="CF16" s="1080"/>
      <c r="CG16" s="1080"/>
      <c r="CH16" s="1080"/>
      <c r="CI16" s="1080"/>
      <c r="CJ16" s="1080"/>
      <c r="CK16" s="1080"/>
      <c r="CL16" s="1080"/>
      <c r="CM16" s="1080"/>
      <c r="CN16" s="1080"/>
      <c r="CO16" s="1080"/>
      <c r="CP16" s="1080"/>
      <c r="CQ16" s="1080"/>
      <c r="CR16" s="1080"/>
      <c r="CS16" s="1080"/>
      <c r="CT16" s="1080"/>
      <c r="CU16" s="1080"/>
      <c r="CV16" s="1080"/>
      <c r="CW16" s="1080"/>
      <c r="CX16" s="1080"/>
      <c r="CY16" s="1080"/>
      <c r="CZ16" s="1080"/>
      <c r="DA16" s="1080"/>
      <c r="DB16" s="1080"/>
    </row>
    <row r="17" spans="1:112" ht="15" customHeight="1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>
      <c r="A18" s="766" t="s">
        <v>716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2" t="str">
        <f>ПОДПИСИ!B12</f>
        <v xml:space="preserve">Производитель работ ООО«БЭСК» </v>
      </c>
      <c r="AX18" s="762"/>
      <c r="AY18" s="762"/>
      <c r="AZ18" s="762"/>
      <c r="BA18" s="762"/>
      <c r="BB18" s="762"/>
      <c r="BC18" s="762"/>
      <c r="BD18" s="762"/>
      <c r="BE18" s="762"/>
      <c r="BF18" s="762"/>
      <c r="BG18" s="762"/>
      <c r="BH18" s="762"/>
      <c r="BI18" s="762"/>
      <c r="BJ18" s="762"/>
      <c r="BK18" s="762"/>
      <c r="BL18" s="762"/>
      <c r="BM18" s="762"/>
      <c r="BN18" s="762"/>
      <c r="BO18" s="762"/>
      <c r="BP18" s="762"/>
      <c r="BQ18" s="762"/>
      <c r="BR18" s="762"/>
      <c r="BS18" s="762"/>
      <c r="BT18" s="762"/>
      <c r="BU18" s="762"/>
      <c r="BV18" s="762"/>
      <c r="BW18" s="762"/>
      <c r="BX18" s="762"/>
      <c r="BY18" s="762"/>
      <c r="BZ18" s="762"/>
      <c r="CA18" s="762"/>
      <c r="CB18" s="762"/>
      <c r="CC18" s="762"/>
      <c r="CD18" s="762"/>
      <c r="CE18" s="762"/>
      <c r="CF18" s="762"/>
      <c r="CG18" s="762"/>
      <c r="CH18" s="762"/>
      <c r="CI18" s="762"/>
      <c r="CJ18" s="762"/>
      <c r="CK18" s="762"/>
      <c r="CL18" s="762"/>
      <c r="CM18" s="762"/>
      <c r="CN18" s="762"/>
      <c r="CO18" s="762"/>
      <c r="CP18" s="762"/>
      <c r="CQ18" s="762"/>
      <c r="CR18" s="762"/>
      <c r="CS18" s="762"/>
      <c r="CT18" s="762"/>
      <c r="CU18" s="762"/>
      <c r="CV18" s="762"/>
      <c r="CW18" s="762"/>
      <c r="CX18" s="762"/>
      <c r="CY18" s="762"/>
      <c r="CZ18" s="762"/>
      <c r="DA18" s="762"/>
      <c r="DB18" s="762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0" t="s">
        <v>5</v>
      </c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5" customHeight="1">
      <c r="A20" s="759" t="str">
        <f>ПОДПИСИ!C12</f>
        <v>Махмадов А.Р.</v>
      </c>
      <c r="B20" s="759"/>
      <c r="C20" s="759"/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759"/>
      <c r="AQ20" s="759"/>
      <c r="AR20" s="759"/>
      <c r="AS20" s="759"/>
      <c r="AT20" s="759"/>
      <c r="AU20" s="759"/>
      <c r="AV20" s="759"/>
      <c r="AW20" s="759"/>
      <c r="AX20" s="759"/>
      <c r="AY20" s="759"/>
      <c r="AZ20" s="759"/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759"/>
      <c r="BS20" s="759"/>
      <c r="BT20" s="759"/>
      <c r="BU20" s="759"/>
      <c r="BV20" s="759"/>
      <c r="BW20" s="759"/>
      <c r="BX20" s="759"/>
      <c r="BY20" s="759"/>
      <c r="BZ20" s="759"/>
      <c r="CA20" s="759"/>
      <c r="CB20" s="759"/>
      <c r="CC20" s="759"/>
      <c r="CD20" s="759"/>
      <c r="CE20" s="759"/>
      <c r="CF20" s="759"/>
      <c r="CG20" s="759"/>
      <c r="CH20" s="759"/>
      <c r="CI20" s="759"/>
      <c r="CJ20" s="759"/>
      <c r="CK20" s="759"/>
      <c r="CL20" s="759"/>
      <c r="CM20" s="759"/>
      <c r="CN20" s="759"/>
      <c r="CO20" s="759"/>
      <c r="CP20" s="759"/>
      <c r="CQ20" s="759"/>
      <c r="CR20" s="759"/>
      <c r="CS20" s="759"/>
      <c r="CT20" s="759"/>
      <c r="CU20" s="759"/>
      <c r="CV20" s="759"/>
      <c r="CW20" s="759"/>
      <c r="CX20" s="759"/>
      <c r="CY20" s="759"/>
      <c r="CZ20" s="759"/>
      <c r="DA20" s="759"/>
      <c r="DB20" s="759"/>
      <c r="DH20" s="141"/>
    </row>
    <row r="21" spans="1:112">
      <c r="A21" s="19" t="s">
        <v>406</v>
      </c>
    </row>
    <row r="22" spans="1:112" ht="14">
      <c r="A22" s="19" t="s">
        <v>224</v>
      </c>
      <c r="DH22" s="141"/>
    </row>
    <row r="23" spans="1:112" ht="17.5" customHeight="1">
      <c r="A23" s="19" t="s">
        <v>407</v>
      </c>
      <c r="AN23" s="54"/>
      <c r="AO23" s="54"/>
      <c r="AP23" s="758" t="s">
        <v>636</v>
      </c>
      <c r="AQ23" s="758"/>
      <c r="AR23" s="758"/>
      <c r="AS23" s="758"/>
      <c r="AT23" s="758"/>
      <c r="AU23" s="758"/>
      <c r="AV23" s="758"/>
      <c r="AW23" s="758"/>
      <c r="AX23" s="758"/>
      <c r="AY23" s="758"/>
      <c r="AZ23" s="758"/>
      <c r="BA23" s="758"/>
      <c r="BB23" s="758"/>
      <c r="BC23" s="758"/>
      <c r="BD23" s="758"/>
      <c r="BE23" s="758"/>
      <c r="BF23" s="758"/>
      <c r="BG23" s="758"/>
      <c r="BH23" s="758"/>
      <c r="BI23" s="758"/>
      <c r="BJ23" s="758"/>
      <c r="BK23" s="758"/>
      <c r="BL23" s="758"/>
      <c r="BM23" s="758"/>
      <c r="BN23" s="758"/>
      <c r="BO23" s="758"/>
      <c r="BP23" s="758"/>
      <c r="BQ23" s="758"/>
      <c r="BR23" s="758"/>
      <c r="BS23" s="758"/>
      <c r="BT23" s="758"/>
      <c r="BU23" s="758"/>
      <c r="BV23" s="758"/>
      <c r="BW23" s="758"/>
      <c r="BX23" s="758"/>
      <c r="BY23" s="758"/>
      <c r="BZ23" s="758"/>
      <c r="CA23" s="758"/>
      <c r="CB23" s="758"/>
      <c r="CC23" s="758"/>
      <c r="CD23" s="758"/>
      <c r="CE23" s="758"/>
      <c r="CF23" s="758"/>
      <c r="CG23" s="758"/>
      <c r="CH23" s="758"/>
      <c r="CI23" s="758"/>
      <c r="CJ23" s="758"/>
      <c r="CK23" s="758"/>
      <c r="CL23" s="758"/>
      <c r="CM23" s="758"/>
      <c r="CN23" s="758"/>
      <c r="CO23" s="758"/>
      <c r="CP23" s="758"/>
      <c r="CQ23" s="758"/>
      <c r="CR23" s="758"/>
      <c r="CS23" s="758"/>
      <c r="CT23" s="758"/>
      <c r="CU23" s="758"/>
      <c r="CV23" s="758"/>
      <c r="CW23" s="758"/>
      <c r="CX23" s="758"/>
      <c r="CY23" s="758"/>
      <c r="CZ23" s="758"/>
      <c r="DA23" s="758"/>
      <c r="DB23" s="758"/>
    </row>
    <row r="24" spans="1:112" ht="10.5" customHeight="1">
      <c r="AN24" s="736" t="s">
        <v>408</v>
      </c>
      <c r="AO24" s="736"/>
      <c r="AP24" s="736"/>
      <c r="AQ24" s="736"/>
      <c r="AR24" s="736"/>
      <c r="AS24" s="736"/>
      <c r="AT24" s="736"/>
      <c r="AU24" s="736"/>
      <c r="AV24" s="736"/>
      <c r="AW24" s="736"/>
      <c r="AX24" s="736"/>
      <c r="AY24" s="736"/>
      <c r="AZ24" s="736"/>
      <c r="BA24" s="736"/>
      <c r="BB24" s="736"/>
      <c r="BC24" s="736"/>
      <c r="BD24" s="736"/>
      <c r="BE24" s="736"/>
      <c r="BF24" s="736"/>
      <c r="BG24" s="736"/>
      <c r="BH24" s="736"/>
      <c r="BI24" s="736"/>
      <c r="BJ24" s="736"/>
      <c r="BK24" s="736"/>
      <c r="BL24" s="736"/>
      <c r="BM24" s="736"/>
      <c r="BN24" s="736"/>
      <c r="BO24" s="736"/>
      <c r="BP24" s="736"/>
      <c r="BQ24" s="736"/>
      <c r="BR24" s="736"/>
      <c r="BS24" s="736"/>
      <c r="BT24" s="736"/>
      <c r="BU24" s="736"/>
      <c r="BV24" s="736"/>
      <c r="BW24" s="736"/>
      <c r="BX24" s="736"/>
      <c r="BY24" s="736"/>
      <c r="BZ24" s="736"/>
      <c r="CA24" s="736"/>
      <c r="CB24" s="736"/>
      <c r="CC24" s="736"/>
      <c r="CD24" s="736"/>
      <c r="CE24" s="736"/>
      <c r="CF24" s="736"/>
      <c r="CG24" s="736"/>
      <c r="CH24" s="736"/>
      <c r="CI24" s="736"/>
      <c r="CJ24" s="736"/>
      <c r="CK24" s="736"/>
      <c r="CL24" s="736"/>
      <c r="CM24" s="736"/>
      <c r="CN24" s="736"/>
      <c r="CO24" s="736"/>
      <c r="CP24" s="736"/>
      <c r="CQ24" s="736"/>
      <c r="CR24" s="736"/>
      <c r="CS24" s="736"/>
      <c r="CT24" s="736"/>
      <c r="CU24" s="736"/>
      <c r="CV24" s="736"/>
      <c r="CW24" s="736"/>
      <c r="CX24" s="736"/>
      <c r="CY24" s="736"/>
      <c r="CZ24" s="736"/>
      <c r="DA24" s="736"/>
      <c r="DB24" s="736"/>
      <c r="DD24" s="56"/>
      <c r="DE24" s="57"/>
      <c r="DF24" s="57"/>
      <c r="DH24" s="229"/>
    </row>
    <row r="25" spans="1:112" ht="15" customHeight="1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58" t="s">
        <v>410</v>
      </c>
      <c r="AR25" s="758"/>
      <c r="AS25" s="758"/>
      <c r="AT25" s="758"/>
      <c r="AU25" s="758"/>
      <c r="AV25" s="758"/>
      <c r="AW25" s="758"/>
      <c r="AX25" s="758"/>
      <c r="AY25" s="758"/>
      <c r="AZ25" s="758"/>
      <c r="BA25" s="758"/>
      <c r="BB25" s="758"/>
      <c r="BC25" s="758"/>
      <c r="BD25" s="758"/>
      <c r="BE25" s="758"/>
      <c r="BF25" s="758"/>
      <c r="BG25" s="758"/>
      <c r="BH25" s="758"/>
      <c r="BI25" s="758"/>
      <c r="BJ25" s="758"/>
      <c r="BK25" s="758"/>
      <c r="BL25" s="758"/>
      <c r="BM25" s="758"/>
      <c r="BN25" s="758"/>
      <c r="BO25" s="758"/>
      <c r="BP25" s="758"/>
      <c r="BQ25" s="758"/>
      <c r="BR25" s="758"/>
      <c r="BS25" s="758"/>
      <c r="BT25" s="758"/>
      <c r="BU25" s="758"/>
      <c r="BV25" s="758"/>
      <c r="BW25" s="758"/>
      <c r="BX25" s="758"/>
      <c r="BY25" s="758"/>
      <c r="BZ25" s="758"/>
      <c r="CA25" s="758"/>
      <c r="CB25" s="758"/>
      <c r="CC25" s="758"/>
      <c r="CD25" s="758"/>
      <c r="CE25" s="758"/>
      <c r="CF25" s="758"/>
      <c r="CG25" s="758"/>
      <c r="CH25" s="758"/>
      <c r="CI25" s="758"/>
      <c r="CJ25" s="758"/>
      <c r="CK25" s="758"/>
      <c r="CL25" s="758"/>
      <c r="CM25" s="758"/>
      <c r="CN25" s="758"/>
      <c r="CO25" s="758"/>
      <c r="CP25" s="758"/>
      <c r="CQ25" s="758"/>
      <c r="CR25" s="758"/>
      <c r="CS25" s="758"/>
      <c r="CT25" s="758"/>
      <c r="CU25" s="758"/>
      <c r="CV25" s="758"/>
      <c r="CW25" s="758"/>
      <c r="CX25" s="758"/>
      <c r="CY25" s="758"/>
      <c r="CZ25" s="758"/>
      <c r="DA25" s="758"/>
      <c r="DB25" s="758"/>
      <c r="DH25" s="149"/>
    </row>
    <row r="26" spans="1:112" ht="15" customHeight="1">
      <c r="A26" s="19" t="s">
        <v>411</v>
      </c>
      <c r="X26" s="1044" t="s">
        <v>249</v>
      </c>
      <c r="Y26" s="1044"/>
      <c r="Z26" s="1044"/>
      <c r="AA26" s="1044"/>
      <c r="AB26" s="1044"/>
      <c r="AC26" s="1044"/>
      <c r="AD26" s="1044"/>
      <c r="AE26" s="1044"/>
      <c r="AF26" s="1044"/>
      <c r="AG26" s="1044"/>
      <c r="AH26" s="1044"/>
      <c r="AI26" s="1044"/>
      <c r="AJ26" s="1044"/>
      <c r="AK26" s="1044"/>
      <c r="AL26" s="1044"/>
      <c r="AM26" s="1044"/>
      <c r="AN26" s="1044"/>
      <c r="AO26" s="1044"/>
      <c r="AP26" s="1044"/>
      <c r="AQ26" s="1044"/>
      <c r="AR26" s="1044"/>
      <c r="AS26" s="1044"/>
      <c r="AT26" s="1044"/>
      <c r="AU26" s="1044"/>
      <c r="AV26" s="1044"/>
      <c r="AW26" s="1044"/>
      <c r="AX26" s="1044"/>
      <c r="AY26" s="1044"/>
      <c r="AZ26" s="1044"/>
      <c r="BA26" s="1044"/>
      <c r="BB26" s="1044"/>
      <c r="BC26" s="1044"/>
      <c r="BD26" s="1044"/>
      <c r="BE26" s="1044"/>
      <c r="BF26" s="1044"/>
      <c r="BG26" s="1044"/>
      <c r="BH26" s="1044"/>
      <c r="BI26" s="1044"/>
      <c r="BJ26" s="1044"/>
      <c r="BK26" s="1044"/>
      <c r="BL26" s="1044"/>
      <c r="BM26" s="1044"/>
      <c r="BN26" s="1044"/>
      <c r="BO26" s="1044"/>
      <c r="BP26" s="1044"/>
      <c r="BQ26" s="1044"/>
      <c r="BR26" s="1044"/>
      <c r="BS26" s="1044"/>
      <c r="BT26" s="1044"/>
      <c r="BU26" s="1044"/>
      <c r="BV26" s="1044"/>
      <c r="BW26" s="1044"/>
      <c r="BX26" s="1044"/>
      <c r="BY26" s="1044"/>
      <c r="BZ26" s="1044"/>
      <c r="CA26" s="1044"/>
      <c r="CB26" s="1044"/>
      <c r="CC26" s="1044"/>
      <c r="CD26" s="1044"/>
      <c r="CE26" s="1044"/>
      <c r="CF26" s="1044"/>
      <c r="CG26" s="1044"/>
      <c r="CH26" s="1044"/>
      <c r="CI26" s="1044"/>
      <c r="CJ26" s="1044"/>
      <c r="CK26" s="1044"/>
      <c r="CL26" s="1044"/>
      <c r="CM26" s="1044"/>
      <c r="CN26" s="1044"/>
      <c r="CO26" s="1044"/>
      <c r="CP26" s="1044"/>
      <c r="CQ26" s="1044"/>
      <c r="CR26" s="1044"/>
      <c r="CS26" s="1044"/>
      <c r="CT26" s="1044"/>
      <c r="CU26" s="1044"/>
      <c r="CV26" s="1044"/>
      <c r="CW26" s="1044"/>
      <c r="CX26" s="1044"/>
      <c r="CY26" s="1044"/>
      <c r="CZ26" s="1044"/>
      <c r="DA26" s="1044"/>
      <c r="DB26" s="1044"/>
      <c r="DH26" s="228"/>
    </row>
    <row r="27" spans="1:112" ht="25.15" customHeight="1">
      <c r="A27" s="30" t="s">
        <v>412</v>
      </c>
      <c r="R27" s="1079" t="s">
        <v>482</v>
      </c>
      <c r="S27" s="1079"/>
      <c r="T27" s="1079"/>
      <c r="U27" s="1079"/>
      <c r="V27" s="1079"/>
      <c r="W27" s="1079"/>
      <c r="X27" s="1079"/>
      <c r="Y27" s="1079"/>
      <c r="Z27" s="1079"/>
      <c r="AA27" s="1079"/>
      <c r="AB27" s="1079"/>
      <c r="AC27" s="1079"/>
      <c r="AD27" s="1079"/>
      <c r="AE27" s="1079"/>
      <c r="AF27" s="1079"/>
      <c r="AG27" s="1079"/>
      <c r="AH27" s="1079"/>
      <c r="AI27" s="1079"/>
      <c r="AJ27" s="1079"/>
      <c r="AK27" s="1079"/>
      <c r="AL27" s="1079"/>
      <c r="AM27" s="1079"/>
      <c r="AN27" s="1079"/>
      <c r="AO27" s="1079"/>
      <c r="AP27" s="1079"/>
      <c r="AQ27" s="1079"/>
      <c r="AR27" s="1079"/>
      <c r="AS27" s="1079"/>
      <c r="AT27" s="1079"/>
      <c r="AU27" s="1079"/>
      <c r="AV27" s="1079"/>
      <c r="AW27" s="1079"/>
      <c r="AX27" s="1079"/>
      <c r="AY27" s="1079"/>
      <c r="AZ27" s="1079"/>
      <c r="BA27" s="1079"/>
      <c r="BB27" s="1079"/>
      <c r="BC27" s="1079"/>
      <c r="BD27" s="1079"/>
      <c r="BE27" s="1079"/>
      <c r="BF27" s="1079"/>
      <c r="BG27" s="1079"/>
      <c r="BH27" s="1079"/>
      <c r="BI27" s="1079"/>
      <c r="BJ27" s="1079"/>
      <c r="BK27" s="1079"/>
      <c r="BL27" s="1079"/>
      <c r="BM27" s="1079"/>
      <c r="BN27" s="1079"/>
      <c r="BO27" s="1079"/>
      <c r="BP27" s="1079"/>
      <c r="BQ27" s="1079"/>
      <c r="BR27" s="1079"/>
      <c r="BS27" s="1079"/>
      <c r="BT27" s="1079"/>
      <c r="BU27" s="1079"/>
      <c r="BV27" s="1079"/>
      <c r="BW27" s="1079"/>
      <c r="BX27" s="1079"/>
      <c r="BY27" s="1079"/>
      <c r="BZ27" s="1079"/>
      <c r="CA27" s="1079"/>
      <c r="CB27" s="1079"/>
      <c r="CC27" s="1079"/>
      <c r="CD27" s="1079"/>
      <c r="CE27" s="1079"/>
      <c r="CF27" s="1079"/>
      <c r="CG27" s="1079"/>
      <c r="CH27" s="1079"/>
      <c r="CI27" s="1079"/>
      <c r="CJ27" s="1079"/>
      <c r="CK27" s="1079"/>
      <c r="CL27" s="1079"/>
      <c r="CM27" s="1079"/>
      <c r="CN27" s="1079"/>
      <c r="CO27" s="1079"/>
      <c r="CP27" s="1079"/>
      <c r="CQ27" s="1079"/>
      <c r="CR27" s="1079"/>
      <c r="CS27" s="1079"/>
      <c r="CT27" s="1079"/>
      <c r="CU27" s="1079"/>
      <c r="CV27" s="1079"/>
      <c r="CW27" s="1079"/>
      <c r="CX27" s="1079"/>
      <c r="CY27" s="1079"/>
      <c r="CZ27" s="1079"/>
      <c r="DA27" s="1079"/>
      <c r="DB27" s="1079"/>
      <c r="DH27" s="141"/>
    </row>
    <row r="28" spans="1:112" customFormat="1" ht="45.75" customHeight="1">
      <c r="A28" s="766" t="s">
        <v>721</v>
      </c>
      <c r="B28" s="767"/>
      <c r="C28" s="767"/>
      <c r="D28" s="767"/>
      <c r="E28" s="767"/>
      <c r="F28" s="767"/>
      <c r="G28" s="767"/>
      <c r="H28" s="767"/>
      <c r="I28" s="767"/>
      <c r="J28" s="767"/>
      <c r="K28" s="767"/>
      <c r="L28" s="767"/>
      <c r="M28" s="767"/>
      <c r="N28" s="767"/>
      <c r="O28" s="767"/>
      <c r="P28" s="767"/>
      <c r="Q28" s="767"/>
      <c r="R28" s="767"/>
      <c r="S28" s="767"/>
      <c r="T28" s="767"/>
      <c r="U28" s="767"/>
      <c r="V28" s="767"/>
      <c r="W28" s="767"/>
      <c r="X28" s="767"/>
      <c r="Y28" s="767"/>
      <c r="Z28" s="767"/>
      <c r="AA28" s="767"/>
      <c r="AB28" s="767"/>
      <c r="AC28" s="767"/>
      <c r="AD28" s="767"/>
      <c r="AE28" s="767"/>
      <c r="AF28" s="767"/>
      <c r="AG28" s="767"/>
      <c r="AH28" s="767"/>
      <c r="AI28" s="767"/>
      <c r="AJ28" s="767"/>
      <c r="AK28" s="767"/>
      <c r="AL28" s="767"/>
      <c r="AM28" s="76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60"/>
      <c r="BJ28" s="760"/>
      <c r="BK28" s="760"/>
      <c r="BL28" s="760"/>
      <c r="BM28" s="760"/>
      <c r="BN28" s="760"/>
      <c r="BO28" s="760"/>
      <c r="BP28" s="760"/>
      <c r="BQ28" s="760"/>
      <c r="BR28" s="760"/>
      <c r="BS28" s="760"/>
      <c r="BT28" s="760"/>
      <c r="BU28" s="760"/>
      <c r="BV28" s="760"/>
      <c r="BW28" s="760"/>
      <c r="BX28" s="760"/>
      <c r="BY28" s="760"/>
      <c r="BZ28" s="760"/>
      <c r="CA28" s="760"/>
      <c r="CB28" s="760"/>
      <c r="CC28" s="760"/>
      <c r="CD28" s="760"/>
      <c r="CE28" s="760"/>
      <c r="CF28" s="760"/>
      <c r="CG28" s="23"/>
      <c r="CH28" s="23"/>
      <c r="CI28" s="23"/>
      <c r="CJ28" s="758" t="str">
        <f>ПОДПИСИ!E6</f>
        <v>Д.М. Чечин</v>
      </c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  <c r="DH28" s="141"/>
    </row>
    <row r="29" spans="1:112" s="1" customFormat="1" ht="10.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36" t="s">
        <v>11</v>
      </c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21"/>
      <c r="CH29" s="21"/>
      <c r="CI29" s="21"/>
      <c r="CJ29" s="770" t="s">
        <v>50</v>
      </c>
      <c r="CK29" s="770"/>
      <c r="CL29" s="770"/>
      <c r="CM29" s="770"/>
      <c r="CN29" s="770"/>
      <c r="CO29" s="770"/>
      <c r="CP29" s="770"/>
      <c r="CQ29" s="770"/>
      <c r="CR29" s="770"/>
      <c r="CS29" s="770"/>
      <c r="CT29" s="770"/>
      <c r="CU29" s="770"/>
      <c r="CV29" s="770"/>
      <c r="CW29" s="770"/>
      <c r="CX29" s="770"/>
      <c r="CY29" s="770"/>
      <c r="CZ29" s="770"/>
      <c r="DA29" s="770"/>
      <c r="DB29" s="770"/>
      <c r="DH29" s="148"/>
    </row>
    <row r="30" spans="1:112" customFormat="1" ht="48.75" customHeight="1">
      <c r="A30" s="766" t="s">
        <v>715</v>
      </c>
      <c r="B30" s="767"/>
      <c r="C30" s="767"/>
      <c r="D30" s="767"/>
      <c r="E30" s="767"/>
      <c r="F30" s="767"/>
      <c r="G30" s="767"/>
      <c r="H30" s="767"/>
      <c r="I30" s="767"/>
      <c r="J30" s="767"/>
      <c r="K30" s="767"/>
      <c r="L30" s="767"/>
      <c r="M30" s="767"/>
      <c r="N30" s="767"/>
      <c r="O30" s="767"/>
      <c r="P30" s="767"/>
      <c r="Q30" s="767"/>
      <c r="R30" s="767"/>
      <c r="S30" s="767"/>
      <c r="T30" s="767"/>
      <c r="U30" s="767"/>
      <c r="V30" s="767"/>
      <c r="W30" s="767"/>
      <c r="X30" s="767"/>
      <c r="Y30" s="767"/>
      <c r="Z30" s="767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0"/>
      <c r="BJ30" s="760"/>
      <c r="BK30" s="760"/>
      <c r="BL30" s="760"/>
      <c r="BM30" s="760"/>
      <c r="BN30" s="760"/>
      <c r="BO30" s="760"/>
      <c r="BP30" s="760"/>
      <c r="BQ30" s="760"/>
      <c r="BR30" s="760"/>
      <c r="BS30" s="760"/>
      <c r="BT30" s="760"/>
      <c r="BU30" s="760"/>
      <c r="BV30" s="760"/>
      <c r="BW30" s="760"/>
      <c r="BX30" s="760"/>
      <c r="BY30" s="760"/>
      <c r="BZ30" s="760"/>
      <c r="CA30" s="760"/>
      <c r="CB30" s="760"/>
      <c r="CC30" s="760"/>
      <c r="CD30" s="760"/>
      <c r="CE30" s="760"/>
      <c r="CF30" s="760"/>
      <c r="CG30" s="19"/>
      <c r="CH30" s="19"/>
      <c r="CI30" s="19"/>
      <c r="CJ30" s="758" t="str">
        <f>ПОДПИСИ!E12</f>
        <v>А.Р. Махмадов</v>
      </c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228"/>
    </row>
    <row r="31" spans="1:112" s="1" customFormat="1" ht="10.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36" t="s">
        <v>11</v>
      </c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21"/>
      <c r="CH31" s="21"/>
      <c r="CI31" s="21"/>
      <c r="CJ31" s="770" t="s">
        <v>50</v>
      </c>
      <c r="CK31" s="770"/>
      <c r="CL31" s="770"/>
      <c r="CM31" s="770"/>
      <c r="CN31" s="770"/>
      <c r="CO31" s="770"/>
      <c r="CP31" s="770"/>
      <c r="CQ31" s="770"/>
      <c r="CR31" s="770"/>
      <c r="CS31" s="770"/>
      <c r="CT31" s="770"/>
      <c r="CU31" s="770"/>
      <c r="CV31" s="770"/>
      <c r="CW31" s="770"/>
      <c r="CX31" s="770"/>
      <c r="CY31" s="770"/>
      <c r="CZ31" s="770"/>
      <c r="DA31" s="770"/>
      <c r="DB31" s="770"/>
      <c r="DH31" s="148"/>
    </row>
    <row r="32" spans="1:112" ht="14">
      <c r="DH32" s="231"/>
    </row>
    <row r="33" spans="112:112" ht="14">
      <c r="DH33" s="141"/>
    </row>
    <row r="34" spans="112:112" ht="14">
      <c r="DH34" s="151"/>
    </row>
    <row r="35" spans="112:112" ht="14">
      <c r="DH35" s="141"/>
    </row>
    <row r="36" spans="112:112" ht="14">
      <c r="DH36" s="152"/>
    </row>
    <row r="37" spans="112:112" ht="14">
      <c r="DH37" s="141"/>
    </row>
    <row r="38" spans="112:112" ht="14">
      <c r="DH38" s="153"/>
    </row>
    <row r="39" spans="112:112" ht="14">
      <c r="DH39" s="141"/>
    </row>
    <row r="40" spans="112:112" ht="14">
      <c r="DH40" s="152"/>
    </row>
    <row r="41" spans="112:112" ht="14">
      <c r="DH41" s="141"/>
    </row>
    <row r="42" spans="112:112" ht="14">
      <c r="DH42" s="151"/>
    </row>
    <row r="43" spans="112:112" ht="14">
      <c r="DH43" s="141"/>
    </row>
    <row r="44" spans="112:112" ht="14">
      <c r="DH44" s="151"/>
    </row>
    <row r="45" spans="112:112" ht="14">
      <c r="DH45" s="141"/>
    </row>
    <row r="47" spans="112:112" ht="14">
      <c r="DH47" s="141"/>
    </row>
    <row r="49" spans="112:112" ht="14">
      <c r="DH49" s="141"/>
    </row>
    <row r="50" spans="112:112" ht="14">
      <c r="DH50" s="141"/>
    </row>
    <row r="52" spans="112:112" ht="14">
      <c r="DH52" s="141"/>
    </row>
    <row r="53" spans="112:112" ht="14">
      <c r="DH53" s="141"/>
    </row>
    <row r="54" spans="112:112" ht="14">
      <c r="DH54" s="141"/>
    </row>
    <row r="55" spans="112:112" ht="14">
      <c r="DH55" s="141"/>
    </row>
    <row r="56" spans="112:112" ht="14">
      <c r="DH56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89" priority="3" operator="equal">
      <formula>0</formula>
    </cfRule>
  </conditionalFormatting>
  <conditionalFormatting sqref="BH10:DB10">
    <cfRule type="cellIs" dxfId="88" priority="2" operator="equal">
      <formula>0</formula>
    </cfRule>
  </conditionalFormatting>
  <conditionalFormatting sqref="DH2:DH6">
    <cfRule type="cellIs" dxfId="8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17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26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499</v>
      </c>
      <c r="B10" s="822"/>
      <c r="C10" s="822"/>
      <c r="D10" s="822"/>
      <c r="E10" s="822"/>
      <c r="F10" s="822"/>
      <c r="G10" s="822"/>
      <c r="H10" s="822"/>
      <c r="I10" s="822"/>
    </row>
    <row r="11" spans="1:17" ht="15" customHeight="1">
      <c r="A11" s="767" t="s">
        <v>4</v>
      </c>
      <c r="B11" s="767"/>
      <c r="C11" s="767"/>
      <c r="D11" s="767"/>
      <c r="E11" s="767"/>
      <c r="F11" s="767"/>
      <c r="G11" s="767"/>
      <c r="H11" s="767"/>
      <c r="I11" s="767"/>
    </row>
    <row r="12" spans="1:17" ht="30" customHeight="1">
      <c r="A12" s="30" t="s">
        <v>115</v>
      </c>
      <c r="B12" s="30"/>
      <c r="C12" s="30"/>
      <c r="D12" s="762" t="str">
        <f>ПОДПИСИ!B6</f>
        <v>Начальник мастерского участка №1 Курортного РЭС ПАО «Россети Ленэнерго» «СЭС»</v>
      </c>
      <c r="E12" s="762"/>
      <c r="F12" s="762"/>
      <c r="G12" s="762"/>
      <c r="H12" s="762"/>
      <c r="I12" s="762"/>
    </row>
    <row r="13" spans="1:17" ht="11.25" customHeight="1">
      <c r="A13" s="1083"/>
      <c r="B13" s="1083"/>
      <c r="C13" s="1083"/>
      <c r="D13" s="1083"/>
      <c r="E13" s="1083"/>
      <c r="F13" s="770" t="s">
        <v>5</v>
      </c>
      <c r="G13" s="770"/>
      <c r="H13" s="770"/>
      <c r="I13" s="770"/>
    </row>
    <row r="14" spans="1:17" ht="15" customHeight="1">
      <c r="A14" s="759" t="str">
        <f>ПОДПИСИ!C6</f>
        <v>Чечин Д.М.</v>
      </c>
      <c r="B14" s="759"/>
      <c r="C14" s="759"/>
      <c r="D14" s="759"/>
      <c r="E14" s="759"/>
      <c r="F14" s="759"/>
      <c r="G14" s="759"/>
      <c r="H14" s="759"/>
      <c r="I14" s="759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66" t="s">
        <v>716</v>
      </c>
      <c r="B16" s="766"/>
      <c r="C16" s="766"/>
      <c r="D16" s="766"/>
      <c r="E16" s="766"/>
      <c r="F16" s="762" t="str">
        <f>ПОДПИСИ!B12</f>
        <v xml:space="preserve">Производитель работ ООО«БЭСК» </v>
      </c>
      <c r="G16" s="762"/>
      <c r="H16" s="762"/>
      <c r="I16" s="762"/>
    </row>
    <row r="17" spans="1:17" ht="9.75" customHeight="1">
      <c r="A17" s="770"/>
      <c r="B17" s="770"/>
      <c r="C17" s="770"/>
      <c r="D17" s="770" t="s">
        <v>5</v>
      </c>
      <c r="E17" s="770"/>
      <c r="F17" s="770"/>
      <c r="G17" s="770"/>
      <c r="H17" s="770"/>
      <c r="I17" s="770"/>
    </row>
    <row r="18" spans="1:17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</row>
    <row r="19" spans="1:17">
      <c r="A19" s="764" t="s">
        <v>406</v>
      </c>
      <c r="B19" s="764"/>
      <c r="C19" s="764"/>
      <c r="D19" s="764"/>
      <c r="E19" s="764"/>
      <c r="F19" s="764"/>
      <c r="G19" s="764"/>
      <c r="H19" s="764"/>
      <c r="I19" s="764"/>
    </row>
    <row r="20" spans="1:17" ht="15.65" customHeight="1">
      <c r="A20" s="764" t="s">
        <v>224</v>
      </c>
      <c r="B20" s="764"/>
      <c r="C20" s="764"/>
      <c r="D20" s="764"/>
      <c r="E20" s="764"/>
      <c r="F20" s="764"/>
      <c r="G20" s="764"/>
      <c r="H20" s="764"/>
      <c r="I20" s="764"/>
    </row>
    <row r="21" spans="1:17" ht="17.5" customHeight="1">
      <c r="A21" s="764" t="s">
        <v>407</v>
      </c>
      <c r="B21" s="764"/>
      <c r="C21" s="764"/>
      <c r="D21" s="764"/>
      <c r="E21" s="758" t="s">
        <v>864</v>
      </c>
      <c r="F21" s="758"/>
      <c r="G21" s="758"/>
      <c r="H21" s="758"/>
      <c r="I21" s="758"/>
    </row>
    <row r="22" spans="1:17" ht="10.5" customHeight="1">
      <c r="A22" s="764"/>
      <c r="B22" s="764"/>
      <c r="C22" s="764"/>
      <c r="D22" s="764"/>
      <c r="E22" s="736" t="s">
        <v>408</v>
      </c>
      <c r="F22" s="736"/>
      <c r="G22" s="736"/>
      <c r="H22" s="736"/>
      <c r="I22" s="736"/>
      <c r="K22" s="56"/>
      <c r="L22" s="57"/>
      <c r="M22" s="57"/>
    </row>
    <row r="23" spans="1:17" ht="17.5" customHeight="1">
      <c r="A23" s="764" t="s">
        <v>413</v>
      </c>
      <c r="B23" s="764"/>
      <c r="C23" s="759" t="s">
        <v>249</v>
      </c>
      <c r="D23" s="759"/>
      <c r="E23" s="759"/>
      <c r="F23" s="759"/>
      <c r="G23" s="759"/>
      <c r="H23" s="759"/>
      <c r="I23" s="759"/>
    </row>
    <row r="24" spans="1:17" ht="17.25" customHeight="1">
      <c r="A24" s="113" t="s">
        <v>414</v>
      </c>
      <c r="B24" s="758" t="str">
        <f>CONCATENATE(E21," к эксплуатации допускаются")</f>
        <v>ОПН-П-10/12/10/500 УХЛ1 к эксплуатации допускаются</v>
      </c>
      <c r="C24" s="758"/>
      <c r="D24" s="758"/>
      <c r="E24" s="758"/>
      <c r="F24" s="758"/>
      <c r="G24" s="758"/>
      <c r="H24" s="758"/>
      <c r="I24" s="758"/>
    </row>
    <row r="25" spans="1:17" customFormat="1" ht="38.25" customHeight="1">
      <c r="A25" s="767" t="s">
        <v>714</v>
      </c>
      <c r="B25" s="767"/>
      <c r="C25" s="767"/>
      <c r="D25" s="767"/>
      <c r="E25" s="767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66" t="s">
        <v>715</v>
      </c>
      <c r="B27" s="767"/>
      <c r="C27" s="767"/>
      <c r="D27" s="767"/>
      <c r="E27" s="767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86" priority="3" operator="equal">
      <formula>0</formula>
    </cfRule>
  </conditionalFormatting>
  <conditionalFormatting sqref="O1:O6 O8:O9">
    <cfRule type="cellIs" dxfId="8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ПОДПИСИ!B6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ПОДПИСИ!C6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30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764" t="s">
        <v>843</v>
      </c>
      <c r="B25" s="764"/>
      <c r="C25" s="764"/>
      <c r="D25" s="764"/>
      <c r="E25" s="764"/>
      <c r="F25" s="764"/>
      <c r="G25" s="764"/>
      <c r="H25" s="764"/>
      <c r="I25" s="764"/>
      <c r="J25" s="764"/>
      <c r="K25" s="764"/>
      <c r="L25" s="764"/>
      <c r="M25" s="764"/>
      <c r="N25" s="764"/>
      <c r="O25" s="764"/>
      <c r="P25" s="764"/>
      <c r="Q25" s="764"/>
      <c r="R25" s="764"/>
      <c r="S25" s="764"/>
      <c r="T25" s="764"/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64"/>
      <c r="AI25" s="764"/>
      <c r="AJ25" s="764"/>
      <c r="AK25" s="764"/>
      <c r="AL25" s="764"/>
      <c r="AM25" s="764"/>
      <c r="AN25" s="764"/>
      <c r="AO25" s="764"/>
      <c r="AP25" s="764"/>
      <c r="AQ25" s="764"/>
      <c r="AR25" s="764"/>
      <c r="AS25" s="764"/>
      <c r="AT25" s="764"/>
      <c r="AU25" s="764"/>
      <c r="AV25" s="764"/>
      <c r="AW25" s="764"/>
      <c r="AX25" s="764"/>
      <c r="AY25" s="764"/>
      <c r="AZ25" s="764"/>
      <c r="BA25" s="764"/>
      <c r="BB25" s="764"/>
      <c r="BC25" s="764"/>
      <c r="BD25" s="764"/>
      <c r="BE25" s="764"/>
      <c r="BF25" s="764"/>
      <c r="BG25" s="764"/>
      <c r="BH25" s="764"/>
      <c r="BI25" s="764"/>
      <c r="BJ25" s="764"/>
      <c r="BK25" s="764"/>
      <c r="BL25" s="764"/>
      <c r="BM25" s="764"/>
      <c r="BN25" s="764"/>
      <c r="BO25" s="764"/>
      <c r="BP25" s="764"/>
      <c r="BQ25" s="764"/>
      <c r="BR25" s="764"/>
      <c r="BS25" s="764"/>
      <c r="BT25" s="764"/>
      <c r="BU25" s="764"/>
      <c r="BV25" s="764"/>
      <c r="BW25" s="764"/>
      <c r="BX25" s="764"/>
      <c r="BY25" s="764"/>
      <c r="BZ25" s="764"/>
      <c r="CA25" s="764"/>
      <c r="CB25" s="764"/>
      <c r="CC25" s="764"/>
      <c r="CD25" s="764"/>
      <c r="CE25" s="764"/>
      <c r="CF25" s="764"/>
      <c r="CG25" s="764"/>
      <c r="CH25" s="764"/>
      <c r="CI25" s="764"/>
      <c r="CJ25" s="764"/>
      <c r="CK25" s="764"/>
      <c r="CL25" s="764"/>
      <c r="CM25" s="764"/>
      <c r="CN25" s="764"/>
      <c r="CO25" s="764"/>
      <c r="CP25" s="764"/>
      <c r="CQ25" s="764"/>
      <c r="CR25" s="764"/>
      <c r="CS25" s="764"/>
      <c r="CT25" s="764"/>
      <c r="CU25" s="764"/>
      <c r="CV25" s="764"/>
      <c r="CW25" s="764"/>
      <c r="CX25" s="764"/>
      <c r="CY25" s="764"/>
      <c r="CZ25" s="764"/>
      <c r="DA25" s="764"/>
      <c r="DB25" s="764"/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ПОДПИСИ!E6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4" priority="3" operator="equal">
      <formula>0</formula>
    </cfRule>
  </conditionalFormatting>
  <conditionalFormatting sqref="BH10:DB10">
    <cfRule type="cellIs" dxfId="83" priority="2" operator="equal">
      <formula>0</formula>
    </cfRule>
  </conditionalFormatting>
  <conditionalFormatting sqref="DH2:DH6">
    <cfRule type="cellIs" dxfId="8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ПОДПИСИ!B6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ПОДПИСИ!C6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8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ПОДПИСИ!E6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1" priority="3" operator="equal">
      <formula>0</formula>
    </cfRule>
  </conditionalFormatting>
  <conditionalFormatting sqref="BH10:DB10">
    <cfRule type="cellIs" dxfId="80" priority="2" operator="equal">
      <formula>0</formula>
    </cfRule>
  </conditionalFormatting>
  <conditionalFormatting sqref="DH2:DH6">
    <cfRule type="cellIs" dxfId="7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78" priority="3" operator="equal">
      <formula>0</formula>
    </cfRule>
  </conditionalFormatting>
  <conditionalFormatting sqref="BH10:DB10">
    <cfRule type="cellIs" dxfId="77" priority="2" operator="equal">
      <formula>0</formula>
    </cfRule>
  </conditionalFormatting>
  <conditionalFormatting sqref="DH2:DH6">
    <cfRule type="cellIs" dxfId="7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C90-E65C-4562-98E9-4B2DBFB17EF1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34" priority="3" operator="equal">
      <formula>0</formula>
    </cfRule>
  </conditionalFormatting>
  <conditionalFormatting sqref="BH10:DB10">
    <cfRule type="cellIs" dxfId="33" priority="2" operator="equal">
      <formula>0</formula>
    </cfRule>
  </conditionalFormatting>
  <conditionalFormatting sqref="DH2:DH6">
    <cfRule type="cellIs" dxfId="3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0008-BFCD-4C20-AE2D-E65913CD83A6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31" priority="3" operator="equal">
      <formula>0</formula>
    </cfRule>
  </conditionalFormatting>
  <conditionalFormatting sqref="BH10:DB10">
    <cfRule type="cellIs" dxfId="30" priority="2" operator="equal">
      <formula>0</formula>
    </cfRule>
  </conditionalFormatting>
  <conditionalFormatting sqref="DH2:DH6">
    <cfRule type="cellIs" dxfId="2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0CC6-971E-4CF5-8250-821E9EFAC983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28" priority="3" operator="equal">
      <formula>0</formula>
    </cfRule>
  </conditionalFormatting>
  <conditionalFormatting sqref="BH10:DB10">
    <cfRule type="cellIs" dxfId="27" priority="2" operator="equal">
      <formula>0</formula>
    </cfRule>
  </conditionalFormatting>
  <conditionalFormatting sqref="DH2:DH6">
    <cfRule type="cellIs" dxfId="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CACF-65A1-4F8E-B750-A8B13C88E1A2}">
  <sheetPr>
    <tabColor rgb="FF92D050"/>
  </sheetPr>
  <dimension ref="A1:DH68"/>
  <sheetViews>
    <sheetView view="pageBreakPreview" topLeftCell="A17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25" priority="3" operator="equal">
      <formula>0</formula>
    </cfRule>
  </conditionalFormatting>
  <conditionalFormatting sqref="BH10:DB10">
    <cfRule type="cellIs" dxfId="24" priority="2" operator="equal">
      <formula>0</formula>
    </cfRule>
  </conditionalFormatting>
  <conditionalFormatting sqref="DH2:DH6">
    <cfRule type="cellIs" dxfId="2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E3DA-0BC2-454E-94DA-72E6351C4E4B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22" priority="3" operator="equal">
      <formula>0</formula>
    </cfRule>
  </conditionalFormatting>
  <conditionalFormatting sqref="BH10:DB10">
    <cfRule type="cellIs" dxfId="21" priority="2" operator="equal">
      <formula>0</formula>
    </cfRule>
  </conditionalFormatting>
  <conditionalFormatting sqref="DH2:DH6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7996-5CE2-48A1-976E-3BD33A8FBE1C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8760-476F-4A86-A9CB-FC3398AB67A9}">
  <sheetPr>
    <tabColor rgb="FF92D050"/>
  </sheetPr>
  <dimension ref="A1:DH68"/>
  <sheetViews>
    <sheetView view="pageBreakPreview" topLeftCell="A6" zoomScale="60" zoomScaleNormal="100" workbookViewId="0">
      <selection activeCell="A23" sqref="A23:DB23"/>
    </sheetView>
  </sheetViews>
  <sheetFormatPr defaultColWidth="9.1796875" defaultRowHeight="14.5"/>
  <cols>
    <col min="1" max="105" width="0.81640625" style="19" customWidth="1"/>
    <col min="106" max="106" width="1.7265625" style="19" customWidth="1"/>
    <col min="107" max="107" width="9.1796875" style="19"/>
    <col min="108" max="110" width="15.7265625" style="19" customWidth="1"/>
    <col min="111" max="111" width="9.1796875" style="19"/>
    <col min="112" max="112" width="44.453125" style="147" customWidth="1"/>
    <col min="113" max="16384" width="9.1796875" style="19"/>
  </cols>
  <sheetData>
    <row r="1" spans="1:112" ht="14.5" customHeight="1">
      <c r="A1" s="907" t="s">
        <v>547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7"/>
      <c r="AM1" s="907"/>
      <c r="AN1" s="907"/>
      <c r="AO1" s="907"/>
      <c r="AP1" s="907"/>
      <c r="AQ1" s="907"/>
      <c r="AR1" s="907"/>
      <c r="AS1" s="907"/>
      <c r="AT1" s="907"/>
      <c r="AU1" s="907"/>
      <c r="AV1" s="907"/>
      <c r="AW1" s="907"/>
      <c r="AX1" s="907"/>
      <c r="AY1" s="907"/>
      <c r="AZ1" s="907"/>
      <c r="BA1" s="907"/>
      <c r="BB1" s="907"/>
      <c r="BC1" s="907"/>
      <c r="BD1" s="907"/>
      <c r="BE1" s="907"/>
      <c r="BF1" s="907"/>
      <c r="BG1" s="907"/>
      <c r="BH1" s="907"/>
      <c r="BI1" s="907"/>
      <c r="BJ1" s="907"/>
      <c r="BK1" s="907"/>
      <c r="BL1" s="907"/>
      <c r="BM1" s="907"/>
      <c r="BN1" s="907"/>
      <c r="BO1" s="907"/>
      <c r="BP1" s="907"/>
      <c r="BQ1" s="907"/>
      <c r="BR1" s="907"/>
      <c r="BS1" s="907"/>
      <c r="BT1" s="907"/>
      <c r="BU1" s="907"/>
      <c r="BV1" s="907"/>
      <c r="BW1" s="907"/>
      <c r="BX1" s="907"/>
      <c r="BY1" s="907"/>
      <c r="BZ1" s="907"/>
      <c r="CA1" s="907"/>
      <c r="CB1" s="907"/>
      <c r="CC1" s="907"/>
      <c r="CD1" s="907"/>
      <c r="CE1" s="907"/>
      <c r="CF1" s="907"/>
      <c r="CG1" s="907"/>
      <c r="CH1" s="907"/>
      <c r="CI1" s="907"/>
      <c r="CJ1" s="907"/>
      <c r="CK1" s="907"/>
      <c r="CL1" s="907"/>
      <c r="CM1" s="907"/>
      <c r="CN1" s="907"/>
      <c r="CO1" s="907"/>
      <c r="CP1" s="907"/>
      <c r="CQ1" s="907"/>
      <c r="CR1" s="907"/>
      <c r="CS1" s="907"/>
      <c r="CT1" s="907"/>
      <c r="CU1" s="907"/>
      <c r="CV1" s="907"/>
      <c r="CW1" s="907"/>
      <c r="CX1" s="907"/>
      <c r="CY1" s="907"/>
      <c r="CZ1" s="907"/>
      <c r="DA1" s="907"/>
      <c r="DB1" s="907"/>
      <c r="DH1" s="141"/>
    </row>
    <row r="2" spans="1:112" ht="15" customHeight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BH2" s="758" t="str">
        <f>ФОРМА!G2</f>
        <v>Санкт-Петербург</v>
      </c>
      <c r="BI2" s="758"/>
      <c r="BJ2" s="758"/>
      <c r="BK2" s="758"/>
      <c r="BL2" s="758"/>
      <c r="BM2" s="758"/>
      <c r="BN2" s="758"/>
      <c r="BO2" s="758"/>
      <c r="BP2" s="758"/>
      <c r="BQ2" s="758"/>
      <c r="BR2" s="758"/>
      <c r="BS2" s="758"/>
      <c r="BT2" s="758"/>
      <c r="BU2" s="758"/>
      <c r="BV2" s="758"/>
      <c r="BW2" s="758"/>
      <c r="BX2" s="758"/>
      <c r="BY2" s="758"/>
      <c r="BZ2" s="758"/>
      <c r="CA2" s="758"/>
      <c r="CB2" s="758"/>
      <c r="CC2" s="758"/>
      <c r="CD2" s="758"/>
      <c r="CE2" s="758"/>
      <c r="CF2" s="758"/>
      <c r="CG2" s="758"/>
      <c r="CH2" s="758"/>
      <c r="CI2" s="758"/>
      <c r="CJ2" s="758"/>
      <c r="CK2" s="758"/>
      <c r="CL2" s="758"/>
      <c r="CM2" s="758"/>
      <c r="CN2" s="758"/>
      <c r="CO2" s="758"/>
      <c r="CP2" s="758"/>
      <c r="CQ2" s="758"/>
      <c r="CR2" s="758"/>
      <c r="CS2" s="758"/>
      <c r="CT2" s="758"/>
      <c r="CU2" s="758"/>
      <c r="CV2" s="758"/>
      <c r="CW2" s="758"/>
      <c r="CX2" s="758"/>
      <c r="CY2" s="758"/>
      <c r="CZ2" s="758"/>
      <c r="DA2" s="758"/>
      <c r="DB2" s="758"/>
      <c r="DC2"/>
      <c r="DD2"/>
      <c r="DE2"/>
      <c r="DF2"/>
      <c r="DG2"/>
      <c r="DH2" s="142"/>
    </row>
    <row r="3" spans="1:112" s="21" customFormat="1" ht="10.5">
      <c r="A3" s="770"/>
      <c r="B3" s="770"/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BH3" s="770" t="s">
        <v>0</v>
      </c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C3" s="1"/>
      <c r="DD3" s="1"/>
      <c r="DE3" s="1"/>
      <c r="DF3" s="1"/>
      <c r="DG3" s="1"/>
      <c r="DH3" s="143"/>
    </row>
    <row r="4" spans="1:112" ht="15" customHeight="1">
      <c r="A4" s="758" t="str">
        <f>ФОРМА!B4</f>
        <v>ООО «БЭСК»</v>
      </c>
      <c r="B4" s="758"/>
      <c r="C4" s="758"/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BH4" s="758" t="str">
        <f>ФОРМА!B2</f>
        <v>ПАО "Россети Ленэнерго"</v>
      </c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  <c r="BT4" s="758"/>
      <c r="BU4" s="758"/>
      <c r="BV4" s="758"/>
      <c r="BW4" s="758"/>
      <c r="BX4" s="758"/>
      <c r="BY4" s="758"/>
      <c r="BZ4" s="758"/>
      <c r="CA4" s="758"/>
      <c r="CB4" s="758"/>
      <c r="CC4" s="758"/>
      <c r="CD4" s="758"/>
      <c r="CE4" s="758"/>
      <c r="CF4" s="758"/>
      <c r="CG4" s="758"/>
      <c r="CH4" s="758"/>
      <c r="CI4" s="758"/>
      <c r="CJ4" s="758"/>
      <c r="CK4" s="758"/>
      <c r="CL4" s="758"/>
      <c r="CM4" s="758"/>
      <c r="CN4" s="758"/>
      <c r="CO4" s="758"/>
      <c r="CP4" s="758"/>
      <c r="CQ4" s="758"/>
      <c r="CR4" s="758"/>
      <c r="CS4" s="758"/>
      <c r="CT4" s="758"/>
      <c r="CU4" s="758"/>
      <c r="CV4" s="758"/>
      <c r="CW4" s="758"/>
      <c r="CX4" s="758"/>
      <c r="CY4" s="758"/>
      <c r="CZ4" s="758"/>
      <c r="DA4" s="758"/>
      <c r="DB4" s="758"/>
      <c r="DH4" s="144" t="str">
        <f>BH4</f>
        <v>ПАО "Россети Ленэнерго"</v>
      </c>
    </row>
    <row r="5" spans="1:112" s="24" customFormat="1" ht="10.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0" t="s">
        <v>2</v>
      </c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43"/>
    </row>
    <row r="6" spans="1:112" ht="126">
      <c r="A6" s="758"/>
      <c r="B6" s="758"/>
      <c r="C6" s="758"/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  <c r="X6" s="758"/>
      <c r="Y6" s="758"/>
      <c r="Z6" s="758"/>
      <c r="AA6" s="758"/>
      <c r="AB6" s="758"/>
      <c r="AC6" s="758"/>
      <c r="AD6" s="758"/>
      <c r="AE6" s="758"/>
      <c r="AF6" s="758"/>
      <c r="AG6" s="758"/>
      <c r="AH6" s="758"/>
      <c r="AI6" s="758"/>
      <c r="AJ6" s="758"/>
      <c r="AK6" s="758"/>
      <c r="AL6" s="758"/>
      <c r="AM6" s="758"/>
      <c r="AN6" s="7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5">
      <c r="A7" s="770" t="s">
        <v>45</v>
      </c>
      <c r="B7" s="770"/>
      <c r="C7" s="770"/>
      <c r="D7" s="770"/>
      <c r="E7" s="770"/>
      <c r="F7" s="770"/>
      <c r="G7" s="770"/>
      <c r="H7" s="770"/>
      <c r="I7" s="770"/>
      <c r="J7" s="770"/>
      <c r="K7" s="770"/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0" t="s">
        <v>38</v>
      </c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235"/>
    </row>
    <row r="8" spans="1:112">
      <c r="A8" s="758"/>
      <c r="B8" s="758"/>
      <c r="C8" s="758"/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BH8" s="735">
        <f>ФОРМА!B13</f>
        <v>45625</v>
      </c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</row>
    <row r="9" spans="1:112" s="24" customFormat="1" ht="10.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4">
      <c r="A11" s="738" t="s">
        <v>67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839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67" t="s">
        <v>4</v>
      </c>
      <c r="B14" s="767"/>
      <c r="C14" s="767"/>
      <c r="D14" s="767"/>
      <c r="E14" s="767"/>
      <c r="F14" s="767"/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DH14" s="229"/>
    </row>
    <row r="15" spans="1:112" ht="30" customHeight="1">
      <c r="A15" s="766" t="s">
        <v>115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2" t="str">
        <f>ПОДПИСИ!B5</f>
        <v>Начальник мастерского участка №1 Курортного РЭС ПАО «Россети Ленэнерго» «СЭС»</v>
      </c>
      <c r="AG15" s="762"/>
      <c r="AH15" s="762"/>
      <c r="AI15" s="762"/>
      <c r="AJ15" s="762"/>
      <c r="AK15" s="762"/>
      <c r="AL15" s="762"/>
      <c r="AM15" s="762"/>
      <c r="AN15" s="762"/>
      <c r="AO15" s="762"/>
      <c r="AP15" s="762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62"/>
      <c r="BV15" s="762"/>
      <c r="BW15" s="762"/>
      <c r="BX15" s="762"/>
      <c r="BY15" s="762"/>
      <c r="BZ15" s="762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0" t="s">
        <v>5</v>
      </c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12" ht="15" customHeight="1">
      <c r="A17" s="1080" t="str">
        <f>ПОДПИСИ!C5</f>
        <v>Чечин Д.М.</v>
      </c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80"/>
      <c r="M17" s="1080"/>
      <c r="N17" s="1080"/>
      <c r="O17" s="1080"/>
      <c r="P17" s="1080"/>
      <c r="Q17" s="1080"/>
      <c r="R17" s="1080"/>
      <c r="S17" s="1080"/>
      <c r="T17" s="1080"/>
      <c r="U17" s="1080"/>
      <c r="V17" s="1080"/>
      <c r="W17" s="1080"/>
      <c r="X17" s="1080"/>
      <c r="Y17" s="1080"/>
      <c r="Z17" s="1080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  <c r="BX17" s="1080"/>
      <c r="BY17" s="1080"/>
      <c r="BZ17" s="1080"/>
      <c r="CA17" s="1080"/>
      <c r="CB17" s="1080"/>
      <c r="CC17" s="1080"/>
      <c r="CD17" s="1080"/>
      <c r="CE17" s="1080"/>
      <c r="CF17" s="1080"/>
      <c r="CG17" s="1080"/>
      <c r="CH17" s="1080"/>
      <c r="CI17" s="1080"/>
      <c r="CJ17" s="1080"/>
      <c r="CK17" s="1080"/>
      <c r="CL17" s="1080"/>
      <c r="CM17" s="1080"/>
      <c r="CN17" s="1080"/>
      <c r="CO17" s="1080"/>
      <c r="CP17" s="1080"/>
      <c r="CQ17" s="1080"/>
      <c r="CR17" s="1080"/>
      <c r="CS17" s="1080"/>
      <c r="CT17" s="1080"/>
      <c r="CU17" s="1080"/>
      <c r="CV17" s="1080"/>
      <c r="CW17" s="1080"/>
      <c r="CX17" s="1080"/>
      <c r="CY17" s="1080"/>
      <c r="CZ17" s="1080"/>
      <c r="DA17" s="1080"/>
      <c r="DB17" s="1080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66" t="s">
        <v>716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2" t="str">
        <f>ПОДПИСИ!B12</f>
        <v xml:space="preserve">Производитель работ ООО«БЭСК» </v>
      </c>
      <c r="AP19" s="762"/>
      <c r="AQ19" s="762"/>
      <c r="AR19" s="762"/>
      <c r="AS19" s="762"/>
      <c r="AT19" s="762"/>
      <c r="AU19" s="762"/>
      <c r="AV19" s="762"/>
      <c r="AW19" s="762"/>
      <c r="AX19" s="762"/>
      <c r="AY19" s="762"/>
      <c r="AZ19" s="762"/>
      <c r="BA19" s="762"/>
      <c r="BB19" s="762"/>
      <c r="BC19" s="762"/>
      <c r="BD19" s="762"/>
      <c r="BE19" s="762"/>
      <c r="BF19" s="762"/>
      <c r="BG19" s="762"/>
      <c r="BH19" s="762"/>
      <c r="BI19" s="762"/>
      <c r="BJ19" s="762"/>
      <c r="BK19" s="762"/>
      <c r="BL19" s="762"/>
      <c r="BM19" s="762"/>
      <c r="BN19" s="762"/>
      <c r="BO19" s="762"/>
      <c r="BP19" s="762"/>
      <c r="BQ19" s="762"/>
      <c r="BR19" s="762"/>
      <c r="BS19" s="762"/>
      <c r="BT19" s="762"/>
      <c r="BU19" s="762"/>
      <c r="BV19" s="762"/>
      <c r="BW19" s="762"/>
      <c r="BX19" s="762"/>
      <c r="BY19" s="762"/>
      <c r="BZ19" s="762"/>
      <c r="CA19" s="762"/>
      <c r="CB19" s="762"/>
      <c r="CC19" s="762"/>
      <c r="CD19" s="762"/>
      <c r="CE19" s="762"/>
      <c r="CF19" s="762"/>
      <c r="CG19" s="762"/>
      <c r="CH19" s="762"/>
      <c r="CI19" s="762"/>
      <c r="CJ19" s="762"/>
      <c r="CK19" s="762"/>
      <c r="CL19" s="762"/>
      <c r="CM19" s="762"/>
      <c r="CN19" s="762"/>
      <c r="CO19" s="762"/>
      <c r="CP19" s="762"/>
      <c r="CQ19" s="762"/>
      <c r="CR19" s="762"/>
      <c r="CS19" s="762"/>
      <c r="CT19" s="762"/>
      <c r="CU19" s="762"/>
      <c r="CV19" s="762"/>
      <c r="CW19" s="762"/>
      <c r="CX19" s="762"/>
      <c r="CY19" s="762"/>
      <c r="CZ19" s="762"/>
      <c r="DA19" s="762"/>
      <c r="DB19" s="762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0" t="s">
        <v>5</v>
      </c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5" customHeight="1">
      <c r="A21" s="759" t="str">
        <f>ПОДПИСИ!C12</f>
        <v>Махмадов А.Р.</v>
      </c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84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  <c r="R23" s="1084"/>
      <c r="S23" s="1084"/>
      <c r="T23" s="1084"/>
      <c r="U23" s="1084"/>
      <c r="V23" s="1084"/>
      <c r="W23" s="1084"/>
      <c r="X23" s="1084"/>
      <c r="Y23" s="1084"/>
      <c r="Z23" s="1084"/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  <c r="BX23" s="1084"/>
      <c r="BY23" s="1084"/>
      <c r="BZ23" s="1084"/>
      <c r="CA23" s="1084"/>
      <c r="CB23" s="1084"/>
      <c r="CC23" s="1084"/>
      <c r="CD23" s="1084"/>
      <c r="CE23" s="1084"/>
      <c r="CF23" s="1084"/>
      <c r="CG23" s="1084"/>
      <c r="CH23" s="1084"/>
      <c r="CI23" s="1084"/>
      <c r="CJ23" s="1084"/>
      <c r="CK23" s="1084"/>
      <c r="CL23" s="1084"/>
      <c r="CM23" s="1084"/>
      <c r="CN23" s="1084"/>
      <c r="CO23" s="1084"/>
      <c r="CP23" s="1084"/>
      <c r="CQ23" s="1084"/>
      <c r="CR23" s="1084"/>
      <c r="CS23" s="1084"/>
      <c r="CT23" s="1084"/>
      <c r="CU23" s="1084"/>
      <c r="CV23" s="1084"/>
      <c r="CW23" s="1084"/>
      <c r="CX23" s="1084"/>
      <c r="CY23" s="1084"/>
      <c r="CZ23" s="1084"/>
      <c r="DA23" s="1084"/>
      <c r="DB23" s="1084"/>
      <c r="DD23" s="369">
        <v>4</v>
      </c>
    </row>
    <row r="24" spans="1:112" ht="13.5" customHeight="1">
      <c r="A24" s="776" t="s">
        <v>842</v>
      </c>
      <c r="B24" s="776"/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776"/>
      <c r="BY24" s="776"/>
      <c r="BZ24" s="776"/>
      <c r="CA24" s="776"/>
      <c r="CB24" s="776"/>
      <c r="CC24" s="776"/>
      <c r="CD24" s="776"/>
      <c r="CE24" s="776"/>
      <c r="CF24" s="776"/>
      <c r="CG24" s="776"/>
      <c r="CH24" s="776"/>
      <c r="CI24" s="776"/>
      <c r="CJ24" s="776"/>
      <c r="CK24" s="776"/>
      <c r="CL24" s="776"/>
      <c r="CM24" s="776"/>
      <c r="CN24" s="776"/>
      <c r="CO24" s="776"/>
      <c r="CP24" s="776"/>
      <c r="CQ24" s="776"/>
      <c r="CR24" s="776"/>
      <c r="CS24" s="776"/>
      <c r="CT24" s="776"/>
      <c r="CU24" s="776"/>
      <c r="CV24" s="776"/>
      <c r="CW24" s="776"/>
      <c r="CX24" s="776"/>
      <c r="CY24" s="776"/>
      <c r="CZ24" s="776"/>
      <c r="DA24" s="776"/>
      <c r="DB24" s="776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18" t="s">
        <v>849</v>
      </c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818"/>
      <c r="N30" s="818"/>
      <c r="O30" s="818"/>
      <c r="P30" s="818"/>
      <c r="Q30" s="818"/>
      <c r="R30" s="818"/>
      <c r="S30" s="818"/>
      <c r="T30" s="818"/>
      <c r="U30" s="818"/>
      <c r="V30" s="818"/>
      <c r="W30" s="818"/>
      <c r="X30" s="818"/>
      <c r="Y30" s="818"/>
      <c r="Z30" s="818"/>
      <c r="AA30" s="818"/>
      <c r="AB30" s="818"/>
      <c r="AC30" s="818"/>
      <c r="AD30" s="818"/>
      <c r="AE30" s="818"/>
      <c r="AF30" s="818"/>
      <c r="AG30" s="818"/>
      <c r="AH30" s="818"/>
      <c r="AI30" s="818"/>
      <c r="AJ30" s="818"/>
      <c r="AK30" s="818"/>
      <c r="AL30" s="818"/>
      <c r="AM30" s="818"/>
      <c r="AN30" s="818"/>
      <c r="AO30" s="818"/>
      <c r="AP30" s="818"/>
      <c r="AQ30" s="818"/>
      <c r="AR30" s="818"/>
      <c r="AS30" s="818"/>
      <c r="AT30" s="818"/>
      <c r="AU30" s="818"/>
      <c r="AV30" s="818"/>
      <c r="AW30" s="818"/>
      <c r="AX30" s="818"/>
      <c r="AY30" s="818"/>
      <c r="AZ30" s="818"/>
      <c r="BA30" s="818"/>
      <c r="BB30" s="818"/>
      <c r="BC30" s="818"/>
      <c r="BD30" s="818"/>
      <c r="BE30" s="818"/>
      <c r="BF30" s="818"/>
      <c r="BG30" s="818"/>
      <c r="BH30" s="818"/>
      <c r="BI30" s="818"/>
      <c r="BJ30" s="818"/>
      <c r="BK30" s="818"/>
      <c r="BL30" s="818"/>
      <c r="BM30" s="818"/>
      <c r="BN30" s="818"/>
      <c r="BO30" s="818"/>
      <c r="BP30" s="818"/>
      <c r="BQ30" s="818"/>
      <c r="BR30" s="818"/>
      <c r="BS30" s="818"/>
      <c r="BT30" s="818"/>
      <c r="BU30" s="818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66" t="s">
        <v>721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0"/>
      <c r="BJ33" s="760"/>
      <c r="BK33" s="760"/>
      <c r="BL33" s="760"/>
      <c r="BM33" s="760"/>
      <c r="BN33" s="760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760"/>
      <c r="CF33" s="760"/>
      <c r="CG33" s="23"/>
      <c r="CH33" s="23"/>
      <c r="CI33" s="23"/>
      <c r="CJ33" s="758" t="str">
        <f>ПОДПИСИ!E5</f>
        <v>Д.М. Чечин</v>
      </c>
      <c r="CK33" s="758"/>
      <c r="CL33" s="758"/>
      <c r="CM33" s="758"/>
      <c r="CN33" s="758"/>
      <c r="CO33" s="758"/>
      <c r="CP33" s="758"/>
      <c r="CQ33" s="758"/>
      <c r="CR33" s="758"/>
      <c r="CS33" s="758"/>
      <c r="CT33" s="758"/>
      <c r="CU33" s="758"/>
      <c r="CV33" s="758"/>
      <c r="CW33" s="758"/>
      <c r="CX33" s="758"/>
      <c r="CY33" s="758"/>
      <c r="CZ33" s="758"/>
      <c r="DA33" s="758"/>
      <c r="DB33" s="758"/>
      <c r="DH33" s="141"/>
    </row>
    <row r="34" spans="1:112" s="1" customFormat="1" ht="10.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766" t="s">
        <v>715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0"/>
      <c r="BJ35" s="760"/>
      <c r="BK35" s="760"/>
      <c r="BL35" s="760"/>
      <c r="BM35" s="760"/>
      <c r="BN35" s="760"/>
      <c r="BO35" s="760"/>
      <c r="BP35" s="760"/>
      <c r="BQ35" s="760"/>
      <c r="BR35" s="760"/>
      <c r="BS35" s="760"/>
      <c r="BT35" s="760"/>
      <c r="BU35" s="760"/>
      <c r="BV35" s="760"/>
      <c r="BW35" s="760"/>
      <c r="BX35" s="760"/>
      <c r="BY35" s="760"/>
      <c r="BZ35" s="760"/>
      <c r="CA35" s="760"/>
      <c r="CB35" s="760"/>
      <c r="CC35" s="760"/>
      <c r="CD35" s="760"/>
      <c r="CE35" s="760"/>
      <c r="CF35" s="760"/>
      <c r="CG35" s="19"/>
      <c r="CH35" s="19"/>
      <c r="CI35" s="19"/>
      <c r="CJ35" s="758" t="str">
        <f>ПОДПИСИ!E12</f>
        <v>А.Р. Махмадов</v>
      </c>
      <c r="CK35" s="758"/>
      <c r="CL35" s="758"/>
      <c r="CM35" s="758"/>
      <c r="CN35" s="758"/>
      <c r="CO35" s="758"/>
      <c r="CP35" s="758"/>
      <c r="CQ35" s="758"/>
      <c r="CR35" s="758"/>
      <c r="CS35" s="758"/>
      <c r="CT35" s="758"/>
      <c r="CU35" s="758"/>
      <c r="CV35" s="758"/>
      <c r="CW35" s="758"/>
      <c r="CX35" s="758"/>
      <c r="CY35" s="758"/>
      <c r="CZ35" s="758"/>
      <c r="DA35" s="758"/>
      <c r="DB35" s="758"/>
      <c r="DH35" s="228"/>
    </row>
    <row r="36" spans="1:112" s="1" customFormat="1" ht="10.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 ht="14">
      <c r="DH37" s="231"/>
    </row>
    <row r="38" spans="1:112" ht="14">
      <c r="DH38" s="141"/>
    </row>
    <row r="39" spans="1:112" ht="14">
      <c r="DH39" s="151"/>
    </row>
    <row r="40" spans="1:112" ht="14">
      <c r="DH40" s="141"/>
    </row>
    <row r="41" spans="1:112" ht="14">
      <c r="DH41" s="152"/>
    </row>
    <row r="42" spans="1:112" ht="14">
      <c r="DH42" s="141"/>
    </row>
    <row r="43" spans="1:112" ht="14">
      <c r="DH43" s="153"/>
    </row>
    <row r="44" spans="1:112" ht="14">
      <c r="DH44" s="141"/>
    </row>
    <row r="45" spans="1:112" ht="14">
      <c r="DH45" s="152"/>
    </row>
    <row r="46" spans="1:112" ht="14">
      <c r="DH46" s="141"/>
    </row>
    <row r="47" spans="1:112" ht="14">
      <c r="DH47" s="151"/>
    </row>
    <row r="48" spans="1:112" ht="14">
      <c r="DH48" s="141"/>
    </row>
    <row r="49" spans="112:112" ht="14">
      <c r="DH49" s="151"/>
    </row>
    <row r="50" spans="112:112" ht="14">
      <c r="DH50" s="141"/>
    </row>
    <row r="52" spans="112:112" ht="14">
      <c r="DH52" s="141"/>
    </row>
    <row r="54" spans="112:112" ht="14">
      <c r="DH54" s="141"/>
    </row>
    <row r="55" spans="112:112" ht="14">
      <c r="DH55" s="141"/>
    </row>
    <row r="57" spans="112:112" ht="14">
      <c r="DH57" s="141"/>
    </row>
    <row r="58" spans="112:112" ht="14">
      <c r="DH58" s="141"/>
    </row>
    <row r="59" spans="112:112" ht="14">
      <c r="DH59" s="141"/>
    </row>
    <row r="60" spans="112:112" ht="14">
      <c r="DH60" s="141"/>
    </row>
    <row r="61" spans="112:112" ht="14">
      <c r="DH61" s="141"/>
    </row>
    <row r="62" spans="112:112" ht="14">
      <c r="DH62" s="141"/>
    </row>
    <row r="63" spans="112:112" ht="14">
      <c r="DH63" s="141"/>
    </row>
    <row r="64" spans="112:112" ht="14">
      <c r="DH64" s="141"/>
    </row>
    <row r="65" spans="112:112" ht="14">
      <c r="DH65" s="141"/>
    </row>
    <row r="66" spans="112:112" ht="14">
      <c r="DH66" s="141"/>
    </row>
    <row r="67" spans="112:112" ht="14">
      <c r="DH67" s="141"/>
    </row>
    <row r="68" spans="112:112" ht="14">
      <c r="DH68" s="141"/>
    </row>
  </sheetData>
  <mergeCells count="41">
    <mergeCell ref="BI34:CF34"/>
    <mergeCell ref="CJ34:DB34"/>
    <mergeCell ref="A35:AM35"/>
    <mergeCell ref="BI35:CF35"/>
    <mergeCell ref="CJ35:DB35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A14:Y14"/>
    <mergeCell ref="A15:AE15"/>
    <mergeCell ref="AF15:DB15"/>
    <mergeCell ref="AG16:DB16"/>
    <mergeCell ref="A17:DB17"/>
    <mergeCell ref="A19:AN19"/>
    <mergeCell ref="AO19:DB19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45312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26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852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ПОДПИСИ!B6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ПОДПИСИ!C6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">
        <v>854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893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 t="s">
        <v>856</v>
      </c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0,5м2</v>
      </c>
      <c r="B25" s="764"/>
      <c r="C25" s="764"/>
      <c r="D25" s="764"/>
      <c r="E25" s="764"/>
      <c r="F25" s="764"/>
      <c r="G25" s="764"/>
      <c r="H25" s="764"/>
      <c r="I25" s="764"/>
      <c r="K25" s="369">
        <v>0.5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5" priority="2" operator="equal">
      <formula>0</formula>
    </cfRule>
  </conditionalFormatting>
  <conditionalFormatting sqref="O1:O6 O8:O9">
    <cfRule type="cellIs" dxfId="7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4.726562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26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906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ПОДПИСИ!B6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ПОДПИСИ!C6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">
        <v>1055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893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 t="s">
        <v>856</v>
      </c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0,03м2</v>
      </c>
      <c r="B25" s="764"/>
      <c r="C25" s="764"/>
      <c r="D25" s="764"/>
      <c r="E25" s="764"/>
      <c r="F25" s="764"/>
      <c r="G25" s="764"/>
      <c r="H25" s="764"/>
      <c r="I25" s="764"/>
      <c r="K25" s="369">
        <v>0.03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73" priority="2" operator="equal">
      <formula>0</formula>
    </cfRule>
  </conditionalFormatting>
  <conditionalFormatting sqref="O1:O6 O8:O9">
    <cfRule type="cellIs" dxfId="7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topLeftCell="A13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1730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№1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71" priority="2" operator="equal">
      <formula>0</formula>
    </cfRule>
  </conditionalFormatting>
  <conditionalFormatting sqref="O1:O6 O8:O9">
    <cfRule type="cellIs" dxfId="7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573-1C26-470B-80F1-553CA1E595F6}">
  <sheetPr>
    <tabColor rgb="FF92D050"/>
    <pageSetUpPr fitToPage="1"/>
  </sheetPr>
  <dimension ref="A1:Q34"/>
  <sheetViews>
    <sheetView view="pageBreakPreview" topLeftCell="A4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1731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№2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1BB-8F6C-41CE-8CE7-4F39D1BF7C09}">
  <sheetPr>
    <tabColor rgb="FF92D050"/>
    <pageSetUpPr fitToPage="1"/>
  </sheetPr>
  <dimension ref="A1:Q34"/>
  <sheetViews>
    <sheetView view="pageBreakPreview" topLeftCell="A4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1732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№3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2B0D-FC93-4FB7-A1F5-06791929C645}">
  <sheetPr>
    <tabColor rgb="FF92D050"/>
    <pageSetUpPr fitToPage="1"/>
  </sheetPr>
  <dimension ref="A1:Q34"/>
  <sheetViews>
    <sheetView view="pageBreakPreview" topLeftCell="A5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1733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№4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7C2B-C29F-49E1-BDD7-2D42D03EF528}">
  <sheetPr>
    <tabColor rgb="FF92D050"/>
    <pageSetUpPr fitToPage="1"/>
  </sheetPr>
  <dimension ref="A1:Q34"/>
  <sheetViews>
    <sheetView view="pageBreakPreview" topLeftCell="A5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1734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№5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B857-E6EA-4EF4-817C-F6C6059C4695}">
  <sheetPr>
    <tabColor rgb="FF92D050"/>
    <pageSetUpPr fitToPage="1"/>
  </sheetPr>
  <dimension ref="A1:Q34"/>
  <sheetViews>
    <sheetView view="pageBreakPreview" topLeftCell="A5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1735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№6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" priority="2" operator="equal">
      <formula>0</formula>
    </cfRule>
  </conditionalFormatting>
  <conditionalFormatting sqref="O1:O6 O8:O9">
    <cfRule type="cellIs" dxfId="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0FDD-3C85-4F7A-B8A0-2B606D30E99D}">
  <sheetPr>
    <tabColor rgb="FF92D050"/>
    <pageSetUpPr fitToPage="1"/>
  </sheetPr>
  <dimension ref="A1:Q34"/>
  <sheetViews>
    <sheetView view="pageBreakPreview" topLeftCell="A5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1736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№7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3" priority="2" operator="equal">
      <formula>0</formula>
    </cfRule>
  </conditionalFormatting>
  <conditionalFormatting sqref="O1:O6 O8:O9">
    <cfRule type="cellIs" dxfId="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38E8-BBF2-43FD-8887-465AD63A3A1C}">
  <sheetPr>
    <tabColor rgb="FF92D050"/>
    <pageSetUpPr fitToPage="1"/>
  </sheetPr>
  <dimension ref="A1:Q34"/>
  <sheetViews>
    <sheetView view="pageBreakPreview" topLeftCell="A8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5.5429687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38.5" customHeight="1" outlineLevel="1">
      <c r="A5" s="773"/>
      <c r="B5" s="773"/>
      <c r="C5" s="773"/>
      <c r="D5" s="773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851</v>
      </c>
      <c r="B10" s="822"/>
      <c r="C10" s="822"/>
      <c r="D10" s="822"/>
      <c r="E10" s="822"/>
      <c r="F10" s="822"/>
      <c r="G10" s="822"/>
      <c r="H10" s="822"/>
      <c r="I10" s="822"/>
    </row>
    <row r="11" spans="1:17">
      <c r="A11" s="821" t="s">
        <v>1737</v>
      </c>
      <c r="B11" s="821"/>
      <c r="C11" s="821"/>
      <c r="D11" s="821"/>
      <c r="E11" s="821"/>
      <c r="F11" s="821"/>
      <c r="G11" s="821"/>
      <c r="H11" s="821"/>
      <c r="I11" s="821"/>
    </row>
    <row r="12" spans="1:17" ht="15" customHeight="1">
      <c r="A12" s="767" t="s">
        <v>4</v>
      </c>
      <c r="B12" s="767"/>
      <c r="C12" s="767"/>
      <c r="D12" s="767"/>
      <c r="E12" s="767"/>
      <c r="F12" s="767"/>
      <c r="G12" s="767"/>
      <c r="H12" s="767"/>
      <c r="I12" s="767"/>
    </row>
    <row r="13" spans="1:17" ht="30" customHeight="1">
      <c r="A13" s="30" t="s">
        <v>115</v>
      </c>
      <c r="B13" s="30"/>
      <c r="C13" s="30"/>
      <c r="D13" s="762" t="str">
        <f>ПОДПИСИ!B5</f>
        <v>Начальник мастерского участка №1 Курортного РЭС ПАО «Россети Ленэнерго» «СЭС»</v>
      </c>
      <c r="E13" s="762"/>
      <c r="F13" s="762"/>
      <c r="G13" s="762"/>
      <c r="H13" s="762"/>
      <c r="I13" s="762"/>
    </row>
    <row r="14" spans="1:17" ht="11.25" customHeight="1">
      <c r="A14" s="1083"/>
      <c r="B14" s="1083"/>
      <c r="C14" s="1083"/>
      <c r="D14" s="1083"/>
      <c r="E14" s="1083"/>
      <c r="F14" s="770" t="s">
        <v>5</v>
      </c>
      <c r="G14" s="770"/>
      <c r="H14" s="770"/>
      <c r="I14" s="770"/>
    </row>
    <row r="15" spans="1:17" ht="15" customHeight="1">
      <c r="A15" s="759" t="str">
        <f>ПОДПИСИ!C5</f>
        <v>Чечин Д.М.</v>
      </c>
      <c r="B15" s="759"/>
      <c r="C15" s="759"/>
      <c r="D15" s="759"/>
      <c r="E15" s="759"/>
      <c r="F15" s="759"/>
      <c r="G15" s="759"/>
      <c r="H15" s="759"/>
      <c r="I15" s="759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66" t="s">
        <v>716</v>
      </c>
      <c r="B17" s="766"/>
      <c r="C17" s="766"/>
      <c r="D17" s="766"/>
      <c r="E17" s="766"/>
      <c r="F17" s="762" t="str">
        <f>ПОДПИСИ!B12</f>
        <v xml:space="preserve">Производитель работ ООО«БЭСК» </v>
      </c>
      <c r="G17" s="762"/>
      <c r="H17" s="762"/>
      <c r="I17" s="762"/>
    </row>
    <row r="18" spans="1:17" ht="9.75" customHeight="1">
      <c r="A18" s="770"/>
      <c r="B18" s="770"/>
      <c r="C18" s="770"/>
      <c r="D18" s="770" t="s">
        <v>5</v>
      </c>
      <c r="E18" s="770"/>
      <c r="F18" s="770"/>
      <c r="G18" s="770"/>
      <c r="H18" s="770"/>
      <c r="I18" s="770"/>
    </row>
    <row r="19" spans="1:17" ht="15" customHeight="1">
      <c r="A19" s="759" t="str">
        <f>ПОДПИСИ!C12</f>
        <v>Махмадов А.Р.</v>
      </c>
      <c r="B19" s="759"/>
      <c r="C19" s="759"/>
      <c r="D19" s="759"/>
      <c r="E19" s="759"/>
      <c r="F19" s="759"/>
      <c r="G19" s="759"/>
      <c r="H19" s="759"/>
      <c r="I19" s="759"/>
    </row>
    <row r="20" spans="1:17">
      <c r="A20" s="764" t="s">
        <v>853</v>
      </c>
      <c r="B20" s="764"/>
      <c r="C20" s="764"/>
      <c r="D20" s="764"/>
      <c r="E20" s="764"/>
      <c r="F20" s="764"/>
      <c r="G20" s="764"/>
      <c r="H20" s="764"/>
      <c r="I20" s="764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КК №8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776" t="s">
        <v>855</v>
      </c>
      <c r="B22" s="776"/>
      <c r="C22" s="776"/>
      <c r="D22" s="776"/>
      <c r="E22" s="776"/>
      <c r="F22" s="776"/>
      <c r="G22" s="776"/>
      <c r="H22" s="776"/>
      <c r="I22" s="776"/>
    </row>
    <row r="23" spans="1:17">
      <c r="A23" s="1021" t="s">
        <v>1739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776"/>
      <c r="B24" s="776"/>
      <c r="C24" s="776"/>
      <c r="D24" s="776"/>
      <c r="E24" s="776"/>
      <c r="F24" s="776"/>
      <c r="G24" s="776"/>
      <c r="H24" s="776"/>
      <c r="I24" s="776"/>
    </row>
    <row r="25" spans="1:17">
      <c r="A25" s="764" t="str">
        <f>CONCATENATE("3. Объем выполненных работ ",K25,"м2")</f>
        <v>3. Объем выполненных работ 0,16м2</v>
      </c>
      <c r="B25" s="764"/>
      <c r="C25" s="764"/>
      <c r="D25" s="764"/>
      <c r="E25" s="764"/>
      <c r="F25" s="764"/>
      <c r="G25" s="764"/>
      <c r="H25" s="764"/>
      <c r="I25" s="764"/>
      <c r="K25" s="369">
        <v>0.16</v>
      </c>
    </row>
    <row r="26" spans="1:17">
      <c r="A26" s="47" t="s">
        <v>857</v>
      </c>
      <c r="B26" s="47"/>
      <c r="C26" s="47"/>
      <c r="D26" s="726"/>
      <c r="E26" s="726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26"/>
      <c r="E27" s="726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771"/>
      <c r="C30" s="771"/>
      <c r="D30" s="771"/>
      <c r="E30" s="771"/>
      <c r="F30" s="771"/>
      <c r="G30" s="771"/>
      <c r="H30" s="771"/>
      <c r="I30" s="771"/>
    </row>
    <row r="31" spans="1:17" customFormat="1" ht="32.25" customHeight="1">
      <c r="A31" s="767" t="s">
        <v>714</v>
      </c>
      <c r="B31" s="767"/>
      <c r="C31" s="767"/>
      <c r="D31" s="767"/>
      <c r="E31" s="76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66" t="s">
        <v>715</v>
      </c>
      <c r="B33" s="767"/>
      <c r="C33" s="767"/>
      <c r="D33" s="767"/>
      <c r="E33" s="76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17:E17"/>
    <mergeCell ref="F17:I17"/>
    <mergeCell ref="A18:C18"/>
    <mergeCell ref="D18:I18"/>
    <mergeCell ref="A19:I19"/>
    <mergeCell ref="A20:I20"/>
    <mergeCell ref="A11:I11"/>
    <mergeCell ref="A12:I12"/>
    <mergeCell ref="D13:I13"/>
    <mergeCell ref="A14:E14"/>
    <mergeCell ref="F14:I14"/>
    <mergeCell ref="A15:I15"/>
    <mergeCell ref="A7:D7"/>
    <mergeCell ref="G7:I7"/>
    <mergeCell ref="A8:D8"/>
    <mergeCell ref="G8:I8"/>
    <mergeCell ref="G9:I9"/>
    <mergeCell ref="A10:I10"/>
    <mergeCell ref="A4:D4"/>
    <mergeCell ref="G4:I4"/>
    <mergeCell ref="A5:D5"/>
    <mergeCell ref="G5:I5"/>
    <mergeCell ref="A6:D6"/>
    <mergeCell ref="G6:I6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" priority="2" operator="equal">
      <formula>0</formula>
    </cfRule>
  </conditionalFormatting>
  <conditionalFormatting sqref="O1:O6 O8:O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C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8.726562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26" outlineLevel="1">
      <c r="A5" s="773"/>
      <c r="B5" s="773"/>
      <c r="C5" s="773"/>
      <c r="D5" s="773"/>
      <c r="E5" s="21"/>
      <c r="F5" s="21"/>
      <c r="G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0"/>
      <c r="I5" s="82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860</v>
      </c>
      <c r="B10" s="822"/>
      <c r="C10" s="822"/>
      <c r="D10" s="822"/>
      <c r="E10" s="822"/>
      <c r="F10" s="822"/>
      <c r="G10" s="822"/>
      <c r="H10" s="822"/>
      <c r="I10" s="822"/>
    </row>
    <row r="11" spans="1:17" ht="15" customHeight="1">
      <c r="A11" s="767" t="s">
        <v>4</v>
      </c>
      <c r="B11" s="767"/>
      <c r="C11" s="767"/>
      <c r="D11" s="767"/>
      <c r="E11" s="767"/>
      <c r="F11" s="767"/>
      <c r="G11" s="767"/>
      <c r="H11" s="767"/>
      <c r="I11" s="767"/>
    </row>
    <row r="12" spans="1:17" ht="30" customHeight="1">
      <c r="A12" s="30" t="s">
        <v>115</v>
      </c>
      <c r="B12" s="30"/>
      <c r="C12" s="30"/>
      <c r="D12" s="762" t="str">
        <f>ПОДПИСИ!B6</f>
        <v>Начальник мастерского участка №1 Курортного РЭС ПАО «Россети Ленэнерго» «СЭС»</v>
      </c>
      <c r="E12" s="762"/>
      <c r="F12" s="762"/>
      <c r="G12" s="762"/>
      <c r="H12" s="762"/>
      <c r="I12" s="762"/>
    </row>
    <row r="13" spans="1:17" ht="11.25" customHeight="1">
      <c r="A13" s="1083"/>
      <c r="B13" s="1083"/>
      <c r="C13" s="1083"/>
      <c r="D13" s="1083"/>
      <c r="E13" s="1083"/>
      <c r="F13" s="770" t="s">
        <v>5</v>
      </c>
      <c r="G13" s="770"/>
      <c r="H13" s="770"/>
      <c r="I13" s="770"/>
    </row>
    <row r="14" spans="1:17" ht="15" customHeight="1">
      <c r="A14" s="759" t="str">
        <f>ПОДПИСИ!C6</f>
        <v>Чечин Д.М.</v>
      </c>
      <c r="B14" s="759"/>
      <c r="C14" s="759"/>
      <c r="D14" s="759"/>
      <c r="E14" s="759"/>
      <c r="F14" s="759"/>
      <c r="G14" s="759"/>
      <c r="H14" s="759"/>
      <c r="I14" s="759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66" t="s">
        <v>716</v>
      </c>
      <c r="B16" s="766"/>
      <c r="C16" s="766"/>
      <c r="D16" s="766"/>
      <c r="E16" s="766"/>
      <c r="F16" s="762" t="str">
        <f>ПОДПИСИ!B12</f>
        <v xml:space="preserve">Производитель работ ООО«БЭСК» </v>
      </c>
      <c r="G16" s="762"/>
      <c r="H16" s="762"/>
      <c r="I16" s="762"/>
    </row>
    <row r="17" spans="1:17" ht="9.75" customHeight="1">
      <c r="A17" s="770"/>
      <c r="B17" s="770"/>
      <c r="C17" s="770"/>
      <c r="D17" s="770" t="s">
        <v>5</v>
      </c>
      <c r="E17" s="770"/>
      <c r="F17" s="770"/>
      <c r="G17" s="770"/>
      <c r="H17" s="770"/>
      <c r="I17" s="770"/>
    </row>
    <row r="18" spans="1:17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</row>
    <row r="19" spans="1:17">
      <c r="A19" s="764" t="s">
        <v>853</v>
      </c>
      <c r="B19" s="764"/>
      <c r="C19" s="764"/>
      <c r="D19" s="764"/>
      <c r="E19" s="764"/>
      <c r="F19" s="764"/>
      <c r="G19" s="764"/>
      <c r="H19" s="764"/>
      <c r="I19" s="764"/>
    </row>
    <row r="20" spans="1:17">
      <c r="A20" s="1021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021"/>
      <c r="C20" s="1021"/>
      <c r="D20" s="1021"/>
      <c r="E20" s="1021"/>
      <c r="F20" s="1021"/>
      <c r="G20" s="1021"/>
      <c r="H20" s="1021"/>
      <c r="I20" s="1021"/>
      <c r="K20" s="369">
        <v>12</v>
      </c>
    </row>
    <row r="21" spans="1:17" ht="12.75" customHeight="1">
      <c r="A21" s="776" t="s">
        <v>855</v>
      </c>
      <c r="B21" s="776"/>
      <c r="C21" s="776"/>
      <c r="D21" s="776"/>
      <c r="E21" s="776"/>
      <c r="F21" s="776"/>
      <c r="G21" s="776"/>
      <c r="H21" s="776"/>
      <c r="I21" s="776"/>
    </row>
    <row r="22" spans="1:17">
      <c r="A22" s="47" t="s">
        <v>857</v>
      </c>
      <c r="B22" s="47"/>
      <c r="C22" s="47"/>
      <c r="D22" s="726"/>
      <c r="E22" s="726"/>
      <c r="F22" s="47"/>
      <c r="G22" s="47"/>
      <c r="H22" s="47"/>
      <c r="I22" s="47"/>
    </row>
    <row r="23" spans="1:17">
      <c r="A23" s="47" t="s">
        <v>858</v>
      </c>
      <c r="B23" s="47"/>
      <c r="C23" s="47"/>
      <c r="D23" s="726"/>
      <c r="E23" s="726"/>
      <c r="F23" s="47"/>
      <c r="G23" s="47"/>
      <c r="H23" s="47"/>
      <c r="I23" s="47"/>
    </row>
    <row r="24" spans="1:17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850</v>
      </c>
      <c r="B26" s="771"/>
      <c r="C26" s="771"/>
      <c r="D26" s="771"/>
      <c r="E26" s="771"/>
      <c r="F26" s="771"/>
      <c r="G26" s="771"/>
      <c r="H26" s="771"/>
      <c r="I26" s="771"/>
    </row>
    <row r="27" spans="1:17" customFormat="1" ht="32.25" customHeight="1">
      <c r="A27" s="767" t="s">
        <v>714</v>
      </c>
      <c r="B27" s="767"/>
      <c r="C27" s="767"/>
      <c r="D27" s="767"/>
      <c r="E27" s="767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66" t="s">
        <v>715</v>
      </c>
      <c r="B29" s="767"/>
      <c r="C29" s="767"/>
      <c r="D29" s="767"/>
      <c r="E29" s="767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69" priority="2" operator="equal">
      <formula>0</formula>
    </cfRule>
  </conditionalFormatting>
  <conditionalFormatting sqref="O1:O6 O8:O9">
    <cfRule type="cellIs" dxfId="6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topLeftCell="A5" zoomScale="60" zoomScaleNormal="100" workbookViewId="0">
      <selection activeCell="K21" sqref="K21"/>
    </sheetView>
  </sheetViews>
  <sheetFormatPr defaultColWidth="9.1796875" defaultRowHeight="14" outlineLevelRow="1"/>
  <cols>
    <col min="1" max="1" width="15.26953125" style="19" customWidth="1"/>
    <col min="2" max="2" width="5.26953125" style="19" customWidth="1"/>
    <col min="3" max="3" width="3.26953125" style="19" customWidth="1"/>
    <col min="4" max="4" width="12.26953125" style="19" customWidth="1"/>
    <col min="5" max="5" width="6.81640625" style="19" customWidth="1"/>
    <col min="6" max="6" width="9.81640625" style="19" customWidth="1"/>
    <col min="7" max="7" width="22.7265625" style="19" customWidth="1"/>
    <col min="8" max="8" width="2.7265625" style="19" customWidth="1"/>
    <col min="9" max="9" width="16.7265625" style="19" customWidth="1"/>
    <col min="10" max="10" width="9.1796875" style="19"/>
    <col min="11" max="13" width="15.7265625" style="19" customWidth="1"/>
    <col min="14" max="14" width="9.1796875" style="19"/>
    <col min="15" max="15" width="49.7265625" style="141" customWidth="1"/>
    <col min="16" max="16" width="2.7265625" style="19" customWidth="1"/>
    <col min="17" max="17" width="16.7265625" style="19" customWidth="1"/>
    <col min="18" max="16384" width="9.1796875" style="19"/>
  </cols>
  <sheetData>
    <row r="1" spans="1:17" ht="15" customHeight="1" outlineLevel="1">
      <c r="A1" s="771"/>
      <c r="B1" s="771"/>
      <c r="C1" s="771"/>
      <c r="D1" s="771"/>
      <c r="G1" s="758" t="str">
        <f>ФОРМА!G2</f>
        <v>Санкт-Петербург</v>
      </c>
      <c r="H1" s="758"/>
      <c r="I1" s="758"/>
      <c r="J1"/>
      <c r="K1"/>
      <c r="L1"/>
      <c r="M1"/>
      <c r="O1" s="169"/>
      <c r="P1" s="23"/>
      <c r="Q1" s="23"/>
    </row>
    <row r="2" spans="1:17" s="50" customFormat="1" ht="15" customHeight="1" outlineLevel="1">
      <c r="A2" s="770"/>
      <c r="B2" s="770"/>
      <c r="C2" s="770"/>
      <c r="D2" s="770"/>
      <c r="E2" s="21"/>
      <c r="F2" s="21"/>
      <c r="G2" s="770" t="s">
        <v>0</v>
      </c>
      <c r="H2" s="770"/>
      <c r="I2" s="770"/>
      <c r="J2"/>
      <c r="K2"/>
      <c r="L2"/>
      <c r="M2"/>
      <c r="O2" s="146"/>
      <c r="P2" s="21"/>
      <c r="Q2" s="21"/>
    </row>
    <row r="3" spans="1:17" outlineLevel="1">
      <c r="A3" s="758" t="str">
        <f>ФОРМА!B4</f>
        <v>ООО «БЭСК»</v>
      </c>
      <c r="B3" s="758"/>
      <c r="C3" s="758"/>
      <c r="D3" s="758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70" t="s">
        <v>2</v>
      </c>
      <c r="H4" s="770"/>
      <c r="I4" s="770"/>
      <c r="O4" s="146"/>
      <c r="P4" s="21"/>
      <c r="Q4" s="21"/>
    </row>
    <row r="5" spans="1:17" ht="126" outlineLevel="1">
      <c r="A5" s="773"/>
      <c r="B5" s="773"/>
      <c r="C5" s="773"/>
      <c r="D5" s="773"/>
      <c r="E5" s="21"/>
      <c r="F5" s="21"/>
      <c r="G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0"/>
      <c r="I5" s="82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0" t="s">
        <v>45</v>
      </c>
      <c r="B6" s="770"/>
      <c r="C6" s="770"/>
      <c r="D6" s="770"/>
      <c r="E6" s="21"/>
      <c r="F6" s="21"/>
      <c r="G6" s="770" t="s">
        <v>38</v>
      </c>
      <c r="H6" s="770"/>
      <c r="I6" s="770"/>
      <c r="O6" s="146"/>
      <c r="P6" s="21"/>
      <c r="Q6" s="21"/>
    </row>
    <row r="7" spans="1:17" outlineLevel="1">
      <c r="A7" s="758"/>
      <c r="B7" s="758"/>
      <c r="C7" s="758"/>
      <c r="D7" s="758"/>
      <c r="G7" s="735">
        <f>ФОРМА!B13</f>
        <v>45625</v>
      </c>
      <c r="H7" s="758"/>
      <c r="I7" s="758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081"/>
      <c r="H8" s="1081"/>
      <c r="I8" s="108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82"/>
      <c r="H9" s="1082"/>
      <c r="I9" s="1082"/>
      <c r="O9" s="146"/>
      <c r="P9" s="21"/>
      <c r="Q9" s="21"/>
    </row>
    <row r="10" spans="1:17" ht="26.25" customHeight="1">
      <c r="A10" s="821" t="s">
        <v>860</v>
      </c>
      <c r="B10" s="822"/>
      <c r="C10" s="822"/>
      <c r="D10" s="822"/>
      <c r="E10" s="822"/>
      <c r="F10" s="822"/>
      <c r="G10" s="822"/>
      <c r="H10" s="822"/>
      <c r="I10" s="822"/>
    </row>
    <row r="11" spans="1:17" ht="15" customHeight="1">
      <c r="A11" s="767" t="s">
        <v>4</v>
      </c>
      <c r="B11" s="767"/>
      <c r="C11" s="767"/>
      <c r="D11" s="767"/>
      <c r="E11" s="767"/>
      <c r="F11" s="767"/>
      <c r="G11" s="767"/>
      <c r="H11" s="767"/>
      <c r="I11" s="767"/>
    </row>
    <row r="12" spans="1:17" ht="30" customHeight="1">
      <c r="A12" s="30" t="s">
        <v>115</v>
      </c>
      <c r="B12" s="30"/>
      <c r="C12" s="30"/>
      <c r="D12" s="762" t="str">
        <f>ПОДПИСИ!B6</f>
        <v>Начальник мастерского участка №1 Курортного РЭС ПАО «Россети Ленэнерго» «СЭС»</v>
      </c>
      <c r="E12" s="762"/>
      <c r="F12" s="762"/>
      <c r="G12" s="762"/>
      <c r="H12" s="762"/>
      <c r="I12" s="762"/>
    </row>
    <row r="13" spans="1:17" ht="11.25" customHeight="1">
      <c r="A13" s="1083"/>
      <c r="B13" s="1083"/>
      <c r="C13" s="1083"/>
      <c r="D13" s="1083"/>
      <c r="E13" s="1083"/>
      <c r="F13" s="770" t="s">
        <v>5</v>
      </c>
      <c r="G13" s="770"/>
      <c r="H13" s="770"/>
      <c r="I13" s="770"/>
    </row>
    <row r="14" spans="1:17" ht="15" customHeight="1">
      <c r="A14" s="759" t="str">
        <f>ПОДПИСИ!C6</f>
        <v>Чечин Д.М.</v>
      </c>
      <c r="B14" s="759"/>
      <c r="C14" s="759"/>
      <c r="D14" s="759"/>
      <c r="E14" s="759"/>
      <c r="F14" s="759"/>
      <c r="G14" s="759"/>
      <c r="H14" s="759"/>
      <c r="I14" s="759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66" t="s">
        <v>716</v>
      </c>
      <c r="B16" s="766"/>
      <c r="C16" s="766"/>
      <c r="D16" s="766"/>
      <c r="E16" s="766"/>
      <c r="F16" s="762" t="str">
        <f>ПОДПИСИ!B12</f>
        <v xml:space="preserve">Производитель работ ООО«БЭСК» </v>
      </c>
      <c r="G16" s="762"/>
      <c r="H16" s="762"/>
      <c r="I16" s="762"/>
    </row>
    <row r="17" spans="1:17" ht="9.75" customHeight="1">
      <c r="A17" s="770"/>
      <c r="B17" s="770"/>
      <c r="C17" s="770"/>
      <c r="D17" s="770" t="s">
        <v>5</v>
      </c>
      <c r="E17" s="770"/>
      <c r="F17" s="770"/>
      <c r="G17" s="770"/>
      <c r="H17" s="770"/>
      <c r="I17" s="770"/>
    </row>
    <row r="18" spans="1:17" ht="15" customHeight="1">
      <c r="A18" s="759" t="str">
        <f>ПОДПИСИ!C12</f>
        <v>Махмадов А.Р.</v>
      </c>
      <c r="B18" s="759"/>
      <c r="C18" s="759"/>
      <c r="D18" s="759"/>
      <c r="E18" s="759"/>
      <c r="F18" s="759"/>
      <c r="G18" s="759"/>
      <c r="H18" s="759"/>
      <c r="I18" s="759"/>
    </row>
    <row r="19" spans="1:17">
      <c r="A19" s="764" t="s">
        <v>853</v>
      </c>
      <c r="B19" s="764"/>
      <c r="C19" s="764"/>
      <c r="D19" s="764"/>
      <c r="E19" s="764"/>
      <c r="F19" s="764"/>
      <c r="G19" s="764"/>
      <c r="H19" s="764"/>
      <c r="I19" s="764"/>
    </row>
    <row r="20" spans="1:17">
      <c r="A20" s="1021" t="str">
        <f>CONCATENATE("1. На опоры ВЛ-0,4кВ нанесены постоянные знаки в кол-ве ",K20," шт.")</f>
        <v>1. На опоры ВЛ-0,4кВ нанесены постоянные знаки в кол-ве 4 шт.</v>
      </c>
      <c r="B20" s="1021"/>
      <c r="C20" s="1021"/>
      <c r="D20" s="1021"/>
      <c r="E20" s="1021"/>
      <c r="F20" s="1021"/>
      <c r="G20" s="1021"/>
      <c r="H20" s="1021"/>
      <c r="I20" s="1021"/>
      <c r="K20" s="369">
        <v>4</v>
      </c>
    </row>
    <row r="21" spans="1:17" ht="12.75" customHeight="1">
      <c r="A21" s="776" t="s">
        <v>855</v>
      </c>
      <c r="B21" s="776"/>
      <c r="C21" s="776"/>
      <c r="D21" s="776"/>
      <c r="E21" s="776"/>
      <c r="F21" s="776"/>
      <c r="G21" s="776"/>
      <c r="H21" s="776"/>
      <c r="I21" s="776"/>
    </row>
    <row r="22" spans="1:17">
      <c r="A22" s="47" t="s">
        <v>857</v>
      </c>
      <c r="B22" s="47"/>
      <c r="C22" s="47"/>
      <c r="D22" s="726"/>
      <c r="E22" s="726"/>
      <c r="F22" s="47"/>
      <c r="G22" s="47"/>
      <c r="H22" s="47"/>
      <c r="I22" s="47"/>
    </row>
    <row r="23" spans="1:17">
      <c r="A23" s="47" t="s">
        <v>858</v>
      </c>
      <c r="B23" s="47"/>
      <c r="C23" s="47"/>
      <c r="D23" s="726"/>
      <c r="E23" s="726"/>
      <c r="F23" s="47"/>
      <c r="G23" s="47"/>
      <c r="H23" s="47"/>
      <c r="I23" s="47"/>
    </row>
    <row r="24" spans="1:17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850</v>
      </c>
      <c r="B26" s="771"/>
      <c r="C26" s="771"/>
      <c r="D26" s="771"/>
      <c r="E26" s="771"/>
      <c r="F26" s="771"/>
      <c r="G26" s="771"/>
      <c r="H26" s="771"/>
      <c r="I26" s="771"/>
    </row>
    <row r="27" spans="1:17" customFormat="1" ht="32.25" customHeight="1">
      <c r="A27" s="767" t="s">
        <v>714</v>
      </c>
      <c r="B27" s="767"/>
      <c r="C27" s="767"/>
      <c r="D27" s="767"/>
      <c r="E27" s="767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66" t="s">
        <v>715</v>
      </c>
      <c r="B29" s="767"/>
      <c r="C29" s="767"/>
      <c r="D29" s="767"/>
      <c r="E29" s="767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7" priority="2" operator="equal">
      <formula>0</formula>
    </cfRule>
  </conditionalFormatting>
  <conditionalFormatting sqref="O1:O6 O8:O9">
    <cfRule type="cellIs" dxfId="6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796875" defaultRowHeight="14.5" outlineLevelRow="1"/>
  <cols>
    <col min="1" max="83" width="0.81640625" style="19" customWidth="1"/>
    <col min="84" max="84" width="5.7265625" style="19" customWidth="1"/>
    <col min="85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0.81640625" style="158" customWidth="1"/>
    <col min="113" max="16384" width="9.1796875" style="19"/>
  </cols>
  <sheetData>
    <row r="1" spans="1:112" ht="15" customHeight="1" outlineLevel="1">
      <c r="A1" s="771"/>
      <c r="B1" s="771"/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771"/>
      <c r="W1" s="771"/>
      <c r="X1" s="771"/>
      <c r="Y1" s="771"/>
      <c r="Z1" s="771"/>
      <c r="AA1" s="771"/>
      <c r="AB1" s="771"/>
      <c r="AC1" s="771"/>
      <c r="AD1" s="771"/>
      <c r="AE1" s="771"/>
      <c r="AF1" s="771"/>
      <c r="AG1" s="771"/>
      <c r="AH1" s="771"/>
      <c r="AI1" s="771"/>
      <c r="AJ1" s="771"/>
      <c r="AK1" s="771"/>
      <c r="AL1" s="771"/>
      <c r="AM1" s="771"/>
      <c r="AN1" s="771"/>
      <c r="BC1" s="758" t="str">
        <f>ФОРМА!G2</f>
        <v>Санкт-Петербург</v>
      </c>
      <c r="BD1" s="758"/>
      <c r="BE1" s="758"/>
      <c r="BF1" s="758"/>
      <c r="BG1" s="758"/>
      <c r="BH1" s="758"/>
      <c r="BI1" s="758"/>
      <c r="BJ1" s="758"/>
      <c r="BK1" s="758"/>
      <c r="BL1" s="758"/>
      <c r="BM1" s="758"/>
      <c r="BN1" s="758"/>
      <c r="BO1" s="758"/>
      <c r="BP1" s="758"/>
      <c r="BQ1" s="758"/>
      <c r="BR1" s="758"/>
      <c r="BS1" s="758"/>
      <c r="BT1" s="758"/>
      <c r="BU1" s="758"/>
      <c r="BV1" s="758"/>
      <c r="BW1" s="758"/>
      <c r="BX1" s="758"/>
      <c r="BY1" s="758"/>
      <c r="BZ1" s="758"/>
      <c r="CA1" s="758"/>
      <c r="CB1" s="758"/>
      <c r="CC1" s="758"/>
      <c r="CD1" s="758"/>
      <c r="CE1" s="758"/>
      <c r="CF1" s="758"/>
      <c r="CG1" s="758"/>
      <c r="CH1" s="758"/>
      <c r="CI1" s="758"/>
      <c r="CJ1" s="758"/>
      <c r="CK1" s="758"/>
      <c r="CL1" s="758"/>
      <c r="CM1" s="758"/>
      <c r="CN1" s="758"/>
      <c r="CO1" s="758"/>
      <c r="CP1" s="758"/>
      <c r="CQ1" s="758"/>
      <c r="CR1" s="758"/>
      <c r="CS1" s="758"/>
      <c r="CT1" s="758"/>
      <c r="CU1" s="758"/>
      <c r="CV1" s="758"/>
      <c r="CW1" s="758"/>
      <c r="CX1" s="758"/>
      <c r="CY1" s="758"/>
      <c r="CZ1" s="758"/>
      <c r="DA1" s="758"/>
      <c r="DB1" s="758"/>
      <c r="DC1"/>
      <c r="DD1"/>
      <c r="DE1"/>
      <c r="DF1"/>
      <c r="DH1" s="155"/>
    </row>
    <row r="2" spans="1:112" s="50" customFormat="1" ht="15" customHeight="1" outlineLevel="1">
      <c r="A2" s="770"/>
      <c r="B2" s="770"/>
      <c r="C2" s="770"/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  <c r="AF2" s="770"/>
      <c r="AG2" s="770"/>
      <c r="AH2" s="770"/>
      <c r="AI2" s="770"/>
      <c r="AJ2" s="770"/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0"/>
      <c r="AV2" s="21"/>
      <c r="AW2" s="21"/>
      <c r="AX2" s="21"/>
      <c r="AY2" s="21"/>
      <c r="AZ2" s="21"/>
      <c r="BA2" s="21"/>
      <c r="BB2" s="21"/>
      <c r="BC2" s="770" t="s">
        <v>0</v>
      </c>
      <c r="BD2" s="770"/>
      <c r="BE2" s="770"/>
      <c r="BF2" s="770"/>
      <c r="BG2" s="770"/>
      <c r="BH2" s="770"/>
      <c r="BI2" s="770"/>
      <c r="BJ2" s="770"/>
      <c r="BK2" s="770"/>
      <c r="BL2" s="770"/>
      <c r="BM2" s="770"/>
      <c r="BN2" s="770"/>
      <c r="BO2" s="770"/>
      <c r="BP2" s="770"/>
      <c r="BQ2" s="770"/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770"/>
      <c r="DC2"/>
      <c r="DD2"/>
      <c r="DE2"/>
      <c r="DF2"/>
      <c r="DH2" s="144"/>
    </row>
    <row r="3" spans="1:112" ht="15" customHeight="1" outlineLevel="1">
      <c r="A3" s="758" t="str">
        <f>ФОРМА!B4</f>
        <v>ООО «БЭСК»</v>
      </c>
      <c r="B3" s="758"/>
      <c r="C3" s="758"/>
      <c r="D3" s="758"/>
      <c r="E3" s="758"/>
      <c r="F3" s="758"/>
      <c r="G3" s="758"/>
      <c r="H3" s="758"/>
      <c r="I3" s="758"/>
      <c r="J3" s="758"/>
      <c r="K3" s="758"/>
      <c r="L3" s="758"/>
      <c r="M3" s="758"/>
      <c r="N3" s="758"/>
      <c r="O3" s="758"/>
      <c r="P3" s="758"/>
      <c r="Q3" s="758"/>
      <c r="R3" s="758"/>
      <c r="S3" s="758"/>
      <c r="T3" s="758"/>
      <c r="U3" s="758"/>
      <c r="V3" s="758"/>
      <c r="W3" s="758"/>
      <c r="X3" s="758"/>
      <c r="Y3" s="758"/>
      <c r="Z3" s="758"/>
      <c r="AA3" s="758"/>
      <c r="AB3" s="758"/>
      <c r="AC3" s="758"/>
      <c r="AD3" s="758"/>
      <c r="AE3" s="758"/>
      <c r="AF3" s="758"/>
      <c r="AG3" s="758"/>
      <c r="AH3" s="758"/>
      <c r="AI3" s="758"/>
      <c r="AJ3" s="758"/>
      <c r="AK3" s="758"/>
      <c r="AL3" s="758"/>
      <c r="AM3" s="758"/>
      <c r="AN3" s="758"/>
      <c r="AO3" s="758"/>
      <c r="AP3" s="758"/>
      <c r="AQ3" s="758"/>
      <c r="AR3" s="758"/>
      <c r="AS3" s="758"/>
      <c r="AT3" s="758"/>
      <c r="AU3" s="758"/>
      <c r="BC3" s="772" t="str">
        <f>ФОРМА!B2</f>
        <v>ПАО "Россети Ленэнерго"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56" t="str">
        <f>BC3</f>
        <v>ПАО "Россети Ленэнерго"</v>
      </c>
    </row>
    <row r="4" spans="1:112" ht="15" customHeight="1" outlineLevel="1">
      <c r="A4" s="770" t="s">
        <v>44</v>
      </c>
      <c r="B4" s="770"/>
      <c r="C4" s="770"/>
      <c r="D4" s="770"/>
      <c r="E4" s="770"/>
      <c r="F4" s="770"/>
      <c r="G4" s="770"/>
      <c r="H4" s="770"/>
      <c r="I4" s="770"/>
      <c r="J4" s="770"/>
      <c r="K4" s="770"/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  <c r="AF4" s="770"/>
      <c r="AG4" s="770"/>
      <c r="AH4" s="770"/>
      <c r="AI4" s="770"/>
      <c r="AJ4" s="770"/>
      <c r="AK4" s="770"/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21"/>
      <c r="AW4" s="21"/>
      <c r="AX4" s="21"/>
      <c r="AY4" s="21"/>
      <c r="AZ4" s="21"/>
      <c r="BA4" s="21"/>
      <c r="BB4" s="21"/>
      <c r="BC4" s="770" t="s">
        <v>2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/>
    </row>
    <row r="5" spans="1:112" ht="126" outlineLevel="1">
      <c r="A5" s="773"/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21"/>
      <c r="AW5" s="21"/>
      <c r="AX5" s="21"/>
      <c r="AY5" s="21"/>
      <c r="AZ5" s="21"/>
      <c r="BA5" s="21"/>
      <c r="BB5" s="21"/>
      <c r="BC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0" t="s">
        <v>45</v>
      </c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21"/>
      <c r="AW6" s="21"/>
      <c r="AX6" s="21"/>
      <c r="AY6" s="21"/>
      <c r="AZ6" s="21"/>
      <c r="BA6" s="21"/>
      <c r="BB6" s="21"/>
      <c r="BC6" s="770" t="s">
        <v>38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/>
    </row>
    <row r="7" spans="1:112" ht="14" outlineLevel="1">
      <c r="A7" s="758"/>
      <c r="B7" s="758"/>
      <c r="C7" s="758"/>
      <c r="D7" s="758"/>
      <c r="E7" s="758"/>
      <c r="F7" s="758"/>
      <c r="G7" s="758"/>
      <c r="H7" s="758"/>
      <c r="I7" s="758"/>
      <c r="J7" s="758"/>
      <c r="K7" s="758"/>
      <c r="L7" s="758"/>
      <c r="M7" s="758"/>
      <c r="N7" s="758"/>
      <c r="O7" s="758"/>
      <c r="P7" s="758"/>
      <c r="Q7" s="758"/>
      <c r="R7" s="758"/>
      <c r="S7" s="758"/>
      <c r="T7" s="758"/>
      <c r="U7" s="758"/>
      <c r="V7" s="758"/>
      <c r="W7" s="758"/>
      <c r="X7" s="758"/>
      <c r="Y7" s="758"/>
      <c r="Z7" s="758"/>
      <c r="AA7" s="758"/>
      <c r="AB7" s="758"/>
      <c r="AC7" s="758"/>
      <c r="AD7" s="758"/>
      <c r="AE7" s="758"/>
      <c r="AF7" s="758"/>
      <c r="AG7" s="758"/>
      <c r="AH7" s="758"/>
      <c r="AI7" s="758"/>
      <c r="AJ7" s="758"/>
      <c r="AK7" s="758"/>
      <c r="AL7" s="758"/>
      <c r="AM7" s="758"/>
      <c r="AN7" s="758"/>
      <c r="AO7" s="758"/>
      <c r="AP7" s="758"/>
      <c r="AQ7" s="758"/>
      <c r="AR7" s="758"/>
      <c r="AS7" s="758"/>
      <c r="AT7" s="758"/>
      <c r="AU7" s="758"/>
      <c r="BC7" s="735">
        <f>ФОРМА!B13</f>
        <v>45625</v>
      </c>
      <c r="BD7" s="735"/>
      <c r="BE7" s="735"/>
      <c r="BF7" s="735"/>
      <c r="BG7" s="735"/>
      <c r="BH7" s="735"/>
      <c r="BI7" s="735"/>
      <c r="BJ7" s="735"/>
      <c r="BK7" s="735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35"/>
      <c r="BW7" s="735"/>
      <c r="BX7" s="735"/>
      <c r="BY7" s="735"/>
      <c r="BZ7" s="735"/>
      <c r="CA7" s="735"/>
      <c r="CB7" s="735"/>
      <c r="CC7" s="735"/>
      <c r="CD7" s="735"/>
      <c r="CE7" s="735"/>
      <c r="CF7" s="735"/>
      <c r="CG7" s="735"/>
      <c r="CH7" s="735"/>
      <c r="CI7" s="735"/>
      <c r="CJ7" s="735"/>
      <c r="CK7" s="735"/>
      <c r="CL7" s="735"/>
      <c r="CM7" s="735"/>
      <c r="CN7" s="735"/>
      <c r="CO7" s="735"/>
      <c r="CP7" s="735"/>
      <c r="CQ7" s="735"/>
      <c r="CR7" s="735"/>
      <c r="CS7" s="735"/>
      <c r="CT7" s="735"/>
      <c r="CU7" s="735"/>
      <c r="CV7" s="735"/>
      <c r="CW7" s="735"/>
      <c r="CX7" s="735"/>
      <c r="CY7" s="735"/>
      <c r="CZ7" s="735"/>
      <c r="DA7" s="735"/>
      <c r="DB7" s="735"/>
      <c r="DC7" s="51"/>
      <c r="DH7" s="156"/>
    </row>
    <row r="8" spans="1:112" ht="10.5" customHeight="1" outlineLevel="1">
      <c r="A8" s="770" t="s">
        <v>1</v>
      </c>
      <c r="B8" s="770"/>
      <c r="C8" s="770"/>
      <c r="D8" s="770"/>
      <c r="E8" s="770"/>
      <c r="F8" s="770"/>
      <c r="G8" s="770"/>
      <c r="H8" s="770"/>
      <c r="I8" s="770"/>
      <c r="J8" s="770"/>
      <c r="K8" s="770"/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  <c r="AF8" s="770"/>
      <c r="AG8" s="770"/>
      <c r="AH8" s="770"/>
      <c r="AI8" s="770"/>
      <c r="AJ8" s="770"/>
      <c r="AK8" s="770"/>
      <c r="AL8" s="770"/>
      <c r="AM8" s="770"/>
      <c r="AN8" s="770"/>
      <c r="AO8" s="770"/>
      <c r="AP8" s="770"/>
      <c r="AQ8" s="770"/>
      <c r="AR8" s="770"/>
      <c r="AS8" s="770"/>
      <c r="AT8" s="770"/>
      <c r="AU8" s="770"/>
      <c r="AV8" s="21"/>
      <c r="AW8" s="21"/>
      <c r="AX8" s="21"/>
      <c r="AY8" s="21"/>
      <c r="AZ8" s="21"/>
      <c r="BA8" s="21"/>
      <c r="BB8" s="21"/>
      <c r="BC8" s="770" t="s">
        <v>3</v>
      </c>
      <c r="BD8" s="770"/>
      <c r="BE8" s="770"/>
      <c r="BF8" s="770"/>
      <c r="BG8" s="770"/>
      <c r="BH8" s="770"/>
      <c r="BI8" s="770"/>
      <c r="BJ8" s="770"/>
      <c r="BK8" s="770"/>
      <c r="BL8" s="770"/>
      <c r="BM8" s="770"/>
      <c r="BN8" s="770"/>
      <c r="BO8" s="770"/>
      <c r="BP8" s="770"/>
      <c r="BQ8" s="770"/>
      <c r="BR8" s="770"/>
      <c r="BS8" s="770"/>
      <c r="BT8" s="770"/>
      <c r="BU8" s="770"/>
      <c r="BV8" s="770"/>
      <c r="BW8" s="770"/>
      <c r="BX8" s="770"/>
      <c r="BY8" s="770"/>
      <c r="BZ8" s="770"/>
      <c r="CA8" s="770"/>
      <c r="CB8" s="770"/>
      <c r="CC8" s="770"/>
      <c r="CD8" s="770"/>
      <c r="CE8" s="770"/>
      <c r="CF8" s="770"/>
      <c r="CG8" s="770"/>
      <c r="CH8" s="770"/>
      <c r="CI8" s="770"/>
      <c r="CJ8" s="770"/>
      <c r="CK8" s="770"/>
      <c r="CL8" s="770"/>
      <c r="CM8" s="770"/>
      <c r="CN8" s="770"/>
      <c r="CO8" s="770"/>
      <c r="CP8" s="770"/>
      <c r="CQ8" s="770"/>
      <c r="CR8" s="770"/>
      <c r="CS8" s="770"/>
      <c r="CT8" s="770"/>
      <c r="CU8" s="770"/>
      <c r="CV8" s="770"/>
      <c r="CW8" s="770"/>
      <c r="CX8" s="770"/>
      <c r="CY8" s="770"/>
      <c r="CZ8" s="770"/>
      <c r="DA8" s="770"/>
      <c r="DB8" s="770"/>
      <c r="DH8" s="154"/>
    </row>
    <row r="9" spans="1:112" ht="14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21" t="s">
        <v>500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8" customHeight="1">
      <c r="A11" s="1085" t="s">
        <v>428</v>
      </c>
      <c r="B11" s="1085"/>
      <c r="C11" s="1085"/>
      <c r="D11" s="1085"/>
      <c r="E11" s="1085"/>
      <c r="F11" s="1085"/>
      <c r="G11" s="1085"/>
      <c r="H11" s="1085"/>
      <c r="I11" s="1085"/>
      <c r="J11" s="1085"/>
      <c r="K11" s="1085"/>
      <c r="L11" s="1085"/>
      <c r="M11" s="1085"/>
      <c r="N11" s="1085"/>
      <c r="O11" s="1085"/>
      <c r="P11" s="1085"/>
      <c r="Q11" s="1085"/>
      <c r="R11" s="1085"/>
      <c r="S11" s="1085"/>
      <c r="T11" s="1085"/>
      <c r="U11" s="1085"/>
      <c r="V11" s="1085"/>
      <c r="W11" s="1085"/>
      <c r="X11" s="1085"/>
      <c r="Y11" s="1085"/>
      <c r="Z11" s="1085"/>
      <c r="AA11" s="1085"/>
      <c r="AB11" s="1085"/>
      <c r="AC11" s="1085"/>
      <c r="AD11" s="1085"/>
      <c r="AE11" s="1085"/>
      <c r="AF11" s="1085"/>
      <c r="AG11" s="1085"/>
      <c r="AH11" s="1085"/>
      <c r="AI11" s="1085"/>
      <c r="AJ11" s="1085"/>
      <c r="AK11" s="1085"/>
      <c r="AL11" s="1085"/>
      <c r="AM11" s="1085"/>
      <c r="AN11" s="1085"/>
      <c r="AO11" s="1085"/>
      <c r="AP11" s="1085"/>
      <c r="AQ11" s="1085"/>
      <c r="AR11" s="1085"/>
      <c r="AS11" s="1085"/>
      <c r="AT11" s="1085"/>
      <c r="AU11" s="1085"/>
      <c r="AV11" s="1085"/>
      <c r="AW11" s="1085"/>
      <c r="AX11" s="1085"/>
      <c r="AY11" s="1085"/>
      <c r="AZ11" s="1085"/>
      <c r="BA11" s="1085"/>
      <c r="BB11" s="1085"/>
      <c r="BC11" s="1085"/>
      <c r="BD11" s="1085"/>
      <c r="BE11" s="1085"/>
      <c r="BF11" s="1085"/>
      <c r="BG11" s="1085"/>
      <c r="BH11" s="1085"/>
      <c r="BI11" s="1085"/>
      <c r="BJ11" s="1085"/>
      <c r="BK11" s="1085"/>
      <c r="BL11" s="1085"/>
      <c r="BM11" s="1085"/>
      <c r="BN11" s="1085"/>
      <c r="BO11" s="1085"/>
      <c r="BP11" s="1085"/>
      <c r="BQ11" s="1085"/>
      <c r="BR11" s="1085"/>
      <c r="BS11" s="1085"/>
      <c r="BT11" s="1085"/>
      <c r="BU11" s="1085"/>
      <c r="BV11" s="1085"/>
      <c r="BW11" s="1085"/>
      <c r="BX11" s="1085"/>
      <c r="BY11" s="1085"/>
      <c r="BZ11" s="1085"/>
      <c r="CA11" s="1085"/>
      <c r="CB11" s="1085"/>
      <c r="CC11" s="1085"/>
      <c r="CD11" s="1085"/>
      <c r="CE11" s="1085"/>
      <c r="CF11" s="1085"/>
      <c r="CG11" s="1085"/>
      <c r="CH11" s="1085"/>
      <c r="CI11" s="1085"/>
      <c r="CJ11" s="1085"/>
      <c r="CK11" s="1085"/>
      <c r="CL11" s="1085"/>
      <c r="CM11" s="1085"/>
      <c r="CN11" s="1085"/>
      <c r="CO11" s="1085"/>
      <c r="CP11" s="1085"/>
      <c r="CQ11" s="1085"/>
      <c r="CR11" s="1085"/>
      <c r="CS11" s="1085"/>
      <c r="CT11" s="1085"/>
      <c r="CU11" s="1085"/>
      <c r="CV11" s="1085"/>
      <c r="CW11" s="1085"/>
      <c r="CX11" s="1085"/>
      <c r="CY11" s="1085"/>
      <c r="CZ11" s="1085"/>
      <c r="DA11" s="1085"/>
      <c r="DB11" s="1085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58" t="s">
        <v>332</v>
      </c>
      <c r="BA12" s="758"/>
      <c r="BB12" s="758"/>
      <c r="BC12" s="758"/>
      <c r="BD12" s="758"/>
      <c r="BE12" s="758"/>
      <c r="BF12" s="758"/>
      <c r="BG12" s="758"/>
      <c r="BH12" s="758"/>
      <c r="BI12" s="758"/>
      <c r="BJ12" s="758"/>
      <c r="BK12" s="758"/>
      <c r="BL12" s="758"/>
      <c r="BM12" s="758"/>
      <c r="BN12" s="758"/>
      <c r="BO12" s="758"/>
      <c r="BP12" s="758"/>
      <c r="BQ12" s="758"/>
      <c r="BR12" s="758"/>
      <c r="BS12" s="758"/>
      <c r="BT12" s="758"/>
      <c r="BU12" s="758"/>
      <c r="BV12" s="758"/>
      <c r="BW12" s="758"/>
      <c r="BX12" s="758"/>
      <c r="BY12" s="758"/>
      <c r="BZ12" s="758"/>
      <c r="CA12" s="758"/>
      <c r="CB12" s="758"/>
      <c r="CC12" s="758"/>
      <c r="CD12" s="758"/>
      <c r="CE12" s="758"/>
      <c r="CF12" s="758"/>
      <c r="CG12" s="758"/>
      <c r="CH12" s="758"/>
      <c r="CI12" s="758"/>
      <c r="CJ12" s="758"/>
      <c r="CK12" s="758"/>
      <c r="CL12" s="758"/>
      <c r="CM12" s="758"/>
      <c r="CN12" s="758"/>
      <c r="CO12" s="758"/>
      <c r="CP12" s="758"/>
      <c r="CQ12" s="758"/>
      <c r="CR12" s="758"/>
      <c r="CS12" s="758"/>
      <c r="CT12" s="758"/>
      <c r="CU12" s="758"/>
      <c r="CV12" s="758"/>
      <c r="CW12" s="758"/>
      <c r="CX12" s="758"/>
      <c r="CY12" s="758"/>
      <c r="CZ12" s="758"/>
      <c r="DA12" s="758"/>
      <c r="DB12" s="758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79" t="s">
        <v>749</v>
      </c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  <c r="BX13" s="1079"/>
      <c r="BY13" s="1079"/>
      <c r="BZ13" s="1079"/>
      <c r="CA13" s="1079"/>
      <c r="CB13" s="1079"/>
      <c r="CC13" s="1079"/>
      <c r="CD13" s="1079"/>
      <c r="CE13" s="1079"/>
      <c r="CF13" s="1079"/>
      <c r="CG13" s="1079"/>
      <c r="CH13" s="1079"/>
      <c r="CI13" s="1079"/>
      <c r="CJ13" s="1079"/>
      <c r="CK13" s="1079"/>
      <c r="CL13" s="1079"/>
      <c r="CM13" s="1079"/>
      <c r="CN13" s="1079"/>
      <c r="CO13" s="1079"/>
      <c r="CP13" s="1079"/>
      <c r="CQ13" s="1079"/>
      <c r="CR13" s="1079"/>
      <c r="CS13" s="1079"/>
      <c r="CT13" s="1079"/>
      <c r="CU13" s="1079"/>
      <c r="CV13" s="1079"/>
      <c r="CW13" s="1079"/>
      <c r="CX13" s="1079"/>
      <c r="CY13" s="1079"/>
      <c r="CZ13" s="1079"/>
      <c r="DA13" s="1079"/>
      <c r="DB13" s="1079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86" t="s">
        <v>65</v>
      </c>
      <c r="BA14" s="1079"/>
      <c r="BB14" s="1079"/>
      <c r="BC14" s="1079"/>
      <c r="BD14" s="1079"/>
      <c r="BE14" s="1079"/>
      <c r="BF14" s="1079"/>
      <c r="BG14" s="1079"/>
      <c r="BH14" s="1079"/>
      <c r="BI14" s="1079"/>
      <c r="BJ14" s="1079"/>
      <c r="BK14" s="1079"/>
      <c r="BL14" s="1079"/>
      <c r="BM14" s="1079"/>
      <c r="BN14" s="1079"/>
      <c r="BO14" s="1079"/>
      <c r="BP14" s="1079"/>
      <c r="BQ14" s="1079"/>
      <c r="BR14" s="1079"/>
      <c r="BS14" s="1079"/>
      <c r="BT14" s="1079"/>
      <c r="BU14" s="1079"/>
      <c r="BV14" s="1079"/>
      <c r="BW14" s="1079"/>
      <c r="BX14" s="1079"/>
      <c r="BY14" s="1079"/>
      <c r="BZ14" s="1079"/>
      <c r="CA14" s="1079"/>
      <c r="CB14" s="1079"/>
      <c r="CC14" s="1079"/>
      <c r="CD14" s="1079"/>
      <c r="CE14" s="1079"/>
      <c r="CF14" s="1079"/>
      <c r="CG14" s="1079"/>
      <c r="CH14" s="1079"/>
      <c r="CI14" s="1079"/>
      <c r="CJ14" s="1079"/>
      <c r="CK14" s="1079"/>
      <c r="CL14" s="1079"/>
      <c r="CM14" s="1079"/>
      <c r="CN14" s="1079"/>
      <c r="CO14" s="1079"/>
      <c r="CP14" s="1079"/>
      <c r="CQ14" s="1079"/>
      <c r="CR14" s="1079"/>
      <c r="CS14" s="1079"/>
      <c r="CT14" s="1079"/>
      <c r="CU14" s="1079"/>
      <c r="CV14" s="1079"/>
      <c r="CW14" s="1079"/>
      <c r="CX14" s="1079"/>
      <c r="CY14" s="1079"/>
      <c r="CZ14" s="1079"/>
      <c r="DA14" s="1079"/>
      <c r="DB14" s="1079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79" t="s">
        <v>734</v>
      </c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  <c r="BX15" s="1079"/>
      <c r="BY15" s="1079"/>
      <c r="BZ15" s="1079"/>
      <c r="CA15" s="1079"/>
      <c r="CB15" s="1079"/>
      <c r="CC15" s="1079"/>
      <c r="CD15" s="1079"/>
      <c r="CE15" s="1079"/>
      <c r="CF15" s="1079"/>
      <c r="CG15" s="1079"/>
      <c r="CH15" s="1079"/>
      <c r="CI15" s="1079"/>
      <c r="CJ15" s="1079"/>
      <c r="CK15" s="1079"/>
      <c r="CL15" s="1079"/>
      <c r="CM15" s="1079"/>
      <c r="CN15" s="1079"/>
      <c r="CO15" s="1079"/>
      <c r="CP15" s="1079"/>
      <c r="CQ15" s="1079"/>
      <c r="CR15" s="1079"/>
      <c r="CS15" s="1079"/>
      <c r="CT15" s="1079"/>
      <c r="CU15" s="1079"/>
      <c r="CV15" s="1079"/>
      <c r="CW15" s="1079"/>
      <c r="CX15" s="1079"/>
      <c r="CY15" s="1079"/>
      <c r="CZ15" s="1079"/>
      <c r="DA15" s="1079"/>
      <c r="DB15" s="1079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79" t="s">
        <v>748</v>
      </c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  <c r="BX16" s="1079"/>
      <c r="BY16" s="1079"/>
      <c r="BZ16" s="1079"/>
      <c r="CA16" s="1079"/>
      <c r="CB16" s="1079"/>
      <c r="CC16" s="1079"/>
      <c r="CD16" s="1079"/>
      <c r="CE16" s="1079"/>
      <c r="CF16" s="1079"/>
      <c r="CG16" s="1079"/>
      <c r="CH16" s="1079"/>
      <c r="CI16" s="1079"/>
      <c r="CJ16" s="1079"/>
      <c r="CK16" s="1079"/>
      <c r="CL16" s="1079"/>
      <c r="CM16" s="1079"/>
      <c r="CN16" s="1079"/>
      <c r="CO16" s="1079"/>
      <c r="CP16" s="1079"/>
      <c r="CQ16" s="1079"/>
      <c r="CR16" s="1079"/>
      <c r="CS16" s="1079"/>
      <c r="CT16" s="1079"/>
      <c r="CU16" s="1079"/>
      <c r="CV16" s="1079"/>
      <c r="CW16" s="1079"/>
      <c r="CX16" s="1079"/>
      <c r="CY16" s="1079"/>
      <c r="CZ16" s="1079"/>
      <c r="DA16" s="1079"/>
      <c r="DB16" s="1079"/>
    </row>
    <row r="17" spans="1:112" ht="18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87">
        <v>843</v>
      </c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087"/>
      <c r="BL17" s="1087"/>
      <c r="BM17" s="1087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  <c r="BX17" s="1087"/>
      <c r="BY17" s="1087"/>
      <c r="BZ17" s="1087"/>
      <c r="CA17" s="1087"/>
      <c r="CB17" s="1087"/>
      <c r="CC17" s="1087"/>
      <c r="CD17" s="1087"/>
      <c r="CE17" s="1087"/>
      <c r="CF17" s="1087"/>
      <c r="CG17" s="1087"/>
      <c r="CH17" s="1087"/>
      <c r="CI17" s="1087"/>
      <c r="CJ17" s="1087"/>
      <c r="CK17" s="1087"/>
      <c r="CL17" s="1087"/>
      <c r="CM17" s="1087"/>
      <c r="CN17" s="1087"/>
      <c r="CO17" s="1087"/>
      <c r="CP17" s="1087"/>
      <c r="CQ17" s="1087"/>
      <c r="CR17" s="1087"/>
      <c r="CS17" s="1087"/>
      <c r="CT17" s="1087"/>
      <c r="CU17" s="1087"/>
      <c r="CV17" s="1087"/>
      <c r="CW17" s="1087"/>
      <c r="CX17" s="1087"/>
      <c r="CY17" s="1087"/>
      <c r="CZ17" s="1087"/>
      <c r="DA17" s="1087"/>
      <c r="DB17" s="1087"/>
    </row>
    <row r="18" spans="1:112" ht="9.65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88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088"/>
      <c r="BL18" s="1088"/>
      <c r="BM18" s="1088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  <c r="BX18" s="1088"/>
      <c r="BY18" s="1088"/>
      <c r="BZ18" s="1088"/>
      <c r="CA18" s="1088"/>
      <c r="CB18" s="1088"/>
      <c r="CC18" s="1088"/>
      <c r="CD18" s="1088"/>
      <c r="CE18" s="1088"/>
      <c r="CF18" s="1088"/>
      <c r="CG18" s="1088"/>
      <c r="CH18" s="1088"/>
      <c r="CI18" s="1088"/>
      <c r="CJ18" s="1088"/>
      <c r="CK18" s="1088"/>
      <c r="CL18" s="1088"/>
      <c r="CM18" s="1088"/>
      <c r="CN18" s="1088"/>
      <c r="CO18" s="1088"/>
      <c r="CP18" s="1088"/>
      <c r="CQ18" s="1088"/>
      <c r="CR18" s="1088"/>
      <c r="CS18" s="1088"/>
      <c r="CT18" s="1088"/>
      <c r="CU18" s="1088"/>
      <c r="CV18" s="1088"/>
      <c r="CW18" s="1088"/>
      <c r="CX18" s="1088"/>
      <c r="CY18" s="1088"/>
      <c r="CZ18" s="1088"/>
      <c r="DA18" s="1088"/>
      <c r="DB18" s="1088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88"/>
      <c r="BA19" s="1088"/>
      <c r="BB19" s="1088"/>
      <c r="BC19" s="1088"/>
      <c r="BD19" s="1088"/>
      <c r="BE19" s="1088"/>
      <c r="BF19" s="1088"/>
      <c r="BG19" s="1088"/>
      <c r="BH19" s="1088"/>
      <c r="BI19" s="1088"/>
      <c r="BJ19" s="1088"/>
      <c r="BK19" s="1088"/>
      <c r="BL19" s="1088"/>
      <c r="BM19" s="1088"/>
      <c r="BN19" s="1088"/>
      <c r="BO19" s="1088"/>
      <c r="BP19" s="1088"/>
      <c r="BQ19" s="1088"/>
      <c r="BR19" s="1088"/>
      <c r="BS19" s="1088"/>
      <c r="BT19" s="1088"/>
      <c r="BU19" s="1088"/>
      <c r="BV19" s="1088"/>
      <c r="BW19" s="1088"/>
      <c r="BX19" s="1088"/>
      <c r="BY19" s="1088"/>
      <c r="BZ19" s="1088"/>
      <c r="CA19" s="1088"/>
      <c r="CB19" s="1088"/>
      <c r="CC19" s="1088"/>
      <c r="CD19" s="1088"/>
      <c r="CE19" s="1088"/>
      <c r="CF19" s="1088"/>
      <c r="CG19" s="1088"/>
      <c r="CH19" s="1088"/>
      <c r="CI19" s="1088"/>
      <c r="CJ19" s="1088"/>
      <c r="CK19" s="1088"/>
      <c r="CL19" s="1088"/>
      <c r="CM19" s="1088"/>
      <c r="CN19" s="1088"/>
      <c r="CO19" s="1088"/>
      <c r="CP19" s="1088"/>
      <c r="CQ19" s="1088"/>
      <c r="CR19" s="1088"/>
      <c r="CS19" s="1088"/>
      <c r="CT19" s="1088"/>
      <c r="CU19" s="1088"/>
      <c r="CV19" s="1088"/>
      <c r="CW19" s="1088"/>
      <c r="CX19" s="1088"/>
      <c r="CY19" s="1088"/>
      <c r="CZ19" s="1088"/>
      <c r="DA19" s="1088"/>
      <c r="DB19" s="1088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88"/>
      <c r="BA20" s="1088"/>
      <c r="BB20" s="1088"/>
      <c r="BC20" s="1088"/>
      <c r="BD20" s="1088"/>
      <c r="BE20" s="1088"/>
      <c r="BF20" s="1088"/>
      <c r="BG20" s="1088"/>
      <c r="BH20" s="1088"/>
      <c r="BI20" s="1088"/>
      <c r="BJ20" s="1088"/>
      <c r="BK20" s="1088"/>
      <c r="BL20" s="1088"/>
      <c r="BM20" s="1088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  <c r="BX20" s="1088"/>
      <c r="BY20" s="1088"/>
      <c r="BZ20" s="1088"/>
      <c r="CA20" s="1088"/>
      <c r="CB20" s="1088"/>
      <c r="CC20" s="1088"/>
      <c r="CD20" s="1088"/>
      <c r="CE20" s="1088"/>
      <c r="CF20" s="1088"/>
      <c r="CG20" s="1088"/>
      <c r="CH20" s="1088"/>
      <c r="CI20" s="1088"/>
      <c r="CJ20" s="1088"/>
      <c r="CK20" s="1088"/>
      <c r="CL20" s="1088"/>
      <c r="CM20" s="1088"/>
      <c r="CN20" s="1088"/>
      <c r="CO20" s="1088"/>
      <c r="CP20" s="1088"/>
      <c r="CQ20" s="1088"/>
      <c r="CR20" s="1088"/>
      <c r="CS20" s="1088"/>
      <c r="CT20" s="1088"/>
      <c r="CU20" s="1088"/>
      <c r="CV20" s="1088"/>
      <c r="CW20" s="1088"/>
      <c r="CX20" s="1088"/>
      <c r="CY20" s="1088"/>
      <c r="CZ20" s="1088"/>
      <c r="DA20" s="1088"/>
      <c r="DB20" s="1088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58" t="s">
        <v>417</v>
      </c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758"/>
      <c r="BU21" s="758"/>
      <c r="BV21" s="758"/>
      <c r="BW21" s="758"/>
      <c r="BX21" s="758"/>
      <c r="BY21" s="758"/>
      <c r="BZ21" s="758"/>
      <c r="CA21" s="758"/>
      <c r="CB21" s="758"/>
      <c r="CC21" s="758"/>
      <c r="CD21" s="758"/>
      <c r="CE21" s="758"/>
      <c r="CF21" s="758"/>
      <c r="CG21" s="758"/>
      <c r="CH21" s="758"/>
      <c r="CI21" s="758"/>
      <c r="CJ21" s="758"/>
      <c r="CK21" s="758"/>
      <c r="CL21" s="758"/>
      <c r="CM21" s="758"/>
      <c r="CN21" s="758"/>
      <c r="CO21" s="758"/>
      <c r="CP21" s="758"/>
      <c r="CQ21" s="758"/>
      <c r="CR21" s="758"/>
      <c r="CS21" s="758"/>
      <c r="CT21" s="758"/>
      <c r="CU21" s="758"/>
      <c r="CV21" s="758"/>
      <c r="CW21" s="758"/>
      <c r="CX21" s="758"/>
      <c r="CY21" s="758"/>
      <c r="CZ21" s="758"/>
      <c r="DA21" s="758"/>
      <c r="DB21" s="758"/>
    </row>
    <row r="22" spans="1:112" ht="18" customHeight="1">
      <c r="A22" s="19" t="s">
        <v>419</v>
      </c>
      <c r="B22" s="23"/>
      <c r="AZ22" s="1079" t="s">
        <v>65</v>
      </c>
      <c r="BA22" s="1079"/>
      <c r="BB22" s="1079"/>
      <c r="BC22" s="1079"/>
      <c r="BD22" s="1079"/>
      <c r="BE22" s="1079"/>
      <c r="BF22" s="1079"/>
      <c r="BG22" s="1079"/>
      <c r="BH22" s="1079"/>
      <c r="BI22" s="1079"/>
      <c r="BJ22" s="1079"/>
      <c r="BK22" s="1079"/>
      <c r="BL22" s="1079"/>
      <c r="BM22" s="1079"/>
      <c r="BN22" s="1079"/>
      <c r="BO22" s="1079"/>
      <c r="BP22" s="1079"/>
      <c r="BQ22" s="1079"/>
      <c r="BR22" s="1079"/>
      <c r="BS22" s="1079"/>
      <c r="BT22" s="1079"/>
      <c r="BU22" s="1079"/>
      <c r="BV22" s="1079"/>
      <c r="BW22" s="1079"/>
      <c r="BX22" s="1079"/>
      <c r="BY22" s="1079"/>
      <c r="BZ22" s="1079"/>
      <c r="CA22" s="1079"/>
      <c r="CB22" s="1079"/>
      <c r="CC22" s="1079"/>
      <c r="CD22" s="1079"/>
      <c r="CE22" s="1079"/>
      <c r="CF22" s="1079"/>
      <c r="CG22" s="1079"/>
      <c r="CH22" s="1079"/>
      <c r="CI22" s="1079"/>
      <c r="CJ22" s="1079"/>
      <c r="CK22" s="1079"/>
      <c r="CL22" s="1079"/>
      <c r="CM22" s="1079"/>
      <c r="CN22" s="1079"/>
      <c r="CO22" s="1079"/>
      <c r="CP22" s="1079"/>
      <c r="CQ22" s="1079"/>
      <c r="CR22" s="1079"/>
      <c r="CS22" s="1079"/>
      <c r="CT22" s="1079"/>
      <c r="CU22" s="1079"/>
      <c r="CV22" s="1079"/>
      <c r="CW22" s="1079"/>
      <c r="CX22" s="1079"/>
      <c r="CY22" s="1079"/>
      <c r="CZ22" s="1079"/>
      <c r="DA22" s="1079"/>
      <c r="DB22" s="1079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79" t="s">
        <v>417</v>
      </c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  <c r="BX23" s="1079"/>
      <c r="BY23" s="1079"/>
      <c r="BZ23" s="1079"/>
      <c r="CA23" s="1079"/>
      <c r="CB23" s="1079"/>
      <c r="CC23" s="1079"/>
      <c r="CD23" s="1079"/>
      <c r="CE23" s="1079"/>
      <c r="CF23" s="1079"/>
      <c r="CG23" s="1079"/>
      <c r="CH23" s="1079"/>
      <c r="CI23" s="1079"/>
      <c r="CJ23" s="1079"/>
      <c r="CK23" s="1079"/>
      <c r="CL23" s="1079"/>
      <c r="CM23" s="1079"/>
      <c r="CN23" s="1079"/>
      <c r="CO23" s="1079"/>
      <c r="CP23" s="1079"/>
      <c r="CQ23" s="1079"/>
      <c r="CR23" s="1079"/>
      <c r="CS23" s="1079"/>
      <c r="CT23" s="1079"/>
      <c r="CU23" s="1079"/>
      <c r="CV23" s="1079"/>
      <c r="CW23" s="1079"/>
      <c r="CX23" s="1079"/>
      <c r="CY23" s="1079"/>
      <c r="CZ23" s="1079"/>
      <c r="DA23" s="1079"/>
      <c r="DB23" s="1079"/>
    </row>
    <row r="24" spans="1:112" ht="18" customHeight="1">
      <c r="A24" s="19" t="s">
        <v>416</v>
      </c>
      <c r="B24" s="23"/>
      <c r="AZ24" s="1079" t="s">
        <v>65</v>
      </c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  <c r="BX24" s="1079"/>
      <c r="BY24" s="1079"/>
      <c r="BZ24" s="1079"/>
      <c r="CA24" s="1079"/>
      <c r="CB24" s="1079"/>
      <c r="CC24" s="1079"/>
      <c r="CD24" s="1079"/>
      <c r="CE24" s="1079"/>
      <c r="CF24" s="1079"/>
      <c r="CG24" s="1079"/>
      <c r="CH24" s="1079"/>
      <c r="CI24" s="1079"/>
      <c r="CJ24" s="1079"/>
      <c r="CK24" s="1079"/>
      <c r="CL24" s="1079"/>
      <c r="CM24" s="1079"/>
      <c r="CN24" s="1079"/>
      <c r="CO24" s="1079"/>
      <c r="CP24" s="1079"/>
      <c r="CQ24" s="1079"/>
      <c r="CR24" s="1079"/>
      <c r="CS24" s="1079"/>
      <c r="CT24" s="1079"/>
      <c r="CU24" s="1079"/>
      <c r="CV24" s="1079"/>
      <c r="CW24" s="1079"/>
      <c r="CX24" s="1079"/>
      <c r="CY24" s="1079"/>
      <c r="CZ24" s="1079"/>
      <c r="DA24" s="1079"/>
      <c r="DB24" s="1079"/>
    </row>
    <row r="25" spans="1:112" ht="15" customHeight="1">
      <c r="DH25" s="155"/>
    </row>
    <row r="26" spans="1:112" ht="25.15" customHeight="1">
      <c r="A26" s="30" t="s">
        <v>222</v>
      </c>
      <c r="R26" s="758" t="s">
        <v>415</v>
      </c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758"/>
      <c r="BA26" s="758"/>
      <c r="BB26" s="758"/>
      <c r="BC26" s="758"/>
      <c r="BD26" s="758"/>
      <c r="BE26" s="758"/>
      <c r="BF26" s="758"/>
      <c r="BG26" s="758"/>
      <c r="BH26" s="758"/>
      <c r="BI26" s="758"/>
      <c r="BJ26" s="758"/>
      <c r="BK26" s="758"/>
      <c r="BL26" s="758"/>
      <c r="BM26" s="758"/>
      <c r="BN26" s="758"/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</row>
    <row r="27" spans="1:112" ht="7.5" customHeight="1"/>
    <row r="28" spans="1:112" customFormat="1" ht="40.5" customHeight="1">
      <c r="A28" s="766" t="s">
        <v>721</v>
      </c>
      <c r="B28" s="767"/>
      <c r="C28" s="767"/>
      <c r="D28" s="767"/>
      <c r="E28" s="767"/>
      <c r="F28" s="767"/>
      <c r="G28" s="767"/>
      <c r="H28" s="767"/>
      <c r="I28" s="767"/>
      <c r="J28" s="767"/>
      <c r="K28" s="767"/>
      <c r="L28" s="767"/>
      <c r="M28" s="767"/>
      <c r="N28" s="767"/>
      <c r="O28" s="767"/>
      <c r="P28" s="767"/>
      <c r="Q28" s="767"/>
      <c r="R28" s="767"/>
      <c r="S28" s="767"/>
      <c r="T28" s="767"/>
      <c r="U28" s="767"/>
      <c r="V28" s="767"/>
      <c r="W28" s="767"/>
      <c r="X28" s="767"/>
      <c r="Y28" s="767"/>
      <c r="Z28" s="767"/>
      <c r="AA28" s="767"/>
      <c r="AB28" s="767"/>
      <c r="AC28" s="767"/>
      <c r="AD28" s="767"/>
      <c r="AE28" s="767"/>
      <c r="AF28" s="767"/>
      <c r="AG28" s="767"/>
      <c r="AH28" s="767"/>
      <c r="AI28" s="767"/>
      <c r="AJ28" s="767"/>
      <c r="AK28" s="767"/>
      <c r="AL28" s="767"/>
      <c r="AM28" s="767"/>
      <c r="AN28" s="767"/>
      <c r="AO28" s="767"/>
      <c r="AP28" s="767"/>
      <c r="AQ28" s="767"/>
      <c r="AR28" s="767"/>
      <c r="AS28" s="767"/>
      <c r="AT28" s="767"/>
      <c r="AU28" s="767"/>
      <c r="AV28" s="767"/>
      <c r="AW28" s="76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0"/>
      <c r="BJ28" s="760"/>
      <c r="BK28" s="760"/>
      <c r="BL28" s="760"/>
      <c r="BM28" s="760"/>
      <c r="BN28" s="760"/>
      <c r="BO28" s="760"/>
      <c r="BP28" s="760"/>
      <c r="BQ28" s="760"/>
      <c r="BR28" s="760"/>
      <c r="BS28" s="760"/>
      <c r="BT28" s="760"/>
      <c r="BU28" s="760"/>
      <c r="BV28" s="760"/>
      <c r="BW28" s="760"/>
      <c r="BX28" s="760"/>
      <c r="BY28" s="760"/>
      <c r="BZ28" s="760"/>
      <c r="CA28" s="760"/>
      <c r="CB28" s="760"/>
      <c r="CC28" s="760"/>
      <c r="CD28" s="760"/>
      <c r="CE28" s="760"/>
      <c r="CF28" s="760"/>
      <c r="CG28" s="23"/>
      <c r="CH28" s="23"/>
      <c r="CI28" s="23"/>
      <c r="CJ28" s="758" t="str">
        <f>ПОДПИСИ!E6</f>
        <v>Д.М. Чечин</v>
      </c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36" t="s">
        <v>11</v>
      </c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21"/>
      <c r="CH29" s="21"/>
      <c r="CI29" s="21"/>
      <c r="CJ29" s="770" t="s">
        <v>50</v>
      </c>
      <c r="CK29" s="770"/>
      <c r="CL29" s="770"/>
      <c r="CM29" s="770"/>
      <c r="CN29" s="770"/>
      <c r="CO29" s="770"/>
      <c r="CP29" s="770"/>
      <c r="CQ29" s="770"/>
      <c r="CR29" s="770"/>
      <c r="CS29" s="770"/>
      <c r="CT29" s="770"/>
      <c r="CU29" s="770"/>
      <c r="CV29" s="770"/>
      <c r="CW29" s="770"/>
      <c r="CX29" s="770"/>
      <c r="CY29" s="770"/>
      <c r="CZ29" s="770"/>
      <c r="DA29" s="770"/>
      <c r="DB29" s="770"/>
      <c r="DH29" s="158"/>
    </row>
    <row r="30" spans="1:112" customFormat="1" ht="45" customHeight="1">
      <c r="A30" s="766" t="s">
        <v>715</v>
      </c>
      <c r="B30" s="767"/>
      <c r="C30" s="767"/>
      <c r="D30" s="767"/>
      <c r="E30" s="767"/>
      <c r="F30" s="767"/>
      <c r="G30" s="767"/>
      <c r="H30" s="767"/>
      <c r="I30" s="767"/>
      <c r="J30" s="767"/>
      <c r="K30" s="767"/>
      <c r="L30" s="767"/>
      <c r="M30" s="767"/>
      <c r="N30" s="767"/>
      <c r="O30" s="767"/>
      <c r="P30" s="767"/>
      <c r="Q30" s="767"/>
      <c r="R30" s="767"/>
      <c r="S30" s="767"/>
      <c r="T30" s="767"/>
      <c r="U30" s="767"/>
      <c r="V30" s="767"/>
      <c r="W30" s="767"/>
      <c r="X30" s="767"/>
      <c r="Y30" s="767"/>
      <c r="Z30" s="767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767"/>
      <c r="AU30" s="767"/>
      <c r="AV30" s="767"/>
      <c r="AW30" s="767"/>
      <c r="AX30" s="76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0"/>
      <c r="BJ30" s="760"/>
      <c r="BK30" s="760"/>
      <c r="BL30" s="760"/>
      <c r="BM30" s="760"/>
      <c r="BN30" s="760"/>
      <c r="BO30" s="760"/>
      <c r="BP30" s="760"/>
      <c r="BQ30" s="760"/>
      <c r="BR30" s="760"/>
      <c r="BS30" s="760"/>
      <c r="BT30" s="760"/>
      <c r="BU30" s="760"/>
      <c r="BV30" s="760"/>
      <c r="BW30" s="760"/>
      <c r="BX30" s="760"/>
      <c r="BY30" s="760"/>
      <c r="BZ30" s="760"/>
      <c r="CA30" s="760"/>
      <c r="CB30" s="760"/>
      <c r="CC30" s="760"/>
      <c r="CD30" s="760"/>
      <c r="CE30" s="760"/>
      <c r="CF30" s="760"/>
      <c r="CG30" s="19"/>
      <c r="CH30" s="19"/>
      <c r="CI30" s="19"/>
      <c r="CJ30" s="758" t="str">
        <f>ПОДПИСИ!E12</f>
        <v>А.Р. Махмадов</v>
      </c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36" t="s">
        <v>11</v>
      </c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21"/>
      <c r="CH31" s="21"/>
      <c r="CI31" s="21"/>
      <c r="CJ31" s="770" t="s">
        <v>50</v>
      </c>
      <c r="CK31" s="770"/>
      <c r="CL31" s="770"/>
      <c r="CM31" s="770"/>
      <c r="CN31" s="770"/>
      <c r="CO31" s="770"/>
      <c r="CP31" s="770"/>
      <c r="CQ31" s="770"/>
      <c r="CR31" s="770"/>
      <c r="CS31" s="770"/>
      <c r="CT31" s="770"/>
      <c r="CU31" s="770"/>
      <c r="CV31" s="770"/>
      <c r="CW31" s="770"/>
      <c r="CX31" s="770"/>
      <c r="CY31" s="770"/>
      <c r="CZ31" s="770"/>
      <c r="DA31" s="770"/>
      <c r="DB31" s="770"/>
      <c r="DH31" s="155"/>
    </row>
    <row r="33" spans="112:112" ht="14">
      <c r="DH33" s="155"/>
    </row>
    <row r="36" spans="112:112" ht="14">
      <c r="DH36" s="159"/>
    </row>
    <row r="37" spans="112:112" ht="14">
      <c r="DH37" s="155"/>
    </row>
    <row r="38" spans="112:112" ht="14">
      <c r="DH38" s="155"/>
    </row>
    <row r="41" spans="112:112" ht="14">
      <c r="DH41" s="155"/>
    </row>
    <row r="42" spans="112:112" ht="14">
      <c r="DH42" s="155"/>
    </row>
    <row r="44" spans="112:112" ht="14">
      <c r="DH44" s="155"/>
    </row>
    <row r="45" spans="112:112" ht="14">
      <c r="DH45" s="155"/>
    </row>
    <row r="46" spans="112:112" ht="14">
      <c r="DH46" s="155"/>
    </row>
    <row r="47" spans="112:112" ht="14">
      <c r="DH47" s="155"/>
    </row>
    <row r="48" spans="112:112" ht="14">
      <c r="DH48" s="155"/>
    </row>
    <row r="50" spans="112:112" ht="14">
      <c r="DH50" s="155"/>
    </row>
    <row r="51" spans="112:112" ht="14">
      <c r="DH51" s="160"/>
    </row>
    <row r="52" spans="112:112" ht="14">
      <c r="DH52" s="155"/>
    </row>
    <row r="53" spans="112:112" ht="14">
      <c r="DH53" s="161"/>
    </row>
    <row r="54" spans="112:112" ht="14">
      <c r="DH54" s="155"/>
    </row>
    <row r="55" spans="112:112" ht="14">
      <c r="DH55" s="162"/>
    </row>
    <row r="56" spans="112:112" ht="14">
      <c r="DH56" s="155"/>
    </row>
    <row r="57" spans="112:112" ht="14">
      <c r="DH57" s="161"/>
    </row>
    <row r="58" spans="112:112" ht="14">
      <c r="DH58" s="155"/>
    </row>
    <row r="59" spans="112:112" ht="14">
      <c r="DH59" s="160"/>
    </row>
    <row r="60" spans="112:112" ht="14">
      <c r="DH60" s="155"/>
    </row>
    <row r="61" spans="112:112" ht="14">
      <c r="DH61" s="160"/>
    </row>
    <row r="62" spans="112:112" ht="14">
      <c r="DH62" s="155"/>
    </row>
    <row r="64" spans="112:112" ht="14">
      <c r="DH64" s="155"/>
    </row>
    <row r="66" spans="112:112" ht="14">
      <c r="DH66" s="155"/>
    </row>
    <row r="67" spans="112:112" ht="14">
      <c r="DH67" s="155"/>
    </row>
    <row r="69" spans="112:112" ht="14">
      <c r="DH69" s="155"/>
    </row>
    <row r="70" spans="112:112" ht="14">
      <c r="DH70" s="155"/>
    </row>
    <row r="71" spans="112:112" ht="14">
      <c r="DH71" s="155"/>
    </row>
    <row r="72" spans="112:112" ht="14">
      <c r="DH72" s="155"/>
    </row>
    <row r="73" spans="112:112" ht="14">
      <c r="DH73" s="155"/>
    </row>
    <row r="74" spans="112:112" ht="14">
      <c r="DH74" s="155"/>
    </row>
    <row r="75" spans="112:112" ht="14">
      <c r="DH75" s="155"/>
    </row>
    <row r="76" spans="112:112" ht="14">
      <c r="DH76" s="155"/>
    </row>
    <row r="77" spans="112:112" ht="14">
      <c r="DH77" s="155"/>
    </row>
    <row r="78" spans="112:112" ht="14">
      <c r="DH78" s="155"/>
    </row>
    <row r="79" spans="112:112" ht="14">
      <c r="DH79" s="155"/>
    </row>
    <row r="80" spans="112:112" ht="14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65" priority="4" operator="equal">
      <formula>0</formula>
    </cfRule>
  </conditionalFormatting>
  <conditionalFormatting sqref="DH2:DH7">
    <cfRule type="cellIs" dxfId="64" priority="2" operator="equal">
      <formula>0</formula>
    </cfRule>
  </conditionalFormatting>
  <conditionalFormatting sqref="DH9">
    <cfRule type="cellIs" dxfId="6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sqref="A1:C1"/>
    </sheetView>
  </sheetViews>
  <sheetFormatPr defaultColWidth="9.1796875" defaultRowHeight="14.5" outlineLevelRow="1"/>
  <cols>
    <col min="1" max="83" width="0.81640625" style="19" customWidth="1"/>
    <col min="84" max="84" width="5.453125" style="19" customWidth="1"/>
    <col min="85" max="106" width="0.81640625" style="19" customWidth="1"/>
    <col min="107" max="107" width="9.1796875" style="19"/>
    <col min="108" max="110" width="15.7265625" style="19" customWidth="1"/>
    <col min="111" max="111" width="9.1796875" style="19"/>
    <col min="112" max="112" width="55.7265625" style="158" customWidth="1"/>
    <col min="113" max="16384" width="9.1796875" style="19"/>
  </cols>
  <sheetData>
    <row r="1" spans="1:112" ht="15" customHeight="1" outlineLevel="1">
      <c r="A1" s="771"/>
      <c r="B1" s="771"/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771"/>
      <c r="W1" s="771"/>
      <c r="X1" s="771"/>
      <c r="Y1" s="771"/>
      <c r="Z1" s="771"/>
      <c r="AA1" s="771"/>
      <c r="AB1" s="771"/>
      <c r="AC1" s="771"/>
      <c r="AD1" s="771"/>
      <c r="AE1" s="771"/>
      <c r="AF1" s="771"/>
      <c r="AG1" s="771"/>
      <c r="AH1" s="771"/>
      <c r="AI1" s="771"/>
      <c r="AJ1" s="771"/>
      <c r="AK1" s="771"/>
      <c r="AL1" s="771"/>
      <c r="AM1" s="771"/>
      <c r="AN1" s="771"/>
      <c r="BH1" s="758" t="str">
        <f>ФОРМА!G2</f>
        <v>Санкт-Петербург</v>
      </c>
      <c r="BI1" s="758"/>
      <c r="BJ1" s="758"/>
      <c r="BK1" s="758"/>
      <c r="BL1" s="758"/>
      <c r="BM1" s="758"/>
      <c r="BN1" s="758"/>
      <c r="BO1" s="758"/>
      <c r="BP1" s="758"/>
      <c r="BQ1" s="758"/>
      <c r="BR1" s="758"/>
      <c r="BS1" s="758"/>
      <c r="BT1" s="758"/>
      <c r="BU1" s="758"/>
      <c r="BV1" s="758"/>
      <c r="BW1" s="758"/>
      <c r="BX1" s="758"/>
      <c r="BY1" s="758"/>
      <c r="BZ1" s="758"/>
      <c r="CA1" s="758"/>
      <c r="CB1" s="758"/>
      <c r="CC1" s="758"/>
      <c r="CD1" s="758"/>
      <c r="CE1" s="758"/>
      <c r="CF1" s="758"/>
      <c r="CG1" s="758"/>
      <c r="CH1" s="758"/>
      <c r="CI1" s="758"/>
      <c r="CJ1" s="758"/>
      <c r="CK1" s="758"/>
      <c r="CL1" s="758"/>
      <c r="CM1" s="758"/>
      <c r="CN1" s="758"/>
      <c r="CO1" s="758"/>
      <c r="CP1" s="758"/>
      <c r="CQ1" s="758"/>
      <c r="CR1" s="758"/>
      <c r="CS1" s="758"/>
      <c r="CT1" s="758"/>
      <c r="CU1" s="758"/>
      <c r="CV1" s="758"/>
      <c r="CW1" s="758"/>
      <c r="CX1" s="758"/>
      <c r="CY1" s="758"/>
      <c r="CZ1" s="758"/>
      <c r="DA1" s="758"/>
      <c r="DB1" s="758"/>
      <c r="DC1"/>
      <c r="DD1"/>
      <c r="DE1"/>
      <c r="DF1"/>
      <c r="DH1" s="155"/>
    </row>
    <row r="2" spans="1:112" s="50" customFormat="1" ht="15" customHeight="1" outlineLevel="1">
      <c r="A2" s="770"/>
      <c r="B2" s="770"/>
      <c r="C2" s="770"/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  <c r="AF2" s="770"/>
      <c r="AG2" s="770"/>
      <c r="AH2" s="770"/>
      <c r="AI2" s="770"/>
      <c r="AJ2" s="770"/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0"/>
      <c r="AV2" s="21"/>
      <c r="AW2" s="21"/>
      <c r="AX2" s="21"/>
      <c r="AY2" s="21"/>
      <c r="AZ2" s="21"/>
      <c r="BA2" s="21"/>
      <c r="BB2" s="21"/>
      <c r="BC2" s="770" t="s">
        <v>0</v>
      </c>
      <c r="BD2" s="770"/>
      <c r="BE2" s="770"/>
      <c r="BF2" s="770"/>
      <c r="BG2" s="770"/>
      <c r="BH2" s="770"/>
      <c r="BI2" s="770"/>
      <c r="BJ2" s="770"/>
      <c r="BK2" s="770"/>
      <c r="BL2" s="770"/>
      <c r="BM2" s="770"/>
      <c r="BN2" s="770"/>
      <c r="BO2" s="770"/>
      <c r="BP2" s="770"/>
      <c r="BQ2" s="770"/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770"/>
      <c r="DC2"/>
      <c r="DD2"/>
      <c r="DE2"/>
      <c r="DF2"/>
      <c r="DH2" s="144"/>
    </row>
    <row r="3" spans="1:112" ht="15" customHeight="1" outlineLevel="1">
      <c r="A3" s="758" t="str">
        <f>ФОРМА!B4</f>
        <v>ООО «БЭСК»</v>
      </c>
      <c r="B3" s="758"/>
      <c r="C3" s="758"/>
      <c r="D3" s="758"/>
      <c r="E3" s="758"/>
      <c r="F3" s="758"/>
      <c r="G3" s="758"/>
      <c r="H3" s="758"/>
      <c r="I3" s="758"/>
      <c r="J3" s="758"/>
      <c r="K3" s="758"/>
      <c r="L3" s="758"/>
      <c r="M3" s="758"/>
      <c r="N3" s="758"/>
      <c r="O3" s="758"/>
      <c r="P3" s="758"/>
      <c r="Q3" s="758"/>
      <c r="R3" s="758"/>
      <c r="S3" s="758"/>
      <c r="T3" s="758"/>
      <c r="U3" s="758"/>
      <c r="V3" s="758"/>
      <c r="W3" s="758"/>
      <c r="X3" s="758"/>
      <c r="Y3" s="758"/>
      <c r="Z3" s="758"/>
      <c r="AA3" s="758"/>
      <c r="AB3" s="758"/>
      <c r="AC3" s="758"/>
      <c r="AD3" s="758"/>
      <c r="AE3" s="758"/>
      <c r="AF3" s="758"/>
      <c r="AG3" s="758"/>
      <c r="AH3" s="758"/>
      <c r="AI3" s="758"/>
      <c r="AJ3" s="758"/>
      <c r="AK3" s="758"/>
      <c r="AL3" s="758"/>
      <c r="AM3" s="758"/>
      <c r="AN3" s="758"/>
      <c r="AO3" s="758"/>
      <c r="AP3" s="758"/>
      <c r="AQ3" s="758"/>
      <c r="AR3" s="758"/>
      <c r="AS3" s="758"/>
      <c r="AT3" s="758"/>
      <c r="AU3" s="758"/>
      <c r="BC3" s="772" t="str">
        <f>ФОРМА!B2</f>
        <v>ПАО "Россети Ленэнерго"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56" t="str">
        <f>BC3</f>
        <v>ПАО "Россети Ленэнерго"</v>
      </c>
    </row>
    <row r="4" spans="1:112" ht="15" customHeight="1" outlineLevel="1">
      <c r="A4" s="770" t="s">
        <v>44</v>
      </c>
      <c r="B4" s="770"/>
      <c r="C4" s="770"/>
      <c r="D4" s="770"/>
      <c r="E4" s="770"/>
      <c r="F4" s="770"/>
      <c r="G4" s="770"/>
      <c r="H4" s="770"/>
      <c r="I4" s="770"/>
      <c r="J4" s="770"/>
      <c r="K4" s="770"/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  <c r="AF4" s="770"/>
      <c r="AG4" s="770"/>
      <c r="AH4" s="770"/>
      <c r="AI4" s="770"/>
      <c r="AJ4" s="770"/>
      <c r="AK4" s="770"/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21"/>
      <c r="AW4" s="21"/>
      <c r="AX4" s="21"/>
      <c r="AY4" s="21"/>
      <c r="AZ4" s="21"/>
      <c r="BA4" s="21"/>
      <c r="BB4" s="21"/>
      <c r="BC4" s="770" t="s">
        <v>2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/>
    </row>
    <row r="5" spans="1:112" ht="112" outlineLevel="1">
      <c r="A5" s="773"/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21"/>
      <c r="AW5" s="21"/>
      <c r="AX5" s="21"/>
      <c r="AY5" s="21"/>
      <c r="AZ5" s="21"/>
      <c r="BA5" s="21"/>
      <c r="BB5" s="21"/>
      <c r="BC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0" t="s">
        <v>45</v>
      </c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21"/>
      <c r="AW6" s="21"/>
      <c r="AX6" s="21"/>
      <c r="AY6" s="21"/>
      <c r="AZ6" s="21"/>
      <c r="BA6" s="21"/>
      <c r="BB6" s="21"/>
      <c r="BC6" s="770" t="s">
        <v>38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/>
    </row>
    <row r="7" spans="1:112" ht="14" outlineLevel="1">
      <c r="A7" s="758"/>
      <c r="B7" s="758"/>
      <c r="C7" s="758"/>
      <c r="D7" s="758"/>
      <c r="E7" s="758"/>
      <c r="F7" s="758"/>
      <c r="G7" s="758"/>
      <c r="H7" s="758"/>
      <c r="I7" s="758"/>
      <c r="J7" s="758"/>
      <c r="K7" s="758"/>
      <c r="L7" s="758"/>
      <c r="M7" s="758"/>
      <c r="N7" s="758"/>
      <c r="O7" s="758"/>
      <c r="P7" s="758"/>
      <c r="Q7" s="758"/>
      <c r="R7" s="758"/>
      <c r="S7" s="758"/>
      <c r="T7" s="758"/>
      <c r="U7" s="758"/>
      <c r="V7" s="758"/>
      <c r="W7" s="758"/>
      <c r="X7" s="758"/>
      <c r="Y7" s="758"/>
      <c r="Z7" s="758"/>
      <c r="AA7" s="758"/>
      <c r="AB7" s="758"/>
      <c r="AC7" s="758"/>
      <c r="AD7" s="758"/>
      <c r="AE7" s="758"/>
      <c r="AF7" s="758"/>
      <c r="AG7" s="758"/>
      <c r="AH7" s="758"/>
      <c r="AI7" s="758"/>
      <c r="AJ7" s="758"/>
      <c r="AK7" s="758"/>
      <c r="AL7" s="758"/>
      <c r="AM7" s="758"/>
      <c r="AN7" s="758"/>
      <c r="AO7" s="758"/>
      <c r="AP7" s="758"/>
      <c r="AQ7" s="758"/>
      <c r="AR7" s="758"/>
      <c r="AS7" s="758"/>
      <c r="AT7" s="758"/>
      <c r="AU7" s="758"/>
      <c r="BC7" s="735">
        <f>ФОРМА!B13</f>
        <v>45625</v>
      </c>
      <c r="BD7" s="735"/>
      <c r="BE7" s="735"/>
      <c r="BF7" s="735"/>
      <c r="BG7" s="735"/>
      <c r="BH7" s="735"/>
      <c r="BI7" s="735"/>
      <c r="BJ7" s="735"/>
      <c r="BK7" s="735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35"/>
      <c r="BW7" s="735"/>
      <c r="BX7" s="735"/>
      <c r="BY7" s="735"/>
      <c r="BZ7" s="735"/>
      <c r="CA7" s="735"/>
      <c r="CB7" s="735"/>
      <c r="CC7" s="735"/>
      <c r="CD7" s="735"/>
      <c r="CE7" s="735"/>
      <c r="CF7" s="735"/>
      <c r="CG7" s="735"/>
      <c r="CH7" s="735"/>
      <c r="CI7" s="735"/>
      <c r="CJ7" s="735"/>
      <c r="CK7" s="735"/>
      <c r="CL7" s="735"/>
      <c r="CM7" s="735"/>
      <c r="CN7" s="735"/>
      <c r="CO7" s="735"/>
      <c r="CP7" s="735"/>
      <c r="CQ7" s="735"/>
      <c r="CR7" s="735"/>
      <c r="CS7" s="735"/>
      <c r="CT7" s="735"/>
      <c r="CU7" s="735"/>
      <c r="CV7" s="735"/>
      <c r="CW7" s="735"/>
      <c r="CX7" s="735"/>
      <c r="CY7" s="735"/>
      <c r="CZ7" s="735"/>
      <c r="DA7" s="735"/>
      <c r="DB7" s="735"/>
      <c r="DC7" s="51"/>
      <c r="DH7" s="156"/>
    </row>
    <row r="8" spans="1:112" ht="10.5" customHeight="1" outlineLevel="1">
      <c r="A8" s="770" t="s">
        <v>1</v>
      </c>
      <c r="B8" s="770"/>
      <c r="C8" s="770"/>
      <c r="D8" s="770"/>
      <c r="E8" s="770"/>
      <c r="F8" s="770"/>
      <c r="G8" s="770"/>
      <c r="H8" s="770"/>
      <c r="I8" s="770"/>
      <c r="J8" s="770"/>
      <c r="K8" s="770"/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  <c r="AF8" s="770"/>
      <c r="AG8" s="770"/>
      <c r="AH8" s="770"/>
      <c r="AI8" s="770"/>
      <c r="AJ8" s="770"/>
      <c r="AK8" s="770"/>
      <c r="AL8" s="770"/>
      <c r="AM8" s="770"/>
      <c r="AN8" s="770"/>
      <c r="AO8" s="770"/>
      <c r="AP8" s="770"/>
      <c r="AQ8" s="770"/>
      <c r="AR8" s="770"/>
      <c r="AS8" s="770"/>
      <c r="AT8" s="770"/>
      <c r="AU8" s="770"/>
      <c r="AV8" s="21"/>
      <c r="AW8" s="21"/>
      <c r="AX8" s="21"/>
      <c r="AY8" s="21"/>
      <c r="AZ8" s="21"/>
      <c r="BA8" s="21"/>
      <c r="BB8" s="21"/>
      <c r="BC8" s="770" t="s">
        <v>3</v>
      </c>
      <c r="BD8" s="770"/>
      <c r="BE8" s="770"/>
      <c r="BF8" s="770"/>
      <c r="BG8" s="770"/>
      <c r="BH8" s="770"/>
      <c r="BI8" s="770"/>
      <c r="BJ8" s="770"/>
      <c r="BK8" s="770"/>
      <c r="BL8" s="770"/>
      <c r="BM8" s="770"/>
      <c r="BN8" s="770"/>
      <c r="BO8" s="770"/>
      <c r="BP8" s="770"/>
      <c r="BQ8" s="770"/>
      <c r="BR8" s="770"/>
      <c r="BS8" s="770"/>
      <c r="BT8" s="770"/>
      <c r="BU8" s="770"/>
      <c r="BV8" s="770"/>
      <c r="BW8" s="770"/>
      <c r="BX8" s="770"/>
      <c r="BY8" s="770"/>
      <c r="BZ8" s="770"/>
      <c r="CA8" s="770"/>
      <c r="CB8" s="770"/>
      <c r="CC8" s="770"/>
      <c r="CD8" s="770"/>
      <c r="CE8" s="770"/>
      <c r="CF8" s="770"/>
      <c r="CG8" s="770"/>
      <c r="CH8" s="770"/>
      <c r="CI8" s="770"/>
      <c r="CJ8" s="770"/>
      <c r="CK8" s="770"/>
      <c r="CL8" s="770"/>
      <c r="CM8" s="770"/>
      <c r="CN8" s="770"/>
      <c r="CO8" s="770"/>
      <c r="CP8" s="770"/>
      <c r="CQ8" s="770"/>
      <c r="CR8" s="770"/>
      <c r="CS8" s="770"/>
      <c r="CT8" s="770"/>
      <c r="CU8" s="770"/>
      <c r="CV8" s="770"/>
      <c r="CW8" s="770"/>
      <c r="CX8" s="770"/>
      <c r="CY8" s="770"/>
      <c r="CZ8" s="770"/>
      <c r="DA8" s="770"/>
      <c r="DB8" s="770"/>
      <c r="DH8" s="154"/>
    </row>
    <row r="9" spans="1:112" ht="14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21" t="s">
        <v>500</v>
      </c>
      <c r="B10" s="822"/>
      <c r="C10" s="822"/>
      <c r="D10" s="822"/>
      <c r="E10" s="822"/>
      <c r="F10" s="822"/>
      <c r="G10" s="822"/>
      <c r="H10" s="822"/>
      <c r="I10" s="822"/>
      <c r="J10" s="822"/>
      <c r="K10" s="822"/>
      <c r="L10" s="822"/>
      <c r="M10" s="822"/>
      <c r="N10" s="822"/>
      <c r="O10" s="822"/>
      <c r="P10" s="822"/>
      <c r="Q10" s="822"/>
      <c r="R10" s="822"/>
      <c r="S10" s="822"/>
      <c r="T10" s="822"/>
      <c r="U10" s="822"/>
      <c r="V10" s="822"/>
      <c r="W10" s="822"/>
      <c r="X10" s="822"/>
      <c r="Y10" s="822"/>
      <c r="Z10" s="822"/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2"/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822"/>
      <c r="BS10" s="822"/>
      <c r="BT10" s="822"/>
      <c r="BU10" s="822"/>
      <c r="BV10" s="822"/>
      <c r="BW10" s="822"/>
      <c r="BX10" s="822"/>
      <c r="BY10" s="822"/>
      <c r="BZ10" s="822"/>
      <c r="CA10" s="822"/>
      <c r="CB10" s="822"/>
      <c r="CC10" s="822"/>
      <c r="CD10" s="822"/>
      <c r="CE10" s="822"/>
      <c r="CF10" s="822"/>
      <c r="CG10" s="822"/>
      <c r="CH10" s="822"/>
      <c r="CI10" s="822"/>
      <c r="CJ10" s="822"/>
      <c r="CK10" s="822"/>
      <c r="CL10" s="822"/>
      <c r="CM10" s="822"/>
      <c r="CN10" s="822"/>
      <c r="CO10" s="822"/>
      <c r="CP10" s="822"/>
      <c r="CQ10" s="822"/>
      <c r="CR10" s="822"/>
      <c r="CS10" s="822"/>
      <c r="CT10" s="822"/>
      <c r="CU10" s="822"/>
      <c r="CV10" s="822"/>
      <c r="CW10" s="822"/>
      <c r="CX10" s="822"/>
      <c r="CY10" s="822"/>
      <c r="CZ10" s="822"/>
      <c r="DA10" s="822"/>
      <c r="DB10" s="822"/>
    </row>
    <row r="11" spans="1:112" ht="18" customHeight="1">
      <c r="A11" s="1085" t="s">
        <v>428</v>
      </c>
      <c r="B11" s="1085"/>
      <c r="C11" s="1085"/>
      <c r="D11" s="1085"/>
      <c r="E11" s="1085"/>
      <c r="F11" s="1085"/>
      <c r="G11" s="1085"/>
      <c r="H11" s="1085"/>
      <c r="I11" s="1085"/>
      <c r="J11" s="1085"/>
      <c r="K11" s="1085"/>
      <c r="L11" s="1085"/>
      <c r="M11" s="1085"/>
      <c r="N11" s="1085"/>
      <c r="O11" s="1085"/>
      <c r="P11" s="1085"/>
      <c r="Q11" s="1085"/>
      <c r="R11" s="1085"/>
      <c r="S11" s="1085"/>
      <c r="T11" s="1085"/>
      <c r="U11" s="1085"/>
      <c r="V11" s="1085"/>
      <c r="W11" s="1085"/>
      <c r="X11" s="1085"/>
      <c r="Y11" s="1085"/>
      <c r="Z11" s="1085"/>
      <c r="AA11" s="1085"/>
      <c r="AB11" s="1085"/>
      <c r="AC11" s="1085"/>
      <c r="AD11" s="1085"/>
      <c r="AE11" s="1085"/>
      <c r="AF11" s="1085"/>
      <c r="AG11" s="1085"/>
      <c r="AH11" s="1085"/>
      <c r="AI11" s="1085"/>
      <c r="AJ11" s="1085"/>
      <c r="AK11" s="1085"/>
      <c r="AL11" s="1085"/>
      <c r="AM11" s="1085"/>
      <c r="AN11" s="1085"/>
      <c r="AO11" s="1085"/>
      <c r="AP11" s="1085"/>
      <c r="AQ11" s="1085"/>
      <c r="AR11" s="1085"/>
      <c r="AS11" s="1085"/>
      <c r="AT11" s="1085"/>
      <c r="AU11" s="1085"/>
      <c r="AV11" s="1085"/>
      <c r="AW11" s="1085"/>
      <c r="AX11" s="1085"/>
      <c r="AY11" s="1085"/>
      <c r="AZ11" s="1085"/>
      <c r="BA11" s="1085"/>
      <c r="BB11" s="1085"/>
      <c r="BC11" s="1085"/>
      <c r="BD11" s="1085"/>
      <c r="BE11" s="1085"/>
      <c r="BF11" s="1085"/>
      <c r="BG11" s="1085"/>
      <c r="BH11" s="1085"/>
      <c r="BI11" s="1085"/>
      <c r="BJ11" s="1085"/>
      <c r="BK11" s="1085"/>
      <c r="BL11" s="1085"/>
      <c r="BM11" s="1085"/>
      <c r="BN11" s="1085"/>
      <c r="BO11" s="1085"/>
      <c r="BP11" s="1085"/>
      <c r="BQ11" s="1085"/>
      <c r="BR11" s="1085"/>
      <c r="BS11" s="1085"/>
      <c r="BT11" s="1085"/>
      <c r="BU11" s="1085"/>
      <c r="BV11" s="1085"/>
      <c r="BW11" s="1085"/>
      <c r="BX11" s="1085"/>
      <c r="BY11" s="1085"/>
      <c r="BZ11" s="1085"/>
      <c r="CA11" s="1085"/>
      <c r="CB11" s="1085"/>
      <c r="CC11" s="1085"/>
      <c r="CD11" s="1085"/>
      <c r="CE11" s="1085"/>
      <c r="CF11" s="1085"/>
      <c r="CG11" s="1085"/>
      <c r="CH11" s="1085"/>
      <c r="CI11" s="1085"/>
      <c r="CJ11" s="1085"/>
      <c r="CK11" s="1085"/>
      <c r="CL11" s="1085"/>
      <c r="CM11" s="1085"/>
      <c r="CN11" s="1085"/>
      <c r="CO11" s="1085"/>
      <c r="CP11" s="1085"/>
      <c r="CQ11" s="1085"/>
      <c r="CR11" s="1085"/>
      <c r="CS11" s="1085"/>
      <c r="CT11" s="1085"/>
      <c r="CU11" s="1085"/>
      <c r="CV11" s="1085"/>
      <c r="CW11" s="1085"/>
      <c r="CX11" s="1085"/>
      <c r="CY11" s="1085"/>
      <c r="CZ11" s="1085"/>
      <c r="DA11" s="1085"/>
      <c r="DB11" s="1085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58" t="s">
        <v>332</v>
      </c>
      <c r="BA12" s="758"/>
      <c r="BB12" s="758"/>
      <c r="BC12" s="758"/>
      <c r="BD12" s="758"/>
      <c r="BE12" s="758"/>
      <c r="BF12" s="758"/>
      <c r="BG12" s="758"/>
      <c r="BH12" s="758"/>
      <c r="BI12" s="758"/>
      <c r="BJ12" s="758"/>
      <c r="BK12" s="758"/>
      <c r="BL12" s="758"/>
      <c r="BM12" s="758"/>
      <c r="BN12" s="758"/>
      <c r="BO12" s="758"/>
      <c r="BP12" s="758"/>
      <c r="BQ12" s="758"/>
      <c r="BR12" s="758"/>
      <c r="BS12" s="758"/>
      <c r="BT12" s="758"/>
      <c r="BU12" s="758"/>
      <c r="BV12" s="758"/>
      <c r="BW12" s="758"/>
      <c r="BX12" s="758"/>
      <c r="BY12" s="758"/>
      <c r="BZ12" s="758"/>
      <c r="CA12" s="758"/>
      <c r="CB12" s="758"/>
      <c r="CC12" s="758"/>
      <c r="CD12" s="758"/>
      <c r="CE12" s="758"/>
      <c r="CF12" s="758"/>
      <c r="CG12" s="758"/>
      <c r="CH12" s="758"/>
      <c r="CI12" s="758"/>
      <c r="CJ12" s="758"/>
      <c r="CK12" s="758"/>
      <c r="CL12" s="758"/>
      <c r="CM12" s="758"/>
      <c r="CN12" s="758"/>
      <c r="CO12" s="758"/>
      <c r="CP12" s="758"/>
      <c r="CQ12" s="758"/>
      <c r="CR12" s="758"/>
      <c r="CS12" s="758"/>
      <c r="CT12" s="758"/>
      <c r="CU12" s="758"/>
      <c r="CV12" s="758"/>
      <c r="CW12" s="758"/>
      <c r="CX12" s="758"/>
      <c r="CY12" s="758"/>
      <c r="CZ12" s="758"/>
      <c r="DA12" s="758"/>
      <c r="DB12" s="758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79" t="s">
        <v>615</v>
      </c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  <c r="BX13" s="1079"/>
      <c r="BY13" s="1079"/>
      <c r="BZ13" s="1079"/>
      <c r="CA13" s="1079"/>
      <c r="CB13" s="1079"/>
      <c r="CC13" s="1079"/>
      <c r="CD13" s="1079"/>
      <c r="CE13" s="1079"/>
      <c r="CF13" s="1079"/>
      <c r="CG13" s="1079"/>
      <c r="CH13" s="1079"/>
      <c r="CI13" s="1079"/>
      <c r="CJ13" s="1079"/>
      <c r="CK13" s="1079"/>
      <c r="CL13" s="1079"/>
      <c r="CM13" s="1079"/>
      <c r="CN13" s="1079"/>
      <c r="CO13" s="1079"/>
      <c r="CP13" s="1079"/>
      <c r="CQ13" s="1079"/>
      <c r="CR13" s="1079"/>
      <c r="CS13" s="1079"/>
      <c r="CT13" s="1079"/>
      <c r="CU13" s="1079"/>
      <c r="CV13" s="1079"/>
      <c r="CW13" s="1079"/>
      <c r="CX13" s="1079"/>
      <c r="CY13" s="1079"/>
      <c r="CZ13" s="1079"/>
      <c r="DA13" s="1079"/>
      <c r="DB13" s="1079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79" t="s">
        <v>65</v>
      </c>
      <c r="BA14" s="1079"/>
      <c r="BB14" s="1079"/>
      <c r="BC14" s="1079"/>
      <c r="BD14" s="1079"/>
      <c r="BE14" s="1079"/>
      <c r="BF14" s="1079"/>
      <c r="BG14" s="1079"/>
      <c r="BH14" s="1079"/>
      <c r="BI14" s="1079"/>
      <c r="BJ14" s="1079"/>
      <c r="BK14" s="1079"/>
      <c r="BL14" s="1079"/>
      <c r="BM14" s="1079"/>
      <c r="BN14" s="1079"/>
      <c r="BO14" s="1079"/>
      <c r="BP14" s="1079"/>
      <c r="BQ14" s="1079"/>
      <c r="BR14" s="1079"/>
      <c r="BS14" s="1079"/>
      <c r="BT14" s="1079"/>
      <c r="BU14" s="1079"/>
      <c r="BV14" s="1079"/>
      <c r="BW14" s="1079"/>
      <c r="BX14" s="1079"/>
      <c r="BY14" s="1079"/>
      <c r="BZ14" s="1079"/>
      <c r="CA14" s="1079"/>
      <c r="CB14" s="1079"/>
      <c r="CC14" s="1079"/>
      <c r="CD14" s="1079"/>
      <c r="CE14" s="1079"/>
      <c r="CF14" s="1079"/>
      <c r="CG14" s="1079"/>
      <c r="CH14" s="1079"/>
      <c r="CI14" s="1079"/>
      <c r="CJ14" s="1079"/>
      <c r="CK14" s="1079"/>
      <c r="CL14" s="1079"/>
      <c r="CM14" s="1079"/>
      <c r="CN14" s="1079"/>
      <c r="CO14" s="1079"/>
      <c r="CP14" s="1079"/>
      <c r="CQ14" s="1079"/>
      <c r="CR14" s="1079"/>
      <c r="CS14" s="1079"/>
      <c r="CT14" s="1079"/>
      <c r="CU14" s="1079"/>
      <c r="CV14" s="1079"/>
      <c r="CW14" s="1079"/>
      <c r="CX14" s="1079"/>
      <c r="CY14" s="1079"/>
      <c r="CZ14" s="1079"/>
      <c r="DA14" s="1079"/>
      <c r="DB14" s="1079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79" t="s">
        <v>733</v>
      </c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  <c r="BX15" s="1079"/>
      <c r="BY15" s="1079"/>
      <c r="BZ15" s="1079"/>
      <c r="CA15" s="1079"/>
      <c r="CB15" s="1079"/>
      <c r="CC15" s="1079"/>
      <c r="CD15" s="1079"/>
      <c r="CE15" s="1079"/>
      <c r="CF15" s="1079"/>
      <c r="CG15" s="1079"/>
      <c r="CH15" s="1079"/>
      <c r="CI15" s="1079"/>
      <c r="CJ15" s="1079"/>
      <c r="CK15" s="1079"/>
      <c r="CL15" s="1079"/>
      <c r="CM15" s="1079"/>
      <c r="CN15" s="1079"/>
      <c r="CO15" s="1079"/>
      <c r="CP15" s="1079"/>
      <c r="CQ15" s="1079"/>
      <c r="CR15" s="1079"/>
      <c r="CS15" s="1079"/>
      <c r="CT15" s="1079"/>
      <c r="CU15" s="1079"/>
      <c r="CV15" s="1079"/>
      <c r="CW15" s="1079"/>
      <c r="CX15" s="1079"/>
      <c r="CY15" s="1079"/>
      <c r="CZ15" s="1079"/>
      <c r="DA15" s="1079"/>
      <c r="DB15" s="1079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79" t="s">
        <v>616</v>
      </c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  <c r="BX16" s="1079"/>
      <c r="BY16" s="1079"/>
      <c r="BZ16" s="1079"/>
      <c r="CA16" s="1079"/>
      <c r="CB16" s="1079"/>
      <c r="CC16" s="1079"/>
      <c r="CD16" s="1079"/>
      <c r="CE16" s="1079"/>
      <c r="CF16" s="1079"/>
      <c r="CG16" s="1079"/>
      <c r="CH16" s="1079"/>
      <c r="CI16" s="1079"/>
      <c r="CJ16" s="1079"/>
      <c r="CK16" s="1079"/>
      <c r="CL16" s="1079"/>
      <c r="CM16" s="1079"/>
      <c r="CN16" s="1079"/>
      <c r="CO16" s="1079"/>
      <c r="CP16" s="1079"/>
      <c r="CQ16" s="1079"/>
      <c r="CR16" s="1079"/>
      <c r="CS16" s="1079"/>
      <c r="CT16" s="1079"/>
      <c r="CU16" s="1079"/>
      <c r="CV16" s="1079"/>
      <c r="CW16" s="1079"/>
      <c r="CX16" s="1079"/>
      <c r="CY16" s="1079"/>
      <c r="CZ16" s="1079"/>
      <c r="DA16" s="1079"/>
      <c r="DB16" s="1079"/>
    </row>
    <row r="17" spans="1:112" ht="19.5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87">
        <v>621</v>
      </c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087"/>
      <c r="BL17" s="1087"/>
      <c r="BM17" s="1087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  <c r="BX17" s="1087"/>
      <c r="BY17" s="1087"/>
      <c r="BZ17" s="1087"/>
      <c r="CA17" s="1087"/>
      <c r="CB17" s="1087"/>
      <c r="CC17" s="1087"/>
      <c r="CD17" s="1087"/>
      <c r="CE17" s="1087"/>
      <c r="CF17" s="1087"/>
      <c r="CG17" s="1087"/>
      <c r="CH17" s="1087"/>
      <c r="CI17" s="1087"/>
      <c r="CJ17" s="1087"/>
      <c r="CK17" s="1087"/>
      <c r="CL17" s="1087"/>
      <c r="CM17" s="1087"/>
      <c r="CN17" s="1087"/>
      <c r="CO17" s="1087"/>
      <c r="CP17" s="1087"/>
      <c r="CQ17" s="1087"/>
      <c r="CR17" s="1087"/>
      <c r="CS17" s="1087"/>
      <c r="CT17" s="1087"/>
      <c r="CU17" s="1087"/>
      <c r="CV17" s="1087"/>
      <c r="CW17" s="1087"/>
      <c r="CX17" s="1087"/>
      <c r="CY17" s="1087"/>
      <c r="CZ17" s="1087"/>
      <c r="DA17" s="1087"/>
      <c r="DB17" s="1087"/>
    </row>
    <row r="18" spans="1:112" ht="9.65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88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088"/>
      <c r="BL18" s="1088"/>
      <c r="BM18" s="1088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  <c r="BX18" s="1088"/>
      <c r="BY18" s="1088"/>
      <c r="BZ18" s="1088"/>
      <c r="CA18" s="1088"/>
      <c r="CB18" s="1088"/>
      <c r="CC18" s="1088"/>
      <c r="CD18" s="1088"/>
      <c r="CE18" s="1088"/>
      <c r="CF18" s="1088"/>
      <c r="CG18" s="1088"/>
      <c r="CH18" s="1088"/>
      <c r="CI18" s="1088"/>
      <c r="CJ18" s="1088"/>
      <c r="CK18" s="1088"/>
      <c r="CL18" s="1088"/>
      <c r="CM18" s="1088"/>
      <c r="CN18" s="1088"/>
      <c r="CO18" s="1088"/>
      <c r="CP18" s="1088"/>
      <c r="CQ18" s="1088"/>
      <c r="CR18" s="1088"/>
      <c r="CS18" s="1088"/>
      <c r="CT18" s="1088"/>
      <c r="CU18" s="1088"/>
      <c r="CV18" s="1088"/>
      <c r="CW18" s="1088"/>
      <c r="CX18" s="1088"/>
      <c r="CY18" s="1088"/>
      <c r="CZ18" s="1088"/>
      <c r="DA18" s="1088"/>
      <c r="DB18" s="1088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88"/>
      <c r="BA19" s="1088"/>
      <c r="BB19" s="1088"/>
      <c r="BC19" s="1088"/>
      <c r="BD19" s="1088"/>
      <c r="BE19" s="1088"/>
      <c r="BF19" s="1088"/>
      <c r="BG19" s="1088"/>
      <c r="BH19" s="1088"/>
      <c r="BI19" s="1088"/>
      <c r="BJ19" s="1088"/>
      <c r="BK19" s="1088"/>
      <c r="BL19" s="1088"/>
      <c r="BM19" s="1088"/>
      <c r="BN19" s="1088"/>
      <c r="BO19" s="1088"/>
      <c r="BP19" s="1088"/>
      <c r="BQ19" s="1088"/>
      <c r="BR19" s="1088"/>
      <c r="BS19" s="1088"/>
      <c r="BT19" s="1088"/>
      <c r="BU19" s="1088"/>
      <c r="BV19" s="1088"/>
      <c r="BW19" s="1088"/>
      <c r="BX19" s="1088"/>
      <c r="BY19" s="1088"/>
      <c r="BZ19" s="1088"/>
      <c r="CA19" s="1088"/>
      <c r="CB19" s="1088"/>
      <c r="CC19" s="1088"/>
      <c r="CD19" s="1088"/>
      <c r="CE19" s="1088"/>
      <c r="CF19" s="1088"/>
      <c r="CG19" s="1088"/>
      <c r="CH19" s="1088"/>
      <c r="CI19" s="1088"/>
      <c r="CJ19" s="1088"/>
      <c r="CK19" s="1088"/>
      <c r="CL19" s="1088"/>
      <c r="CM19" s="1088"/>
      <c r="CN19" s="1088"/>
      <c r="CO19" s="1088"/>
      <c r="CP19" s="1088"/>
      <c r="CQ19" s="1088"/>
      <c r="CR19" s="1088"/>
      <c r="CS19" s="1088"/>
      <c r="CT19" s="1088"/>
      <c r="CU19" s="1088"/>
      <c r="CV19" s="1088"/>
      <c r="CW19" s="1088"/>
      <c r="CX19" s="1088"/>
      <c r="CY19" s="1088"/>
      <c r="CZ19" s="1088"/>
      <c r="DA19" s="1088"/>
      <c r="DB19" s="1088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88"/>
      <c r="BA20" s="1088"/>
      <c r="BB20" s="1088"/>
      <c r="BC20" s="1088"/>
      <c r="BD20" s="1088"/>
      <c r="BE20" s="1088"/>
      <c r="BF20" s="1088"/>
      <c r="BG20" s="1088"/>
      <c r="BH20" s="1088"/>
      <c r="BI20" s="1088"/>
      <c r="BJ20" s="1088"/>
      <c r="BK20" s="1088"/>
      <c r="BL20" s="1088"/>
      <c r="BM20" s="1088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  <c r="BX20" s="1088"/>
      <c r="BY20" s="1088"/>
      <c r="BZ20" s="1088"/>
      <c r="CA20" s="1088"/>
      <c r="CB20" s="1088"/>
      <c r="CC20" s="1088"/>
      <c r="CD20" s="1088"/>
      <c r="CE20" s="1088"/>
      <c r="CF20" s="1088"/>
      <c r="CG20" s="1088"/>
      <c r="CH20" s="1088"/>
      <c r="CI20" s="1088"/>
      <c r="CJ20" s="1088"/>
      <c r="CK20" s="1088"/>
      <c r="CL20" s="1088"/>
      <c r="CM20" s="1088"/>
      <c r="CN20" s="1088"/>
      <c r="CO20" s="1088"/>
      <c r="CP20" s="1088"/>
      <c r="CQ20" s="1088"/>
      <c r="CR20" s="1088"/>
      <c r="CS20" s="1088"/>
      <c r="CT20" s="1088"/>
      <c r="CU20" s="1088"/>
      <c r="CV20" s="1088"/>
      <c r="CW20" s="1088"/>
      <c r="CX20" s="1088"/>
      <c r="CY20" s="1088"/>
      <c r="CZ20" s="1088"/>
      <c r="DA20" s="1088"/>
      <c r="DB20" s="1088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58" t="s">
        <v>417</v>
      </c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758"/>
      <c r="BU21" s="758"/>
      <c r="BV21" s="758"/>
      <c r="BW21" s="758"/>
      <c r="BX21" s="758"/>
      <c r="BY21" s="758"/>
      <c r="BZ21" s="758"/>
      <c r="CA21" s="758"/>
      <c r="CB21" s="758"/>
      <c r="CC21" s="758"/>
      <c r="CD21" s="758"/>
      <c r="CE21" s="758"/>
      <c r="CF21" s="758"/>
      <c r="CG21" s="758"/>
      <c r="CH21" s="758"/>
      <c r="CI21" s="758"/>
      <c r="CJ21" s="758"/>
      <c r="CK21" s="758"/>
      <c r="CL21" s="758"/>
      <c r="CM21" s="758"/>
      <c r="CN21" s="758"/>
      <c r="CO21" s="758"/>
      <c r="CP21" s="758"/>
      <c r="CQ21" s="758"/>
      <c r="CR21" s="758"/>
      <c r="CS21" s="758"/>
      <c r="CT21" s="758"/>
      <c r="CU21" s="758"/>
      <c r="CV21" s="758"/>
      <c r="CW21" s="758"/>
      <c r="CX21" s="758"/>
      <c r="CY21" s="758"/>
      <c r="CZ21" s="758"/>
      <c r="DA21" s="758"/>
      <c r="DB21" s="758"/>
    </row>
    <row r="22" spans="1:112" ht="18" customHeight="1">
      <c r="A22" s="19" t="s">
        <v>419</v>
      </c>
      <c r="B22" s="23"/>
      <c r="AZ22" s="1079" t="s">
        <v>65</v>
      </c>
      <c r="BA22" s="1079"/>
      <c r="BB22" s="1079"/>
      <c r="BC22" s="1079"/>
      <c r="BD22" s="1079"/>
      <c r="BE22" s="1079"/>
      <c r="BF22" s="1079"/>
      <c r="BG22" s="1079"/>
      <c r="BH22" s="1079"/>
      <c r="BI22" s="1079"/>
      <c r="BJ22" s="1079"/>
      <c r="BK22" s="1079"/>
      <c r="BL22" s="1079"/>
      <c r="BM22" s="1079"/>
      <c r="BN22" s="1079"/>
      <c r="BO22" s="1079"/>
      <c r="BP22" s="1079"/>
      <c r="BQ22" s="1079"/>
      <c r="BR22" s="1079"/>
      <c r="BS22" s="1079"/>
      <c r="BT22" s="1079"/>
      <c r="BU22" s="1079"/>
      <c r="BV22" s="1079"/>
      <c r="BW22" s="1079"/>
      <c r="BX22" s="1079"/>
      <c r="BY22" s="1079"/>
      <c r="BZ22" s="1079"/>
      <c r="CA22" s="1079"/>
      <c r="CB22" s="1079"/>
      <c r="CC22" s="1079"/>
      <c r="CD22" s="1079"/>
      <c r="CE22" s="1079"/>
      <c r="CF22" s="1079"/>
      <c r="CG22" s="1079"/>
      <c r="CH22" s="1079"/>
      <c r="CI22" s="1079"/>
      <c r="CJ22" s="1079"/>
      <c r="CK22" s="1079"/>
      <c r="CL22" s="1079"/>
      <c r="CM22" s="1079"/>
      <c r="CN22" s="1079"/>
      <c r="CO22" s="1079"/>
      <c r="CP22" s="1079"/>
      <c r="CQ22" s="1079"/>
      <c r="CR22" s="1079"/>
      <c r="CS22" s="1079"/>
      <c r="CT22" s="1079"/>
      <c r="CU22" s="1079"/>
      <c r="CV22" s="1079"/>
      <c r="CW22" s="1079"/>
      <c r="CX22" s="1079"/>
      <c r="CY22" s="1079"/>
      <c r="CZ22" s="1079"/>
      <c r="DA22" s="1079"/>
      <c r="DB22" s="1079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79" t="s">
        <v>417</v>
      </c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  <c r="BX23" s="1079"/>
      <c r="BY23" s="1079"/>
      <c r="BZ23" s="1079"/>
      <c r="CA23" s="1079"/>
      <c r="CB23" s="1079"/>
      <c r="CC23" s="1079"/>
      <c r="CD23" s="1079"/>
      <c r="CE23" s="1079"/>
      <c r="CF23" s="1079"/>
      <c r="CG23" s="1079"/>
      <c r="CH23" s="1079"/>
      <c r="CI23" s="1079"/>
      <c r="CJ23" s="1079"/>
      <c r="CK23" s="1079"/>
      <c r="CL23" s="1079"/>
      <c r="CM23" s="1079"/>
      <c r="CN23" s="1079"/>
      <c r="CO23" s="1079"/>
      <c r="CP23" s="1079"/>
      <c r="CQ23" s="1079"/>
      <c r="CR23" s="1079"/>
      <c r="CS23" s="1079"/>
      <c r="CT23" s="1079"/>
      <c r="CU23" s="1079"/>
      <c r="CV23" s="1079"/>
      <c r="CW23" s="1079"/>
      <c r="CX23" s="1079"/>
      <c r="CY23" s="1079"/>
      <c r="CZ23" s="1079"/>
      <c r="DA23" s="1079"/>
      <c r="DB23" s="1079"/>
    </row>
    <row r="24" spans="1:112" ht="18" customHeight="1">
      <c r="A24" s="19" t="s">
        <v>416</v>
      </c>
      <c r="B24" s="23"/>
      <c r="AZ24" s="1079" t="s">
        <v>65</v>
      </c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  <c r="BX24" s="1079"/>
      <c r="BY24" s="1079"/>
      <c r="BZ24" s="1079"/>
      <c r="CA24" s="1079"/>
      <c r="CB24" s="1079"/>
      <c r="CC24" s="1079"/>
      <c r="CD24" s="1079"/>
      <c r="CE24" s="1079"/>
      <c r="CF24" s="1079"/>
      <c r="CG24" s="1079"/>
      <c r="CH24" s="1079"/>
      <c r="CI24" s="1079"/>
      <c r="CJ24" s="1079"/>
      <c r="CK24" s="1079"/>
      <c r="CL24" s="1079"/>
      <c r="CM24" s="1079"/>
      <c r="CN24" s="1079"/>
      <c r="CO24" s="1079"/>
      <c r="CP24" s="1079"/>
      <c r="CQ24" s="1079"/>
      <c r="CR24" s="1079"/>
      <c r="CS24" s="1079"/>
      <c r="CT24" s="1079"/>
      <c r="CU24" s="1079"/>
      <c r="CV24" s="1079"/>
      <c r="CW24" s="1079"/>
      <c r="CX24" s="1079"/>
      <c r="CY24" s="1079"/>
      <c r="CZ24" s="1079"/>
      <c r="DA24" s="1079"/>
      <c r="DB24" s="1079"/>
    </row>
    <row r="25" spans="1:112" ht="15" customHeight="1">
      <c r="DH25" s="155"/>
    </row>
    <row r="26" spans="1:112" ht="25.15" customHeight="1">
      <c r="A26" s="30" t="s">
        <v>222</v>
      </c>
      <c r="R26" s="758" t="s">
        <v>415</v>
      </c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758"/>
      <c r="BA26" s="758"/>
      <c r="BB26" s="758"/>
      <c r="BC26" s="758"/>
      <c r="BD26" s="758"/>
      <c r="BE26" s="758"/>
      <c r="BF26" s="758"/>
      <c r="BG26" s="758"/>
      <c r="BH26" s="758"/>
      <c r="BI26" s="758"/>
      <c r="BJ26" s="758"/>
      <c r="BK26" s="758"/>
      <c r="BL26" s="758"/>
      <c r="BM26" s="758"/>
      <c r="BN26" s="758"/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</row>
    <row r="27" spans="1:112" ht="7.5" customHeight="1"/>
    <row r="28" spans="1:112" customFormat="1" ht="45.75" customHeight="1">
      <c r="A28" s="766" t="s">
        <v>721</v>
      </c>
      <c r="B28" s="767"/>
      <c r="C28" s="767"/>
      <c r="D28" s="767"/>
      <c r="E28" s="767"/>
      <c r="F28" s="767"/>
      <c r="G28" s="767"/>
      <c r="H28" s="767"/>
      <c r="I28" s="767"/>
      <c r="J28" s="767"/>
      <c r="K28" s="767"/>
      <c r="L28" s="767"/>
      <c r="M28" s="767"/>
      <c r="N28" s="767"/>
      <c r="O28" s="767"/>
      <c r="P28" s="767"/>
      <c r="Q28" s="767"/>
      <c r="R28" s="767"/>
      <c r="S28" s="767"/>
      <c r="T28" s="767"/>
      <c r="U28" s="767"/>
      <c r="V28" s="767"/>
      <c r="W28" s="767"/>
      <c r="X28" s="767"/>
      <c r="Y28" s="767"/>
      <c r="Z28" s="767"/>
      <c r="AA28" s="767"/>
      <c r="AB28" s="767"/>
      <c r="AC28" s="767"/>
      <c r="AD28" s="767"/>
      <c r="AE28" s="767"/>
      <c r="AF28" s="767"/>
      <c r="AG28" s="767"/>
      <c r="AH28" s="767"/>
      <c r="AI28" s="767"/>
      <c r="AJ28" s="767"/>
      <c r="AK28" s="767"/>
      <c r="AL28" s="767"/>
      <c r="AM28" s="767"/>
      <c r="AN28" s="767"/>
      <c r="AO28" s="767"/>
      <c r="AP28" s="767"/>
      <c r="AQ28" s="767"/>
      <c r="AR28" s="767"/>
      <c r="AS28" s="767"/>
      <c r="AT28" s="767"/>
      <c r="AU28" s="767"/>
      <c r="AV28" s="767"/>
      <c r="AW28" s="76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0"/>
      <c r="BJ28" s="760"/>
      <c r="BK28" s="760"/>
      <c r="BL28" s="760"/>
      <c r="BM28" s="760"/>
      <c r="BN28" s="760"/>
      <c r="BO28" s="760"/>
      <c r="BP28" s="760"/>
      <c r="BQ28" s="760"/>
      <c r="BR28" s="760"/>
      <c r="BS28" s="760"/>
      <c r="BT28" s="760"/>
      <c r="BU28" s="760"/>
      <c r="BV28" s="760"/>
      <c r="BW28" s="760"/>
      <c r="BX28" s="760"/>
      <c r="BY28" s="760"/>
      <c r="BZ28" s="760"/>
      <c r="CA28" s="760"/>
      <c r="CB28" s="760"/>
      <c r="CC28" s="760"/>
      <c r="CD28" s="760"/>
      <c r="CE28" s="760"/>
      <c r="CF28" s="760"/>
      <c r="CG28" s="23"/>
      <c r="CH28" s="23"/>
      <c r="CI28" s="23"/>
      <c r="CJ28" s="758" t="str">
        <f>ПОДПИСИ!E6</f>
        <v>Д.М. Чечин</v>
      </c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36" t="s">
        <v>11</v>
      </c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21"/>
      <c r="CH29" s="21"/>
      <c r="CI29" s="21"/>
      <c r="CJ29" s="770" t="s">
        <v>50</v>
      </c>
      <c r="CK29" s="770"/>
      <c r="CL29" s="770"/>
      <c r="CM29" s="770"/>
      <c r="CN29" s="770"/>
      <c r="CO29" s="770"/>
      <c r="CP29" s="770"/>
      <c r="CQ29" s="770"/>
      <c r="CR29" s="770"/>
      <c r="CS29" s="770"/>
      <c r="CT29" s="770"/>
      <c r="CU29" s="770"/>
      <c r="CV29" s="770"/>
      <c r="CW29" s="770"/>
      <c r="CX29" s="770"/>
      <c r="CY29" s="770"/>
      <c r="CZ29" s="770"/>
      <c r="DA29" s="770"/>
      <c r="DB29" s="770"/>
      <c r="DH29" s="158"/>
    </row>
    <row r="30" spans="1:112" customFormat="1" ht="43.5" customHeight="1">
      <c r="A30" s="766" t="s">
        <v>715</v>
      </c>
      <c r="B30" s="767"/>
      <c r="C30" s="767"/>
      <c r="D30" s="767"/>
      <c r="E30" s="767"/>
      <c r="F30" s="767"/>
      <c r="G30" s="767"/>
      <c r="H30" s="767"/>
      <c r="I30" s="767"/>
      <c r="J30" s="767"/>
      <c r="K30" s="767"/>
      <c r="L30" s="767"/>
      <c r="M30" s="767"/>
      <c r="N30" s="767"/>
      <c r="O30" s="767"/>
      <c r="P30" s="767"/>
      <c r="Q30" s="767"/>
      <c r="R30" s="767"/>
      <c r="S30" s="767"/>
      <c r="T30" s="767"/>
      <c r="U30" s="767"/>
      <c r="V30" s="767"/>
      <c r="W30" s="767"/>
      <c r="X30" s="767"/>
      <c r="Y30" s="767"/>
      <c r="Z30" s="767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767"/>
      <c r="AU30" s="767"/>
      <c r="AV30" s="767"/>
      <c r="AW30" s="767"/>
      <c r="AX30" s="76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0"/>
      <c r="BJ30" s="760"/>
      <c r="BK30" s="760"/>
      <c r="BL30" s="760"/>
      <c r="BM30" s="760"/>
      <c r="BN30" s="760"/>
      <c r="BO30" s="760"/>
      <c r="BP30" s="760"/>
      <c r="BQ30" s="760"/>
      <c r="BR30" s="760"/>
      <c r="BS30" s="760"/>
      <c r="BT30" s="760"/>
      <c r="BU30" s="760"/>
      <c r="BV30" s="760"/>
      <c r="BW30" s="760"/>
      <c r="BX30" s="760"/>
      <c r="BY30" s="760"/>
      <c r="BZ30" s="760"/>
      <c r="CA30" s="760"/>
      <c r="CB30" s="760"/>
      <c r="CC30" s="760"/>
      <c r="CD30" s="760"/>
      <c r="CE30" s="760"/>
      <c r="CF30" s="760"/>
      <c r="CG30" s="19"/>
      <c r="CH30" s="19"/>
      <c r="CI30" s="19"/>
      <c r="CJ30" s="758" t="str">
        <f>ПОДПИСИ!E12</f>
        <v>А.Р. Махмадов</v>
      </c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36" t="s">
        <v>11</v>
      </c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21"/>
      <c r="CH31" s="21"/>
      <c r="CI31" s="21"/>
      <c r="CJ31" s="770" t="s">
        <v>50</v>
      </c>
      <c r="CK31" s="770"/>
      <c r="CL31" s="770"/>
      <c r="CM31" s="770"/>
      <c r="CN31" s="770"/>
      <c r="CO31" s="770"/>
      <c r="CP31" s="770"/>
      <c r="CQ31" s="770"/>
      <c r="CR31" s="770"/>
      <c r="CS31" s="770"/>
      <c r="CT31" s="770"/>
      <c r="CU31" s="770"/>
      <c r="CV31" s="770"/>
      <c r="CW31" s="770"/>
      <c r="CX31" s="770"/>
      <c r="CY31" s="770"/>
      <c r="CZ31" s="770"/>
      <c r="DA31" s="770"/>
      <c r="DB31" s="770"/>
      <c r="DH31" s="155"/>
    </row>
    <row r="33" spans="112:112" ht="14">
      <c r="DH33" s="155"/>
    </row>
    <row r="36" spans="112:112" ht="14">
      <c r="DH36" s="159"/>
    </row>
    <row r="37" spans="112:112" ht="14">
      <c r="DH37" s="155"/>
    </row>
    <row r="38" spans="112:112" ht="14">
      <c r="DH38" s="155"/>
    </row>
    <row r="41" spans="112:112" ht="14">
      <c r="DH41" s="155"/>
    </row>
    <row r="42" spans="112:112" ht="14">
      <c r="DH42" s="155"/>
    </row>
    <row r="44" spans="112:112" ht="14">
      <c r="DH44" s="155"/>
    </row>
    <row r="45" spans="112:112" ht="14">
      <c r="DH45" s="155"/>
    </row>
    <row r="46" spans="112:112" ht="14">
      <c r="DH46" s="155"/>
    </row>
    <row r="47" spans="112:112" ht="14">
      <c r="DH47" s="155"/>
    </row>
    <row r="48" spans="112:112" ht="14">
      <c r="DH48" s="155"/>
    </row>
    <row r="50" spans="112:112" ht="14">
      <c r="DH50" s="155"/>
    </row>
    <row r="51" spans="112:112" ht="14">
      <c r="DH51" s="160"/>
    </row>
    <row r="52" spans="112:112" ht="14">
      <c r="DH52" s="155"/>
    </row>
    <row r="53" spans="112:112" ht="14">
      <c r="DH53" s="161"/>
    </row>
    <row r="54" spans="112:112" ht="14">
      <c r="DH54" s="155"/>
    </row>
    <row r="55" spans="112:112" ht="14">
      <c r="DH55" s="162"/>
    </row>
    <row r="56" spans="112:112" ht="14">
      <c r="DH56" s="155"/>
    </row>
    <row r="57" spans="112:112" ht="14">
      <c r="DH57" s="161"/>
    </row>
    <row r="58" spans="112:112" ht="14">
      <c r="DH58" s="155"/>
    </row>
    <row r="59" spans="112:112" ht="14">
      <c r="DH59" s="160"/>
    </row>
    <row r="60" spans="112:112" ht="14">
      <c r="DH60" s="155"/>
    </row>
    <row r="61" spans="112:112" ht="14">
      <c r="DH61" s="160"/>
    </row>
    <row r="62" spans="112:112" ht="14">
      <c r="DH62" s="155"/>
    </row>
    <row r="64" spans="112:112" ht="14">
      <c r="DH64" s="155"/>
    </row>
    <row r="66" spans="112:112" ht="14">
      <c r="DH66" s="155"/>
    </row>
    <row r="67" spans="112:112" ht="14">
      <c r="DH67" s="155"/>
    </row>
    <row r="69" spans="112:112" ht="14">
      <c r="DH69" s="155"/>
    </row>
    <row r="70" spans="112:112" ht="14">
      <c r="DH70" s="155"/>
    </row>
    <row r="71" spans="112:112" ht="14">
      <c r="DH71" s="155"/>
    </row>
    <row r="72" spans="112:112" ht="14">
      <c r="DH72" s="155"/>
    </row>
    <row r="73" spans="112:112" ht="14">
      <c r="DH73" s="155"/>
    </row>
    <row r="74" spans="112:112" ht="14">
      <c r="DH74" s="155"/>
    </row>
    <row r="75" spans="112:112" ht="14">
      <c r="DH75" s="155"/>
    </row>
    <row r="76" spans="112:112" ht="14">
      <c r="DH76" s="155"/>
    </row>
    <row r="77" spans="112:112" ht="14">
      <c r="DH77" s="155"/>
    </row>
    <row r="78" spans="112:112" ht="14">
      <c r="DH78" s="155"/>
    </row>
    <row r="79" spans="112:112" ht="14">
      <c r="DH79" s="155"/>
    </row>
    <row r="80" spans="112:112" ht="14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62" priority="3" operator="equal">
      <formula>0</formula>
    </cfRule>
  </conditionalFormatting>
  <conditionalFormatting sqref="DH2:DH7">
    <cfRule type="cellIs" dxfId="61" priority="2" operator="equal">
      <formula>0</formula>
    </cfRule>
  </conditionalFormatting>
  <conditionalFormatting sqref="DH9">
    <cfRule type="cellIs" dxfId="6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57" width="13.26953125" style="284" bestFit="1" customWidth="1"/>
    <col min="58" max="59" width="9.1796875" style="284"/>
    <col min="60" max="60" width="13.7265625" style="284" customWidth="1"/>
    <col min="61" max="61" width="15.81640625" style="284" customWidth="1"/>
    <col min="62" max="62" width="14.81640625" style="284" customWidth="1"/>
    <col min="63" max="254" width="9.1796875" style="284"/>
    <col min="255" max="307" width="1.54296875" style="284" customWidth="1"/>
    <col min="308" max="308" width="0.1796875" style="284" customWidth="1"/>
    <col min="309" max="510" width="9.1796875" style="284"/>
    <col min="511" max="563" width="1.54296875" style="284" customWidth="1"/>
    <col min="564" max="564" width="0.1796875" style="284" customWidth="1"/>
    <col min="565" max="766" width="9.1796875" style="284"/>
    <col min="767" max="819" width="1.54296875" style="284" customWidth="1"/>
    <col min="820" max="820" width="0.1796875" style="284" customWidth="1"/>
    <col min="821" max="1022" width="9.1796875" style="284"/>
    <col min="1023" max="1075" width="1.54296875" style="284" customWidth="1"/>
    <col min="1076" max="1076" width="0.1796875" style="284" customWidth="1"/>
    <col min="1077" max="1278" width="9.1796875" style="284"/>
    <col min="1279" max="1331" width="1.54296875" style="284" customWidth="1"/>
    <col min="1332" max="1332" width="0.1796875" style="284" customWidth="1"/>
    <col min="1333" max="1534" width="9.1796875" style="284"/>
    <col min="1535" max="1587" width="1.54296875" style="284" customWidth="1"/>
    <col min="1588" max="1588" width="0.1796875" style="284" customWidth="1"/>
    <col min="1589" max="1790" width="9.1796875" style="284"/>
    <col min="1791" max="1843" width="1.54296875" style="284" customWidth="1"/>
    <col min="1844" max="1844" width="0.1796875" style="284" customWidth="1"/>
    <col min="1845" max="2046" width="9.1796875" style="284"/>
    <col min="2047" max="2099" width="1.54296875" style="284" customWidth="1"/>
    <col min="2100" max="2100" width="0.1796875" style="284" customWidth="1"/>
    <col min="2101" max="2302" width="9.1796875" style="284"/>
    <col min="2303" max="2355" width="1.54296875" style="284" customWidth="1"/>
    <col min="2356" max="2356" width="0.1796875" style="284" customWidth="1"/>
    <col min="2357" max="2558" width="9.1796875" style="284"/>
    <col min="2559" max="2611" width="1.54296875" style="284" customWidth="1"/>
    <col min="2612" max="2612" width="0.1796875" style="284" customWidth="1"/>
    <col min="2613" max="2814" width="9.1796875" style="284"/>
    <col min="2815" max="2867" width="1.54296875" style="284" customWidth="1"/>
    <col min="2868" max="2868" width="0.1796875" style="284" customWidth="1"/>
    <col min="2869" max="3070" width="9.1796875" style="284"/>
    <col min="3071" max="3123" width="1.54296875" style="284" customWidth="1"/>
    <col min="3124" max="3124" width="0.1796875" style="284" customWidth="1"/>
    <col min="3125" max="3326" width="9.1796875" style="284"/>
    <col min="3327" max="3379" width="1.54296875" style="284" customWidth="1"/>
    <col min="3380" max="3380" width="0.1796875" style="284" customWidth="1"/>
    <col min="3381" max="3582" width="9.1796875" style="284"/>
    <col min="3583" max="3635" width="1.54296875" style="284" customWidth="1"/>
    <col min="3636" max="3636" width="0.1796875" style="284" customWidth="1"/>
    <col min="3637" max="3838" width="9.1796875" style="284"/>
    <col min="3839" max="3891" width="1.54296875" style="284" customWidth="1"/>
    <col min="3892" max="3892" width="0.1796875" style="284" customWidth="1"/>
    <col min="3893" max="4094" width="9.1796875" style="284"/>
    <col min="4095" max="4147" width="1.54296875" style="284" customWidth="1"/>
    <col min="4148" max="4148" width="0.1796875" style="284" customWidth="1"/>
    <col min="4149" max="4350" width="9.1796875" style="284"/>
    <col min="4351" max="4403" width="1.54296875" style="284" customWidth="1"/>
    <col min="4404" max="4404" width="0.1796875" style="284" customWidth="1"/>
    <col min="4405" max="4606" width="9.1796875" style="284"/>
    <col min="4607" max="4659" width="1.54296875" style="284" customWidth="1"/>
    <col min="4660" max="4660" width="0.1796875" style="284" customWidth="1"/>
    <col min="4661" max="4862" width="9.1796875" style="284"/>
    <col min="4863" max="4915" width="1.54296875" style="284" customWidth="1"/>
    <col min="4916" max="4916" width="0.1796875" style="284" customWidth="1"/>
    <col min="4917" max="5118" width="9.1796875" style="284"/>
    <col min="5119" max="5171" width="1.54296875" style="284" customWidth="1"/>
    <col min="5172" max="5172" width="0.1796875" style="284" customWidth="1"/>
    <col min="5173" max="5374" width="9.1796875" style="284"/>
    <col min="5375" max="5427" width="1.54296875" style="284" customWidth="1"/>
    <col min="5428" max="5428" width="0.1796875" style="284" customWidth="1"/>
    <col min="5429" max="5630" width="9.1796875" style="284"/>
    <col min="5631" max="5683" width="1.54296875" style="284" customWidth="1"/>
    <col min="5684" max="5684" width="0.1796875" style="284" customWidth="1"/>
    <col min="5685" max="5886" width="9.1796875" style="284"/>
    <col min="5887" max="5939" width="1.54296875" style="284" customWidth="1"/>
    <col min="5940" max="5940" width="0.1796875" style="284" customWidth="1"/>
    <col min="5941" max="6142" width="9.1796875" style="284"/>
    <col min="6143" max="6195" width="1.54296875" style="284" customWidth="1"/>
    <col min="6196" max="6196" width="0.1796875" style="284" customWidth="1"/>
    <col min="6197" max="6398" width="9.1796875" style="284"/>
    <col min="6399" max="6451" width="1.54296875" style="284" customWidth="1"/>
    <col min="6452" max="6452" width="0.1796875" style="284" customWidth="1"/>
    <col min="6453" max="6654" width="9.1796875" style="284"/>
    <col min="6655" max="6707" width="1.54296875" style="284" customWidth="1"/>
    <col min="6708" max="6708" width="0.1796875" style="284" customWidth="1"/>
    <col min="6709" max="6910" width="9.1796875" style="284"/>
    <col min="6911" max="6963" width="1.54296875" style="284" customWidth="1"/>
    <col min="6964" max="6964" width="0.1796875" style="284" customWidth="1"/>
    <col min="6965" max="7166" width="9.1796875" style="284"/>
    <col min="7167" max="7219" width="1.54296875" style="284" customWidth="1"/>
    <col min="7220" max="7220" width="0.1796875" style="284" customWidth="1"/>
    <col min="7221" max="7422" width="9.1796875" style="284"/>
    <col min="7423" max="7475" width="1.54296875" style="284" customWidth="1"/>
    <col min="7476" max="7476" width="0.1796875" style="284" customWidth="1"/>
    <col min="7477" max="7678" width="9.1796875" style="284"/>
    <col min="7679" max="7731" width="1.54296875" style="284" customWidth="1"/>
    <col min="7732" max="7732" width="0.1796875" style="284" customWidth="1"/>
    <col min="7733" max="7934" width="9.1796875" style="284"/>
    <col min="7935" max="7987" width="1.54296875" style="284" customWidth="1"/>
    <col min="7988" max="7988" width="0.1796875" style="284" customWidth="1"/>
    <col min="7989" max="8190" width="9.1796875" style="284"/>
    <col min="8191" max="8243" width="1.54296875" style="284" customWidth="1"/>
    <col min="8244" max="8244" width="0.1796875" style="284" customWidth="1"/>
    <col min="8245" max="8446" width="9.1796875" style="284"/>
    <col min="8447" max="8499" width="1.54296875" style="284" customWidth="1"/>
    <col min="8500" max="8500" width="0.1796875" style="284" customWidth="1"/>
    <col min="8501" max="8702" width="9.1796875" style="284"/>
    <col min="8703" max="8755" width="1.54296875" style="284" customWidth="1"/>
    <col min="8756" max="8756" width="0.1796875" style="284" customWidth="1"/>
    <col min="8757" max="8958" width="9.1796875" style="284"/>
    <col min="8959" max="9011" width="1.54296875" style="284" customWidth="1"/>
    <col min="9012" max="9012" width="0.1796875" style="284" customWidth="1"/>
    <col min="9013" max="9214" width="9.1796875" style="284"/>
    <col min="9215" max="9267" width="1.54296875" style="284" customWidth="1"/>
    <col min="9268" max="9268" width="0.1796875" style="284" customWidth="1"/>
    <col min="9269" max="9470" width="9.1796875" style="284"/>
    <col min="9471" max="9523" width="1.54296875" style="284" customWidth="1"/>
    <col min="9524" max="9524" width="0.1796875" style="284" customWidth="1"/>
    <col min="9525" max="9726" width="9.1796875" style="284"/>
    <col min="9727" max="9779" width="1.54296875" style="284" customWidth="1"/>
    <col min="9780" max="9780" width="0.1796875" style="284" customWidth="1"/>
    <col min="9781" max="9982" width="9.1796875" style="284"/>
    <col min="9983" max="10035" width="1.54296875" style="284" customWidth="1"/>
    <col min="10036" max="10036" width="0.1796875" style="284" customWidth="1"/>
    <col min="10037" max="10238" width="9.1796875" style="284"/>
    <col min="10239" max="10291" width="1.54296875" style="284" customWidth="1"/>
    <col min="10292" max="10292" width="0.1796875" style="284" customWidth="1"/>
    <col min="10293" max="10494" width="9.1796875" style="284"/>
    <col min="10495" max="10547" width="1.54296875" style="284" customWidth="1"/>
    <col min="10548" max="10548" width="0.1796875" style="284" customWidth="1"/>
    <col min="10549" max="10750" width="9.1796875" style="284"/>
    <col min="10751" max="10803" width="1.54296875" style="284" customWidth="1"/>
    <col min="10804" max="10804" width="0.1796875" style="284" customWidth="1"/>
    <col min="10805" max="11006" width="9.1796875" style="284"/>
    <col min="11007" max="11059" width="1.54296875" style="284" customWidth="1"/>
    <col min="11060" max="11060" width="0.1796875" style="284" customWidth="1"/>
    <col min="11061" max="11262" width="9.1796875" style="284"/>
    <col min="11263" max="11315" width="1.54296875" style="284" customWidth="1"/>
    <col min="11316" max="11316" width="0.1796875" style="284" customWidth="1"/>
    <col min="11317" max="11518" width="9.1796875" style="284"/>
    <col min="11519" max="11571" width="1.54296875" style="284" customWidth="1"/>
    <col min="11572" max="11572" width="0.1796875" style="284" customWidth="1"/>
    <col min="11573" max="11774" width="9.1796875" style="284"/>
    <col min="11775" max="11827" width="1.54296875" style="284" customWidth="1"/>
    <col min="11828" max="11828" width="0.1796875" style="284" customWidth="1"/>
    <col min="11829" max="12030" width="9.1796875" style="284"/>
    <col min="12031" max="12083" width="1.54296875" style="284" customWidth="1"/>
    <col min="12084" max="12084" width="0.1796875" style="284" customWidth="1"/>
    <col min="12085" max="12286" width="9.1796875" style="284"/>
    <col min="12287" max="12339" width="1.54296875" style="284" customWidth="1"/>
    <col min="12340" max="12340" width="0.1796875" style="284" customWidth="1"/>
    <col min="12341" max="12542" width="9.1796875" style="284"/>
    <col min="12543" max="12595" width="1.54296875" style="284" customWidth="1"/>
    <col min="12596" max="12596" width="0.1796875" style="284" customWidth="1"/>
    <col min="12597" max="12798" width="9.1796875" style="284"/>
    <col min="12799" max="12851" width="1.54296875" style="284" customWidth="1"/>
    <col min="12852" max="12852" width="0.1796875" style="284" customWidth="1"/>
    <col min="12853" max="13054" width="9.1796875" style="284"/>
    <col min="13055" max="13107" width="1.54296875" style="284" customWidth="1"/>
    <col min="13108" max="13108" width="0.1796875" style="284" customWidth="1"/>
    <col min="13109" max="13310" width="9.1796875" style="284"/>
    <col min="13311" max="13363" width="1.54296875" style="284" customWidth="1"/>
    <col min="13364" max="13364" width="0.1796875" style="284" customWidth="1"/>
    <col min="13365" max="13566" width="9.1796875" style="284"/>
    <col min="13567" max="13619" width="1.54296875" style="284" customWidth="1"/>
    <col min="13620" max="13620" width="0.1796875" style="284" customWidth="1"/>
    <col min="13621" max="13822" width="9.1796875" style="284"/>
    <col min="13823" max="13875" width="1.54296875" style="284" customWidth="1"/>
    <col min="13876" max="13876" width="0.1796875" style="284" customWidth="1"/>
    <col min="13877" max="14078" width="9.1796875" style="284"/>
    <col min="14079" max="14131" width="1.54296875" style="284" customWidth="1"/>
    <col min="14132" max="14132" width="0.1796875" style="284" customWidth="1"/>
    <col min="14133" max="14334" width="9.1796875" style="284"/>
    <col min="14335" max="14387" width="1.54296875" style="284" customWidth="1"/>
    <col min="14388" max="14388" width="0.1796875" style="284" customWidth="1"/>
    <col min="14389" max="14590" width="9.1796875" style="284"/>
    <col min="14591" max="14643" width="1.54296875" style="284" customWidth="1"/>
    <col min="14644" max="14644" width="0.1796875" style="284" customWidth="1"/>
    <col min="14645" max="14846" width="9.1796875" style="284"/>
    <col min="14847" max="14899" width="1.54296875" style="284" customWidth="1"/>
    <col min="14900" max="14900" width="0.1796875" style="284" customWidth="1"/>
    <col min="14901" max="15102" width="9.1796875" style="284"/>
    <col min="15103" max="15155" width="1.54296875" style="284" customWidth="1"/>
    <col min="15156" max="15156" width="0.1796875" style="284" customWidth="1"/>
    <col min="15157" max="15358" width="9.1796875" style="284"/>
    <col min="15359" max="15411" width="1.54296875" style="284" customWidth="1"/>
    <col min="15412" max="15412" width="0.1796875" style="284" customWidth="1"/>
    <col min="15413" max="15614" width="9.1796875" style="284"/>
    <col min="15615" max="15667" width="1.54296875" style="284" customWidth="1"/>
    <col min="15668" max="15668" width="0.1796875" style="284" customWidth="1"/>
    <col min="15669" max="15870" width="9.1796875" style="284"/>
    <col min="15871" max="15923" width="1.54296875" style="284" customWidth="1"/>
    <col min="15924" max="15924" width="0.1796875" style="284" customWidth="1"/>
    <col min="15925" max="16126" width="9.1796875" style="284"/>
    <col min="16127" max="16179" width="1.54296875" style="284" customWidth="1"/>
    <col min="16180" max="16180" width="0.1796875" style="284" customWidth="1"/>
    <col min="16181" max="16384" width="9.1796875" style="284"/>
  </cols>
  <sheetData>
    <row r="1" spans="1:63" ht="15" customHeight="1">
      <c r="A1" s="1126" t="s">
        <v>72</v>
      </c>
      <c r="B1" s="1126"/>
      <c r="C1" s="1126"/>
      <c r="D1" s="1126"/>
      <c r="E1" s="1126"/>
      <c r="F1" s="1126"/>
      <c r="G1" s="1126"/>
      <c r="H1" s="1126"/>
      <c r="I1" s="1126"/>
      <c r="J1" s="1126"/>
      <c r="K1" s="1126"/>
      <c r="L1" s="1126"/>
      <c r="M1" s="1126"/>
      <c r="N1" s="1126"/>
      <c r="O1" s="1126"/>
      <c r="P1" s="1126"/>
      <c r="Q1" s="1126"/>
      <c r="R1" s="1126"/>
      <c r="S1" s="1126"/>
      <c r="T1" s="1126"/>
      <c r="U1" s="1126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1123"/>
      <c r="BB2" s="1123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>
      <c r="A3" s="1105" t="s">
        <v>804</v>
      </c>
      <c r="B3" s="1105"/>
      <c r="C3" s="1105"/>
      <c r="D3" s="1105"/>
      <c r="E3" s="1105"/>
      <c r="F3" s="1105"/>
      <c r="G3" s="1105"/>
      <c r="H3" s="1105"/>
      <c r="I3" s="1105"/>
      <c r="J3" s="1105"/>
      <c r="K3" s="1105"/>
      <c r="L3" s="1105"/>
      <c r="M3" s="1105"/>
      <c r="N3" s="1105"/>
      <c r="O3" s="1105"/>
      <c r="P3" s="1105"/>
      <c r="Q3" s="1105"/>
      <c r="R3" s="1105"/>
      <c r="S3" s="1105"/>
      <c r="T3" s="1105"/>
      <c r="U3" s="1105"/>
      <c r="V3" s="1105"/>
      <c r="W3" s="1105"/>
      <c r="X3" s="1105"/>
      <c r="Y3" s="1105"/>
      <c r="Z3" s="1105"/>
      <c r="AA3" s="1105"/>
      <c r="AB3" s="1105"/>
      <c r="AC3" s="1105"/>
      <c r="AD3" s="1105"/>
      <c r="AE3" s="1105"/>
      <c r="AF3" s="1105"/>
      <c r="AG3" s="1105"/>
      <c r="AH3" s="1105"/>
      <c r="AI3" s="1105"/>
      <c r="AJ3" s="1105"/>
      <c r="AK3" s="1105"/>
      <c r="AL3" s="1105"/>
      <c r="AM3" s="1105"/>
      <c r="AN3" s="1105"/>
      <c r="AO3" s="1105"/>
      <c r="AP3" s="1105"/>
      <c r="AQ3" s="1105"/>
      <c r="AR3" s="1105"/>
      <c r="AS3" s="1105"/>
      <c r="AT3" s="1105"/>
      <c r="AU3" s="1105"/>
      <c r="AV3" s="1105"/>
      <c r="AW3" s="1105"/>
      <c r="AX3" s="1105"/>
      <c r="AY3" s="1105"/>
      <c r="AZ3" s="1105"/>
      <c r="BA3" s="1105"/>
      <c r="BB3" s="1105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>
      <c r="A4" s="1094" t="s">
        <v>377</v>
      </c>
      <c r="B4" s="1094"/>
      <c r="C4" s="1094"/>
      <c r="D4" s="1094"/>
      <c r="E4" s="1094"/>
      <c r="F4" s="1094"/>
      <c r="G4" s="1094"/>
      <c r="H4" s="1094"/>
      <c r="I4" s="1094"/>
      <c r="J4" s="1094"/>
      <c r="K4" s="1094"/>
      <c r="L4" s="1094"/>
      <c r="M4" s="1094"/>
      <c r="N4" s="1094"/>
      <c r="O4" s="1094"/>
      <c r="P4" s="1094"/>
      <c r="Q4" s="1094"/>
      <c r="R4" s="1094"/>
      <c r="S4" s="1094"/>
      <c r="T4" s="1094"/>
      <c r="U4" s="1094"/>
      <c r="V4" s="1094"/>
      <c r="W4" s="1094"/>
      <c r="X4" s="1094"/>
      <c r="Y4" s="1094"/>
      <c r="Z4" s="1094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94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127" t="str">
        <f>ФОРМА!B2</f>
        <v>ПАО "Россети Ленэнерго"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1127"/>
      <c r="BB5" s="112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122" t="s">
        <v>805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1122"/>
      <c r="Q6" s="1122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122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1122"/>
      <c r="BB6" s="11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3"/>
      <c r="C7" s="1123"/>
      <c r="D7" s="1123"/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1123"/>
      <c r="Q7" s="1123"/>
      <c r="R7" s="1123"/>
      <c r="S7" s="1123"/>
      <c r="T7" s="1123"/>
      <c r="U7" s="1123"/>
      <c r="V7" s="1123"/>
      <c r="W7" s="1123"/>
      <c r="X7" s="1123"/>
      <c r="Y7" s="1123"/>
      <c r="Z7" s="1123"/>
      <c r="AA7" s="1123"/>
      <c r="AB7" s="1123"/>
      <c r="AC7" s="1123"/>
      <c r="AD7" s="1123"/>
      <c r="AE7" s="1123"/>
      <c r="AF7" s="1123"/>
      <c r="AG7" s="1123"/>
      <c r="AH7" s="1123"/>
      <c r="AI7" s="1123"/>
      <c r="AJ7" s="1123"/>
      <c r="AK7" s="1123"/>
      <c r="AL7" s="1123"/>
      <c r="AM7" s="1123"/>
      <c r="AN7" s="1123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103" t="s">
        <v>818</v>
      </c>
      <c r="B8" s="1124"/>
      <c r="C8" s="1124"/>
      <c r="D8" s="1124"/>
      <c r="E8" s="1124"/>
      <c r="F8" s="1124"/>
      <c r="G8" s="1124"/>
      <c r="H8" s="1124"/>
      <c r="I8" s="1124"/>
      <c r="J8" s="1124"/>
      <c r="K8" s="1124"/>
      <c r="L8" s="1124"/>
      <c r="M8" s="1124"/>
      <c r="N8" s="1124"/>
      <c r="O8" s="1124"/>
      <c r="P8" s="1124"/>
      <c r="Q8" s="1124"/>
      <c r="R8" s="1124"/>
      <c r="S8" s="1124"/>
      <c r="T8" s="1124"/>
      <c r="U8" s="1124"/>
      <c r="V8" s="1124"/>
      <c r="W8" s="1124"/>
      <c r="X8" s="1124"/>
      <c r="Y8" s="1124"/>
      <c r="Z8" s="1124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124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125"/>
      <c r="B9" s="1125"/>
      <c r="C9" s="1125"/>
      <c r="D9" s="1125"/>
      <c r="E9" s="1125"/>
      <c r="F9" s="1125"/>
      <c r="G9" s="1125"/>
      <c r="H9" s="1125"/>
      <c r="I9" s="1125"/>
      <c r="J9" s="1125"/>
      <c r="K9" s="1125"/>
      <c r="L9" s="1125"/>
      <c r="M9" s="1125"/>
      <c r="N9" s="1125"/>
      <c r="O9" s="1125"/>
      <c r="P9" s="1125"/>
      <c r="Q9" s="1125"/>
      <c r="R9" s="1125"/>
      <c r="S9" s="1125"/>
      <c r="T9" s="1125"/>
      <c r="U9" s="1125"/>
      <c r="V9" s="1125"/>
      <c r="W9" s="1125"/>
      <c r="X9" s="1125"/>
      <c r="Y9" s="1125"/>
      <c r="Z9" s="1125"/>
      <c r="AA9" s="1125"/>
      <c r="AB9" s="1125"/>
      <c r="AC9" s="1125"/>
      <c r="AD9" s="1125"/>
      <c r="AE9" s="1125"/>
      <c r="AF9" s="1125"/>
      <c r="AG9" s="1125"/>
      <c r="AH9" s="1125"/>
      <c r="AI9" s="1125"/>
      <c r="AJ9" s="1125"/>
      <c r="AK9" s="1125"/>
      <c r="AL9" s="1125"/>
      <c r="AM9" s="1125"/>
      <c r="AN9" s="1125"/>
      <c r="AO9" s="1125"/>
      <c r="AP9" s="1125"/>
      <c r="AQ9" s="1125"/>
      <c r="AR9" s="1125"/>
      <c r="AS9" s="1125"/>
      <c r="AT9" s="1125"/>
      <c r="AU9" s="1125"/>
      <c r="AV9" s="1125"/>
      <c r="AW9" s="1125"/>
      <c r="AX9" s="1125"/>
      <c r="AY9" s="1125"/>
      <c r="AZ9" s="1125"/>
      <c r="BA9" s="1125"/>
      <c r="BB9" s="1125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107" t="s">
        <v>819</v>
      </c>
      <c r="B10" s="1107"/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7"/>
      <c r="T10" s="1107"/>
      <c r="U10" s="1107"/>
      <c r="V10" s="1107"/>
      <c r="W10" s="1107"/>
      <c r="X10" s="1107"/>
      <c r="Y10" s="1107"/>
      <c r="Z10" s="1107"/>
      <c r="AA10" s="1107"/>
      <c r="AB10" s="1107"/>
      <c r="AC10" s="1107"/>
      <c r="AD10" s="1107"/>
      <c r="AE10" s="1107"/>
      <c r="AF10" s="1107"/>
      <c r="AG10" s="1107"/>
      <c r="AH10" s="1107"/>
      <c r="AI10" s="1107"/>
      <c r="AJ10" s="1107"/>
      <c r="AK10" s="1107"/>
      <c r="AL10" s="1107"/>
      <c r="AM10" s="1107"/>
      <c r="AN10" s="1107"/>
      <c r="AO10" s="1107"/>
      <c r="AP10" s="1107"/>
      <c r="AQ10" s="1107"/>
      <c r="AR10" s="1107"/>
      <c r="AS10" s="1107"/>
      <c r="AT10" s="1107"/>
      <c r="AU10" s="1107"/>
      <c r="AV10" s="1107"/>
      <c r="AW10" s="1107"/>
      <c r="AX10" s="1107"/>
      <c r="AY10" s="1107"/>
      <c r="AZ10" s="1107"/>
      <c r="BA10" s="1107"/>
      <c r="BB10" s="1107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094" t="s">
        <v>764</v>
      </c>
      <c r="B11" s="1094"/>
      <c r="C11" s="1094"/>
      <c r="D11" s="1094"/>
      <c r="E11" s="1094"/>
      <c r="F11" s="1094"/>
      <c r="G11" s="1094"/>
      <c r="H11" s="1094"/>
      <c r="I11" s="1094"/>
      <c r="J11" s="1094"/>
      <c r="K11" s="1094"/>
      <c r="L11" s="1094"/>
      <c r="M11" s="1094"/>
      <c r="N11" s="1094"/>
      <c r="O11" s="1094"/>
      <c r="P11" s="1094"/>
      <c r="Q11" s="1094"/>
      <c r="R11" s="1094"/>
      <c r="S11" s="1094"/>
      <c r="T11" s="1094"/>
      <c r="U11" s="1094"/>
      <c r="V11" s="1094"/>
      <c r="W11" s="1094"/>
      <c r="X11" s="1094"/>
      <c r="Y11" s="1094"/>
      <c r="Z11" s="1094"/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094"/>
      <c r="AO11" s="1094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111" t="str">
        <f>ФОРМА!B3</f>
        <v>ООО «БЭСК»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108" t="s">
        <v>820</v>
      </c>
      <c r="B13" s="1108"/>
      <c r="C13" s="1108"/>
      <c r="D13" s="1108"/>
      <c r="E13" s="1108"/>
      <c r="F13" s="1108"/>
      <c r="G13" s="1108"/>
      <c r="H13" s="1108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108"/>
      <c r="AW13" s="1108"/>
      <c r="AX13" s="1108"/>
      <c r="AY13" s="1108"/>
      <c r="AZ13" s="1108"/>
      <c r="BA13" s="1108"/>
      <c r="BB13" s="1108"/>
    </row>
    <row r="14" spans="1:63" ht="28.5" customHeight="1">
      <c r="A14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23.25" customHeight="1">
      <c r="A15" s="1107" t="s">
        <v>821</v>
      </c>
      <c r="B15" s="1107"/>
      <c r="C15" s="1107"/>
      <c r="D15" s="1107"/>
      <c r="E15" s="1107"/>
      <c r="F15" s="1107"/>
      <c r="G15" s="1107"/>
      <c r="H15" s="1107"/>
      <c r="I15" s="1107"/>
      <c r="J15" s="1107"/>
      <c r="K15" s="1107"/>
      <c r="L15" s="1107"/>
      <c r="M15" s="1107"/>
      <c r="N15" s="1107"/>
      <c r="O15" s="1107"/>
      <c r="P15" s="1107"/>
      <c r="Q15" s="1107"/>
      <c r="R15" s="1107"/>
      <c r="S15" s="1107"/>
      <c r="T15" s="1107"/>
      <c r="U15" s="1107"/>
      <c r="V15" s="1107"/>
      <c r="W15" s="1107"/>
      <c r="X15" s="1107"/>
      <c r="Y15" s="1107"/>
      <c r="Z15" s="1107"/>
      <c r="AA15" s="1107"/>
      <c r="AB15" s="1107"/>
      <c r="AC15" s="1107"/>
      <c r="AD15" s="1107"/>
      <c r="AE15" s="1107"/>
      <c r="AF15" s="1107"/>
      <c r="AG15" s="1107"/>
      <c r="AH15" s="1107"/>
      <c r="AI15" s="1107"/>
      <c r="AJ15" s="1107"/>
      <c r="AK15" s="1107"/>
      <c r="AL15" s="1107"/>
      <c r="AM15" s="1107"/>
      <c r="AN15" s="1107"/>
      <c r="AO15" s="1107"/>
      <c r="AP15" s="1107"/>
      <c r="AQ15" s="1107"/>
      <c r="AR15" s="1107"/>
      <c r="AS15" s="1107"/>
      <c r="AT15" s="1107"/>
      <c r="AU15" s="1107"/>
      <c r="AV15" s="1107"/>
      <c r="AW15" s="1107"/>
      <c r="AX15" s="1107"/>
      <c r="AY15" s="1107"/>
      <c r="AZ15" s="1107"/>
      <c r="BA15" s="1107"/>
      <c r="BB15" s="1107"/>
    </row>
    <row r="16" spans="1:63" ht="13.5" customHeight="1">
      <c r="A16" s="1094" t="s">
        <v>74</v>
      </c>
      <c r="B16" s="1094"/>
      <c r="C16" s="1094"/>
      <c r="D16" s="1094"/>
      <c r="E16" s="1094"/>
      <c r="F16" s="1094"/>
      <c r="G16" s="1094"/>
      <c r="H16" s="1094"/>
      <c r="I16" s="1094"/>
      <c r="J16" s="1094"/>
      <c r="K16" s="1094"/>
      <c r="L16" s="1094"/>
      <c r="M16" s="1094"/>
      <c r="N16" s="1094"/>
      <c r="O16" s="1094"/>
      <c r="P16" s="1094"/>
      <c r="Q16" s="1094"/>
      <c r="R16" s="1094"/>
      <c r="S16" s="1094"/>
      <c r="T16" s="1094"/>
      <c r="U16" s="1094"/>
      <c r="V16" s="1094"/>
      <c r="W16" s="1094"/>
      <c r="X16" s="1094"/>
      <c r="Y16" s="1094"/>
      <c r="Z16" s="1094"/>
      <c r="AA16" s="1094"/>
      <c r="AB16" s="1094"/>
      <c r="AC16" s="1094"/>
      <c r="AD16" s="1094"/>
      <c r="AE16" s="1094"/>
      <c r="AF16" s="1094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119" t="str">
        <f>ФОРМА!B8</f>
        <v>ООО «Строительные энергетические технологии»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1119"/>
      <c r="BB17" s="1119"/>
    </row>
    <row r="18" spans="1:54" ht="9" customHeight="1">
      <c r="A18" s="1105" t="s">
        <v>820</v>
      </c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  <c r="L18" s="1118"/>
      <c r="M18" s="1118"/>
      <c r="N18" s="1118"/>
      <c r="O18" s="1118"/>
      <c r="P18" s="1118"/>
      <c r="Q18" s="1118"/>
      <c r="R18" s="1118"/>
      <c r="S18" s="1118"/>
      <c r="T18" s="1118"/>
      <c r="U18" s="1118"/>
      <c r="V18" s="1118"/>
      <c r="W18" s="1118"/>
      <c r="X18" s="1118"/>
      <c r="Y18" s="1118"/>
      <c r="Z18" s="1118"/>
      <c r="AA18" s="1118"/>
      <c r="AB18" s="1118"/>
      <c r="AC18" s="1118"/>
      <c r="AD18" s="1118"/>
      <c r="AE18" s="1118"/>
      <c r="AF18" s="1118"/>
      <c r="AG18" s="1118"/>
      <c r="AH18" s="1118"/>
      <c r="AI18" s="1118"/>
      <c r="AJ18" s="1118"/>
      <c r="AK18" s="1118"/>
      <c r="AL18" s="1118"/>
      <c r="AM18" s="1118"/>
      <c r="AN18" s="1118"/>
      <c r="AO18" s="1118"/>
      <c r="AP18" s="1118"/>
      <c r="AQ18" s="1118"/>
      <c r="AR18" s="1118"/>
      <c r="AS18" s="1118"/>
      <c r="AT18" s="1118"/>
      <c r="AU18" s="1118"/>
      <c r="AV18" s="1118"/>
      <c r="AW18" s="1118"/>
      <c r="AX18" s="1118"/>
      <c r="AY18" s="1118"/>
      <c r="AZ18" s="1118"/>
      <c r="BA18" s="1118"/>
      <c r="BB18" s="1118"/>
    </row>
    <row r="19" spans="1:54" ht="27.75" customHeight="1">
      <c r="A19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1119"/>
      <c r="N19" s="1119"/>
      <c r="O19" s="1119"/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A19" s="1119"/>
      <c r="AB19" s="1119"/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M19" s="1119"/>
      <c r="AN19" s="1119"/>
      <c r="AO19" s="1119"/>
      <c r="AP19" s="1119"/>
      <c r="AQ19" s="1119"/>
      <c r="AR19" s="1119"/>
      <c r="AS19" s="1119"/>
      <c r="AT19" s="1119"/>
      <c r="AU19" s="1119"/>
      <c r="AV19" s="1119"/>
      <c r="AW19" s="1119"/>
      <c r="AX19" s="1119"/>
      <c r="AY19" s="1119"/>
      <c r="AZ19" s="1119"/>
      <c r="BA19" s="1119"/>
      <c r="BB19" s="1119"/>
    </row>
    <row r="20" spans="1:54" ht="9.75" customHeight="1">
      <c r="A20" s="1107" t="s">
        <v>765</v>
      </c>
      <c r="B20" s="1107"/>
      <c r="C20" s="1107"/>
      <c r="D20" s="1107"/>
      <c r="E20" s="1107"/>
      <c r="F20" s="1107"/>
      <c r="G20" s="1107"/>
      <c r="H20" s="1107"/>
      <c r="I20" s="1107"/>
      <c r="J20" s="1107"/>
      <c r="K20" s="1107"/>
      <c r="L20" s="1107"/>
      <c r="M20" s="1107"/>
      <c r="N20" s="1107"/>
      <c r="O20" s="1107"/>
      <c r="P20" s="1107"/>
      <c r="Q20" s="1107"/>
      <c r="R20" s="1107"/>
      <c r="S20" s="1107"/>
      <c r="T20" s="1107"/>
      <c r="U20" s="1107"/>
      <c r="V20" s="1107"/>
      <c r="W20" s="1107"/>
      <c r="X20" s="1107"/>
      <c r="Y20" s="1107"/>
      <c r="Z20" s="1107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107"/>
      <c r="AO20" s="1107"/>
      <c r="AP20" s="1107"/>
      <c r="AQ20" s="1107"/>
      <c r="AR20" s="1107"/>
      <c r="AS20" s="1107"/>
      <c r="AT20" s="1107"/>
      <c r="AU20" s="1107"/>
      <c r="AV20" s="1107"/>
      <c r="AW20" s="1107"/>
      <c r="AX20" s="1107"/>
      <c r="AY20" s="1107"/>
      <c r="AZ20" s="1107"/>
      <c r="BA20" s="1107"/>
      <c r="BB20" s="1107"/>
    </row>
    <row r="21" spans="1:54" ht="19.5" customHeight="1">
      <c r="A21" s="1120" t="s">
        <v>67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12.75" customHeight="1">
      <c r="A22" s="1120" t="s">
        <v>992</v>
      </c>
      <c r="B22" s="1120"/>
      <c r="C22" s="1120"/>
      <c r="D22" s="1120"/>
      <c r="E22" s="1120"/>
      <c r="F22" s="1120"/>
      <c r="G22" s="1120"/>
      <c r="H22" s="1120"/>
      <c r="I22" s="1120"/>
      <c r="J22" s="1120"/>
      <c r="K22" s="1120"/>
      <c r="L22" s="1120"/>
      <c r="M22" s="1120"/>
      <c r="N22" s="1120"/>
      <c r="O22" s="1120"/>
      <c r="P22" s="1120"/>
      <c r="Q22" s="1120"/>
      <c r="R22" s="1120"/>
      <c r="S22" s="1120"/>
      <c r="T22" s="1120"/>
      <c r="U22" s="1120"/>
      <c r="V22" s="1120"/>
      <c r="W22" s="1120"/>
      <c r="X22" s="1120"/>
      <c r="Y22" s="1120"/>
      <c r="Z22" s="1120"/>
      <c r="AA22" s="1120"/>
      <c r="AB22" s="1120"/>
      <c r="AC22" s="1120"/>
      <c r="AD22" s="1120"/>
      <c r="AE22" s="1120"/>
      <c r="AF22" s="1120"/>
      <c r="AG22" s="1120"/>
      <c r="AH22" s="1120"/>
      <c r="AI22" s="1120"/>
      <c r="AJ22" s="1120"/>
      <c r="AK22" s="1120"/>
      <c r="AL22" s="1120"/>
      <c r="AM22" s="1120"/>
      <c r="AN22" s="1120"/>
      <c r="AO22" s="1120"/>
      <c r="AP22" s="1120"/>
      <c r="AQ22" s="1120"/>
      <c r="AR22" s="1120"/>
      <c r="AS22" s="1120"/>
      <c r="AT22" s="1120"/>
      <c r="AU22" s="1120"/>
      <c r="AV22" s="1120"/>
      <c r="AW22" s="1120"/>
      <c r="AX22" s="1120"/>
      <c r="AY22" s="1120"/>
      <c r="AZ22" s="1120"/>
      <c r="BA22" s="1120"/>
      <c r="BB22" s="1120"/>
    </row>
    <row r="23" spans="1:54" ht="10.5" customHeight="1"/>
    <row r="24" spans="1:54" ht="14.25" customHeight="1">
      <c r="A24" s="284" t="s">
        <v>19</v>
      </c>
      <c r="C24" s="1121">
        <f>ФОРМА!B30</f>
        <v>0</v>
      </c>
      <c r="D24" s="1121"/>
      <c r="E24" s="1121"/>
      <c r="F24" s="1121"/>
      <c r="G24" s="1121"/>
      <c r="H24" s="1121"/>
      <c r="I24" s="1121"/>
      <c r="J24" s="1121"/>
      <c r="K24" s="1121"/>
      <c r="AK24" s="293"/>
      <c r="AL24" s="294"/>
      <c r="AM24" s="294"/>
      <c r="AN24" s="294"/>
      <c r="AO24" s="294"/>
      <c r="AP24" s="294"/>
      <c r="AQ24" s="294"/>
      <c r="AS24" s="293"/>
      <c r="AT24" s="1093">
        <f>ФОРМА!D30</f>
        <v>45354</v>
      </c>
      <c r="AU24" s="1093"/>
      <c r="AV24" s="1093"/>
      <c r="AW24" s="1093"/>
      <c r="AX24" s="1093"/>
      <c r="AY24" s="1093"/>
      <c r="AZ24" s="1093"/>
      <c r="BA24" s="1093"/>
      <c r="BB24" s="294"/>
    </row>
    <row r="25" spans="1:54" ht="2.5" customHeight="1"/>
    <row r="26" spans="1:54" ht="15.75" customHeight="1">
      <c r="A26" s="1094" t="s">
        <v>1002</v>
      </c>
      <c r="B26" s="1094"/>
      <c r="C26" s="1094"/>
      <c r="D26" s="1094"/>
      <c r="E26" s="1094"/>
      <c r="F26" s="1094"/>
      <c r="G26" s="1094"/>
      <c r="H26" s="1094"/>
      <c r="I26" s="1094"/>
      <c r="J26" s="1094"/>
      <c r="K26" s="1094"/>
      <c r="L26" s="1094"/>
      <c r="M26" s="1094"/>
      <c r="N26" s="1094"/>
      <c r="O26" s="1094"/>
      <c r="P26" s="1094"/>
      <c r="Q26" s="1094"/>
      <c r="R26" s="1094"/>
      <c r="S26" s="1094"/>
      <c r="T26" s="1094"/>
      <c r="U26" s="1094"/>
      <c r="V26" s="1094"/>
      <c r="W26" s="1094"/>
      <c r="X26" s="1094"/>
      <c r="Y26" s="1094"/>
      <c r="Z26" s="1094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094"/>
      <c r="BB26" s="1094"/>
    </row>
    <row r="27" spans="1:54" ht="24.75" customHeight="1">
      <c r="A27" s="1117" t="s">
        <v>780</v>
      </c>
      <c r="B27" s="1117"/>
      <c r="C27" s="1117"/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17"/>
      <c r="V27" s="1117"/>
      <c r="W27" s="1117"/>
      <c r="X27" s="1117"/>
      <c r="Y27" s="1117"/>
      <c r="Z27" s="1117"/>
      <c r="AA27" s="1117"/>
      <c r="AB27" s="1117"/>
      <c r="AC27" s="1117"/>
      <c r="AD27" s="1117"/>
      <c r="AE27" s="1117"/>
      <c r="AF27" s="1117"/>
      <c r="AG27" s="1117"/>
      <c r="AH27" s="1117"/>
      <c r="AI27" s="1117"/>
      <c r="AJ27" s="1117"/>
      <c r="AK27" s="1117"/>
      <c r="AL27" s="1117"/>
      <c r="AM27" s="1117"/>
      <c r="AN27" s="1117"/>
      <c r="AO27" s="1117"/>
      <c r="AP27" s="1117"/>
      <c r="AQ27" s="1117"/>
      <c r="AR27" s="1117"/>
      <c r="AS27" s="1117"/>
      <c r="AT27" s="1117"/>
      <c r="AU27" s="1117"/>
      <c r="AV27" s="1117"/>
      <c r="AW27" s="1117"/>
      <c r="AX27" s="1117"/>
      <c r="AY27" s="1117"/>
      <c r="AZ27" s="1117"/>
      <c r="BA27" s="1117"/>
      <c r="BB27" s="1117"/>
    </row>
    <row r="28" spans="1:54" ht="12.75" customHeight="1">
      <c r="A28" s="1102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1102"/>
      <c r="BB28" s="1102"/>
    </row>
    <row r="29" spans="1:54" ht="13.5" customHeight="1">
      <c r="A29" s="1116" t="str">
        <f>IF(ФОРМА!E30="ВЛ",ПОДПИСИ!C6,IF(ФОРМА!E30="КЛ",ПОДПИСИ!C7))</f>
        <v>Чечин Д.М.</v>
      </c>
      <c r="B29" s="1116"/>
      <c r="C29" s="1116"/>
      <c r="D29" s="1116"/>
      <c r="E29" s="1116"/>
      <c r="F29" s="1116"/>
      <c r="G29" s="1116"/>
      <c r="H29" s="1116"/>
      <c r="I29" s="1116"/>
      <c r="J29" s="1116"/>
      <c r="K29" s="1116"/>
      <c r="L29" s="1116"/>
      <c r="M29" s="1116"/>
      <c r="N29" s="1116"/>
      <c r="O29" s="1116"/>
      <c r="P29" s="1116"/>
      <c r="Q29" s="1116"/>
      <c r="R29" s="1116"/>
      <c r="S29" s="1116"/>
      <c r="T29" s="1116"/>
      <c r="U29" s="1116"/>
      <c r="V29" s="1116"/>
      <c r="W29" s="1116"/>
      <c r="X29" s="1116"/>
      <c r="Y29" s="1116"/>
      <c r="Z29" s="1116"/>
      <c r="AA29" s="1116"/>
      <c r="AB29" s="1116"/>
      <c r="AC29" s="1116"/>
      <c r="AD29" s="1116"/>
      <c r="AE29" s="1116"/>
      <c r="AF29" s="1116"/>
      <c r="AG29" s="1116"/>
      <c r="AH29" s="1116"/>
      <c r="AI29" s="1116"/>
      <c r="AJ29" s="1116"/>
      <c r="AK29" s="1116"/>
      <c r="AL29" s="1116"/>
      <c r="AM29" s="1116"/>
      <c r="AN29" s="1116"/>
      <c r="AO29" s="1116"/>
      <c r="AP29" s="1116"/>
      <c r="AQ29" s="1116"/>
      <c r="AR29" s="1116"/>
      <c r="AS29" s="1116"/>
      <c r="AT29" s="1116"/>
      <c r="AU29" s="1116"/>
      <c r="AV29" s="1116"/>
      <c r="AW29" s="1116"/>
      <c r="AX29" s="1116"/>
      <c r="AY29" s="1116"/>
      <c r="AZ29" s="1116"/>
      <c r="BA29" s="1116"/>
      <c r="BB29" s="1116"/>
    </row>
    <row r="30" spans="1:54" ht="38.25" customHeight="1">
      <c r="A30" s="1114" t="s">
        <v>1009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1114"/>
      <c r="BB30" s="1114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5.7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9.65" customHeight="1">
      <c r="A46" s="1113" t="s">
        <v>787</v>
      </c>
      <c r="B46" s="1113"/>
      <c r="C46" s="1113"/>
      <c r="D46" s="1113"/>
      <c r="E46" s="1113"/>
      <c r="F46" s="1113"/>
      <c r="G46" s="1113"/>
      <c r="H46" s="1113"/>
      <c r="I46" s="1113"/>
      <c r="J46" s="1113"/>
      <c r="K46" s="1113"/>
      <c r="L46" s="1113"/>
      <c r="M46" s="1113"/>
      <c r="N46" s="1113"/>
      <c r="O46" s="1113"/>
      <c r="P46" s="1113"/>
      <c r="Q46" s="1113"/>
      <c r="R46" s="1113"/>
      <c r="S46" s="1113"/>
      <c r="T46" s="1113"/>
      <c r="U46" s="1113"/>
      <c r="V46" s="1113"/>
      <c r="W46" s="1113"/>
      <c r="X46" s="1113"/>
      <c r="Y46" s="1113"/>
      <c r="Z46" s="1113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113"/>
      <c r="AO46" s="1113"/>
      <c r="AP46" s="1113"/>
      <c r="AQ46" s="1113"/>
      <c r="AR46" s="1113"/>
      <c r="AS46" s="1113"/>
      <c r="AT46" s="1113"/>
      <c r="AU46" s="1113"/>
      <c r="AV46" s="1113"/>
      <c r="AW46" s="1113"/>
      <c r="AX46" s="1113"/>
      <c r="AY46" s="1113"/>
      <c r="AZ46" s="1113"/>
      <c r="BA46" s="1113"/>
      <c r="BB46" s="1113"/>
    </row>
    <row r="47" spans="1:54">
      <c r="A47" s="1102"/>
      <c r="B47" s="1102"/>
      <c r="C47" s="1102"/>
      <c r="D47" s="1102"/>
      <c r="E47" s="1102"/>
      <c r="F47" s="1102"/>
      <c r="G47" s="1102"/>
      <c r="H47" s="1102"/>
      <c r="I47" s="1102"/>
      <c r="J47" s="1102"/>
      <c r="K47" s="1102"/>
      <c r="L47" s="1102"/>
      <c r="M47" s="1102"/>
      <c r="N47" s="1102"/>
      <c r="O47" s="1102"/>
      <c r="P47" s="1102"/>
      <c r="Q47" s="1102"/>
      <c r="R47" s="1102"/>
      <c r="S47" s="1102"/>
      <c r="T47" s="1102"/>
      <c r="U47" s="1102"/>
      <c r="V47" s="1102"/>
      <c r="W47" s="1102"/>
      <c r="X47" s="1102"/>
      <c r="Y47" s="1102"/>
      <c r="Z47" s="1102"/>
      <c r="AA47" s="1102"/>
      <c r="AB47" s="1102"/>
      <c r="AC47" s="1102"/>
      <c r="AD47" s="1102"/>
      <c r="AE47" s="1102"/>
      <c r="AF47" s="1102"/>
      <c r="AG47" s="1102"/>
      <c r="AH47" s="1102"/>
      <c r="AI47" s="1102"/>
      <c r="AJ47" s="1102"/>
      <c r="AK47" s="1102"/>
      <c r="AL47" s="1102"/>
      <c r="AM47" s="1102"/>
      <c r="AN47" s="1102"/>
      <c r="AO47" s="1102"/>
      <c r="AP47" s="1102"/>
      <c r="AQ47" s="1102"/>
      <c r="AR47" s="1102"/>
      <c r="AS47" s="1102"/>
      <c r="AT47" s="1102"/>
      <c r="AU47" s="1102"/>
      <c r="AV47" s="1102"/>
      <c r="AW47" s="1102"/>
      <c r="AX47" s="1102"/>
      <c r="AY47" s="1102"/>
      <c r="AZ47" s="1102"/>
      <c r="BA47" s="1102"/>
      <c r="BB47" s="1102"/>
    </row>
    <row r="48" spans="1:54" ht="15.75" customHeight="1">
      <c r="A48" s="1107" t="s">
        <v>788</v>
      </c>
      <c r="B48" s="1107"/>
      <c r="C48" s="1107"/>
      <c r="D48" s="1107"/>
      <c r="E48" s="1107"/>
      <c r="F48" s="1107"/>
      <c r="G48" s="1107"/>
      <c r="H48" s="1107"/>
      <c r="I48" s="1107"/>
      <c r="J48" s="1107"/>
      <c r="K48" s="1107"/>
      <c r="L48" s="1107"/>
      <c r="M48" s="1107"/>
      <c r="N48" s="1107"/>
      <c r="O48" s="1107"/>
      <c r="P48" s="1107"/>
      <c r="Q48" s="1107"/>
      <c r="R48" s="1107"/>
      <c r="S48" s="1107"/>
      <c r="T48" s="1107"/>
      <c r="U48" s="1107"/>
      <c r="V48" s="1107"/>
      <c r="W48" s="1107"/>
      <c r="X48" s="1107"/>
      <c r="Y48" s="1107"/>
      <c r="Z48" s="1107"/>
      <c r="AA48" s="1107"/>
      <c r="AB48" s="1107"/>
      <c r="AC48" s="1107"/>
      <c r="AD48" s="1107"/>
      <c r="AE48" s="1107"/>
      <c r="AF48" s="1107"/>
      <c r="AG48" s="1107"/>
      <c r="AH48" s="1107"/>
      <c r="AI48" s="1107"/>
      <c r="AJ48" s="1107"/>
      <c r="AK48" s="1107"/>
      <c r="AL48" s="1107"/>
      <c r="AM48" s="1107"/>
      <c r="AN48" s="1107"/>
      <c r="AO48" s="1107"/>
      <c r="AP48" s="1107"/>
      <c r="AQ48" s="1107"/>
      <c r="AR48" s="1107"/>
      <c r="AS48" s="1107"/>
      <c r="AT48" s="1107"/>
      <c r="AU48" s="1107"/>
      <c r="AV48" s="1107"/>
      <c r="AW48" s="1107"/>
      <c r="AX48" s="1107"/>
      <c r="AY48" s="1107"/>
      <c r="AZ48" s="1107"/>
      <c r="BA48" s="1107"/>
      <c r="BB48" s="1107"/>
    </row>
    <row r="49" spans="1:56">
      <c r="A49" s="1094" t="s">
        <v>79</v>
      </c>
      <c r="B49" s="1094"/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</row>
    <row r="50" spans="1:56">
      <c r="A50" s="1104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04"/>
      <c r="C50" s="1104"/>
      <c r="D50" s="1104"/>
      <c r="E50" s="1104"/>
      <c r="F50" s="1104"/>
      <c r="G50" s="1104"/>
      <c r="H50" s="1104"/>
      <c r="I50" s="1104"/>
      <c r="J50" s="1104"/>
      <c r="K50" s="1104"/>
      <c r="L50" s="1104"/>
      <c r="M50" s="1104"/>
      <c r="N50" s="1104"/>
      <c r="O50" s="1104"/>
      <c r="P50" s="1104"/>
      <c r="Q50" s="1104"/>
      <c r="R50" s="1104"/>
      <c r="S50" s="1104"/>
      <c r="T50" s="1104"/>
      <c r="U50" s="1104"/>
      <c r="V50" s="1104"/>
      <c r="W50" s="1104"/>
      <c r="X50" s="1104"/>
      <c r="Y50" s="1104"/>
      <c r="Z50" s="1104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</row>
    <row r="51" spans="1:56" ht="7.5" customHeight="1">
      <c r="A51" s="1105" t="s">
        <v>523</v>
      </c>
      <c r="B51" s="1105"/>
      <c r="C51" s="1105"/>
      <c r="D51" s="1105"/>
      <c r="E51" s="1105"/>
      <c r="F51" s="1105"/>
      <c r="G51" s="1105"/>
      <c r="H51" s="1105"/>
      <c r="I51" s="1105"/>
      <c r="J51" s="1105"/>
      <c r="K51" s="1105"/>
      <c r="L51" s="1105"/>
      <c r="M51" s="1105"/>
      <c r="N51" s="1105"/>
      <c r="O51" s="1105"/>
      <c r="P51" s="1105"/>
      <c r="Q51" s="1105"/>
      <c r="R51" s="1105"/>
      <c r="S51" s="1105"/>
      <c r="T51" s="1105"/>
      <c r="U51" s="1105"/>
      <c r="V51" s="1105"/>
      <c r="W51" s="1105"/>
      <c r="X51" s="1105"/>
      <c r="Y51" s="1105"/>
      <c r="Z51" s="1105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</row>
    <row r="52" spans="1:56" ht="12" customHeight="1">
      <c r="A52" s="1094" t="s">
        <v>993</v>
      </c>
      <c r="B52" s="1094"/>
      <c r="C52" s="1094"/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94"/>
      <c r="V52" s="1094"/>
      <c r="W52" s="1094"/>
      <c r="X52" s="1094"/>
      <c r="Y52" s="1094"/>
      <c r="Z52" s="1094"/>
      <c r="AA52" s="1094"/>
      <c r="AB52" s="1094"/>
      <c r="AC52" s="1094"/>
      <c r="AD52" s="1094"/>
      <c r="AE52" s="1094"/>
      <c r="AF52" s="1094"/>
      <c r="AG52" s="1094"/>
      <c r="AH52" s="1094"/>
      <c r="AI52" s="1094"/>
      <c r="AJ52" s="1094"/>
      <c r="AK52" s="1094"/>
      <c r="AL52" s="1094"/>
      <c r="AM52" s="1094"/>
      <c r="AN52" s="1094"/>
      <c r="AO52" s="1094"/>
      <c r="AP52" s="1094"/>
      <c r="AQ52" s="1094"/>
    </row>
    <row r="53" spans="1:56" ht="13.5" customHeight="1">
      <c r="A53" s="1094" t="s">
        <v>994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14.25" customHeight="1">
      <c r="A54" s="1110" t="str">
        <f>CONCATENATE("Вырубка полосы под ",ФОРМА!E30)</f>
        <v>Вырубка полосы под ВЛ</v>
      </c>
      <c r="B54" s="1110"/>
      <c r="C54" s="1110"/>
      <c r="D54" s="1110"/>
      <c r="E54" s="1110"/>
      <c r="F54" s="1110"/>
      <c r="G54" s="1110"/>
      <c r="H54" s="1110"/>
      <c r="I54" s="1110"/>
      <c r="J54" s="1110"/>
      <c r="K54" s="1110"/>
      <c r="L54" s="1110"/>
      <c r="M54" s="1110"/>
      <c r="N54" s="1110"/>
      <c r="O54" s="1110"/>
      <c r="P54" s="1110"/>
      <c r="Q54" s="1110"/>
      <c r="R54" s="1110"/>
      <c r="S54" s="1110"/>
      <c r="T54" s="1110"/>
      <c r="U54" s="1110"/>
      <c r="V54" s="1110"/>
      <c r="W54" s="1110"/>
      <c r="X54" s="1110"/>
      <c r="Y54" s="1110"/>
      <c r="Z54" s="1110"/>
      <c r="AA54" s="1110"/>
      <c r="AB54" s="1110"/>
      <c r="AC54" s="1110"/>
      <c r="AD54" s="1110"/>
      <c r="AE54" s="1110"/>
      <c r="AF54" s="1110"/>
      <c r="AG54" s="1110"/>
      <c r="AH54" s="1110"/>
      <c r="AI54" s="1110"/>
      <c r="AJ54" s="1110"/>
      <c r="AK54" s="1110"/>
      <c r="AL54" s="1110"/>
      <c r="AM54" s="1110"/>
      <c r="AN54" s="1110"/>
      <c r="AO54" s="1110"/>
      <c r="AP54" s="1110"/>
      <c r="AQ54" s="1110"/>
      <c r="AR54" s="1110"/>
      <c r="AS54" s="1110"/>
      <c r="AT54" s="1110"/>
      <c r="AU54" s="1110"/>
      <c r="AV54" s="1110"/>
      <c r="AW54" s="1110"/>
      <c r="AX54" s="1110"/>
      <c r="AY54" s="1110"/>
      <c r="AZ54" s="1110"/>
      <c r="BA54" s="1110"/>
      <c r="BB54" s="1110"/>
    </row>
    <row r="55" spans="1:56" ht="14.25" customHeight="1">
      <c r="A55" s="1095" t="str">
        <f>ФОРМА!F30</f>
        <v>1. Расчистка площадей от кустарника и мелколесья вручную: при густой поросли - 0,28 Га ;</v>
      </c>
      <c r="B55" s="1095"/>
      <c r="C55" s="1095"/>
      <c r="D55" s="1095"/>
      <c r="E55" s="1095"/>
      <c r="F55" s="1095"/>
      <c r="G55" s="1095"/>
      <c r="H55" s="1095"/>
      <c r="I55" s="1095"/>
      <c r="J55" s="1095"/>
      <c r="K55" s="1095"/>
      <c r="L55" s="1095"/>
      <c r="M55" s="1095"/>
      <c r="N55" s="1095"/>
      <c r="O55" s="1095"/>
      <c r="P55" s="1095"/>
      <c r="Q55" s="1095"/>
      <c r="R55" s="1095"/>
      <c r="S55" s="1095"/>
      <c r="T55" s="1095"/>
      <c r="U55" s="1095"/>
      <c r="V55" s="1095"/>
      <c r="W55" s="1095"/>
      <c r="X55" s="1095"/>
      <c r="Y55" s="1095"/>
      <c r="Z55" s="1095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095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</row>
    <row r="56" spans="1:56" ht="7.5" customHeight="1">
      <c r="A56" s="1105" t="s">
        <v>1004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105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</row>
    <row r="57" spans="1:56">
      <c r="A57" s="1094" t="s">
        <v>82</v>
      </c>
      <c r="B57" s="1094"/>
      <c r="C57" s="1094"/>
      <c r="D57" s="1094"/>
      <c r="E57" s="1094"/>
      <c r="F57" s="1094"/>
      <c r="G57" s="1094"/>
      <c r="H57" s="1094"/>
      <c r="I57" s="1094"/>
      <c r="J57" s="1094"/>
      <c r="K57" s="1094"/>
      <c r="L57" s="1094"/>
      <c r="M57" s="1094"/>
      <c r="N57" s="1094"/>
      <c r="O57" s="1094"/>
      <c r="P57" s="1094"/>
      <c r="Q57" s="1094"/>
      <c r="R57" s="1094"/>
      <c r="S57" s="1094"/>
      <c r="T57" s="1094"/>
      <c r="U57" s="1094"/>
      <c r="V57" s="1094"/>
      <c r="W57" s="1094"/>
      <c r="X57" s="1094"/>
      <c r="Y57" s="1094"/>
      <c r="Z57" s="1094"/>
      <c r="AA57" s="1094"/>
      <c r="AB57" s="1111" t="str">
        <f>ФОРМА!B8</f>
        <v>ООО «Строительные энергетические технологии»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108" t="s">
        <v>829</v>
      </c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>
      <c r="A59" s="1104" t="str">
        <f>CONCATENATE("Проект Шифр ",ФОРМА!B9)</f>
        <v>Проект Шифр СЭС-23-32939-ЭС-ТКР2</v>
      </c>
      <c r="B59" s="1104"/>
      <c r="C59" s="1104"/>
      <c r="D59" s="1104"/>
      <c r="E59" s="1104"/>
      <c r="F59" s="1104"/>
      <c r="G59" s="1104"/>
      <c r="H59" s="1104"/>
      <c r="I59" s="1104"/>
      <c r="J59" s="1104"/>
      <c r="K59" s="1104"/>
      <c r="L59" s="1104"/>
      <c r="M59" s="1104"/>
      <c r="N59" s="1104"/>
      <c r="O59" s="1104"/>
      <c r="P59" s="1104"/>
      <c r="Q59" s="1104"/>
      <c r="R59" s="1104"/>
      <c r="S59" s="1104"/>
      <c r="T59" s="1104"/>
      <c r="U59" s="1104"/>
      <c r="V59" s="1104"/>
      <c r="W59" s="1104"/>
      <c r="X59" s="1104"/>
      <c r="Y59" s="1104"/>
      <c r="Z59" s="1104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104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</row>
    <row r="60" spans="1:56" ht="8.25" customHeight="1">
      <c r="A60" s="1105" t="s">
        <v>830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</row>
    <row r="61" spans="1:56">
      <c r="A61" s="1094" t="s">
        <v>768</v>
      </c>
      <c r="B61" s="1094"/>
      <c r="C61" s="1094"/>
      <c r="D61" s="1094"/>
      <c r="E61" s="1094"/>
      <c r="F61" s="1094"/>
      <c r="G61" s="1094"/>
      <c r="H61" s="1094"/>
      <c r="I61" s="1094"/>
      <c r="J61" s="1094"/>
      <c r="K61" s="1094"/>
      <c r="L61" s="1094"/>
      <c r="M61" s="1094"/>
      <c r="N61" s="1094"/>
      <c r="O61" s="1094"/>
      <c r="P61" s="1094"/>
      <c r="Q61" s="1094"/>
      <c r="R61" s="1094"/>
      <c r="S61" s="1094"/>
      <c r="T61" s="1094"/>
      <c r="U61" s="1094"/>
      <c r="V61" s="1094"/>
      <c r="W61" s="1094"/>
      <c r="X61" s="1094"/>
      <c r="Y61" s="1094"/>
      <c r="Z61" s="1094"/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094"/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/>
      <c r="AY61" s="1094"/>
      <c r="AZ61" s="1094"/>
    </row>
    <row r="62" spans="1:56" ht="14.5">
      <c r="A62" s="1109" t="s">
        <v>1005</v>
      </c>
      <c r="B62" s="1109"/>
      <c r="C62" s="1109"/>
      <c r="D62" s="1109"/>
      <c r="E62" s="1109"/>
      <c r="F62" s="1109"/>
      <c r="G62" s="1109"/>
      <c r="H62" s="1109"/>
      <c r="I62" s="1109"/>
      <c r="J62" s="1109"/>
      <c r="K62" s="1109"/>
      <c r="L62" s="1109"/>
      <c r="M62" s="1109"/>
      <c r="N62" s="1109"/>
      <c r="O62" s="1109"/>
      <c r="P62" s="1109"/>
      <c r="Q62" s="1109"/>
      <c r="R62" s="1109"/>
      <c r="S62" s="1109"/>
      <c r="T62" s="1109"/>
      <c r="U62" s="1109"/>
      <c r="V62" s="1109"/>
      <c r="W62" s="1109"/>
      <c r="X62" s="1109"/>
      <c r="Y62" s="1109"/>
      <c r="Z62" s="1109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D62" s="291"/>
    </row>
    <row r="63" spans="1:56">
      <c r="A63" s="1107" t="s">
        <v>831</v>
      </c>
      <c r="B63" s="1107"/>
      <c r="C63" s="1107"/>
      <c r="D63" s="1107"/>
      <c r="E63" s="1107"/>
      <c r="F63" s="1107"/>
      <c r="G63" s="1107"/>
      <c r="H63" s="1107"/>
      <c r="I63" s="1107"/>
      <c r="J63" s="1107"/>
      <c r="K63" s="1107"/>
      <c r="L63" s="1107"/>
      <c r="M63" s="1107"/>
      <c r="N63" s="1107"/>
      <c r="O63" s="1107"/>
      <c r="P63" s="1107"/>
      <c r="Q63" s="1107"/>
      <c r="R63" s="1107"/>
      <c r="S63" s="1107"/>
      <c r="T63" s="1107"/>
      <c r="U63" s="1107"/>
      <c r="V63" s="1107"/>
      <c r="W63" s="1107"/>
      <c r="X63" s="1107"/>
      <c r="Y63" s="1107"/>
      <c r="Z63" s="1107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D63" s="291"/>
    </row>
    <row r="64" spans="1:56">
      <c r="A64" s="1094" t="s">
        <v>84</v>
      </c>
      <c r="B64" s="1094"/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D64" s="291"/>
    </row>
    <row r="65" spans="1:56">
      <c r="A65" s="1106" t="str">
        <f>ФОРМА!F31</f>
        <v>Исполнительные схемы по расчистке трассы</v>
      </c>
      <c r="B65" s="1106"/>
      <c r="C65" s="1106"/>
      <c r="D65" s="1106"/>
      <c r="E65" s="1106"/>
      <c r="F65" s="1106"/>
      <c r="G65" s="1106"/>
      <c r="H65" s="1106"/>
      <c r="I65" s="1106"/>
      <c r="J65" s="1106"/>
      <c r="K65" s="1106"/>
      <c r="L65" s="1106"/>
      <c r="M65" s="1106"/>
      <c r="N65" s="1106"/>
      <c r="O65" s="1106"/>
      <c r="P65" s="1106"/>
      <c r="Q65" s="1106"/>
      <c r="R65" s="1106"/>
      <c r="S65" s="1106"/>
      <c r="T65" s="1106"/>
      <c r="U65" s="1106"/>
      <c r="V65" s="1106"/>
      <c r="W65" s="1106"/>
      <c r="X65" s="1106"/>
      <c r="Y65" s="1106"/>
      <c r="Z65" s="1106"/>
      <c r="AA65" s="1106"/>
      <c r="AB65" s="1106"/>
      <c r="AC65" s="1106"/>
      <c r="AD65" s="1106"/>
      <c r="AE65" s="1106"/>
      <c r="AF65" s="1106"/>
      <c r="AG65" s="1106"/>
      <c r="AH65" s="1106"/>
      <c r="AI65" s="1106"/>
      <c r="AJ65" s="1106"/>
      <c r="AK65" s="1106"/>
      <c r="AL65" s="1106"/>
      <c r="AM65" s="1106"/>
      <c r="AN65" s="1106"/>
      <c r="AO65" s="1106"/>
      <c r="AP65" s="1106"/>
      <c r="AQ65" s="1106"/>
      <c r="AR65" s="1106"/>
      <c r="AS65" s="1106"/>
      <c r="AT65" s="1106"/>
      <c r="AU65" s="1106"/>
      <c r="AV65" s="1106"/>
      <c r="AW65" s="1106"/>
      <c r="AX65" s="1106"/>
      <c r="AY65" s="1106"/>
      <c r="AZ65" s="1106"/>
      <c r="BA65" s="1106"/>
      <c r="BB65" s="1106"/>
      <c r="BD65" s="297"/>
    </row>
    <row r="66" spans="1:56" ht="9" customHeight="1">
      <c r="A66" s="1107" t="s">
        <v>525</v>
      </c>
      <c r="B66" s="1107"/>
      <c r="C66" s="1107"/>
      <c r="D66" s="1107"/>
      <c r="E66" s="1107"/>
      <c r="F66" s="1107"/>
      <c r="G66" s="1107"/>
      <c r="H66" s="1107"/>
      <c r="I66" s="1107"/>
      <c r="J66" s="1107"/>
      <c r="K66" s="1107"/>
      <c r="L66" s="1107"/>
      <c r="M66" s="1107"/>
      <c r="N66" s="1107"/>
      <c r="O66" s="1107"/>
      <c r="P66" s="1107"/>
      <c r="Q66" s="1107"/>
      <c r="R66" s="1107"/>
      <c r="S66" s="1107"/>
      <c r="T66" s="1107"/>
      <c r="U66" s="1107"/>
      <c r="V66" s="1107"/>
      <c r="W66" s="1107"/>
      <c r="X66" s="1107"/>
      <c r="Y66" s="1107"/>
      <c r="Z66" s="1107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107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</row>
    <row r="67" spans="1:56" ht="12.75" customHeight="1">
      <c r="A67" s="1094" t="s">
        <v>526</v>
      </c>
      <c r="B67" s="1094"/>
      <c r="C67" s="1094"/>
      <c r="D67" s="1094"/>
      <c r="E67" s="1094"/>
      <c r="F67" s="1094" t="s">
        <v>527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6"/>
      <c r="S67" s="1096">
        <f>ФОРМА!C30</f>
        <v>45352</v>
      </c>
      <c r="T67" s="1096"/>
      <c r="U67" s="1096"/>
      <c r="V67" s="1096"/>
      <c r="W67" s="1096"/>
      <c r="X67" s="1096"/>
      <c r="Y67" s="1096"/>
      <c r="Z67" s="1096"/>
      <c r="AA67" s="1096"/>
      <c r="AB67" s="1096"/>
      <c r="AC67" s="1096"/>
      <c r="AD67" s="1096"/>
      <c r="AE67" s="1096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832</v>
      </c>
      <c r="B68" s="341"/>
      <c r="C68" s="341"/>
      <c r="D68" s="341" t="s">
        <v>833</v>
      </c>
      <c r="E68" s="341"/>
      <c r="F68" s="1094" t="s">
        <v>89</v>
      </c>
      <c r="G68" s="1094"/>
      <c r="H68" s="1094"/>
      <c r="I68" s="1094"/>
      <c r="J68" s="1094"/>
      <c r="K68" s="1094"/>
      <c r="L68" s="1094"/>
      <c r="M68" s="1094"/>
      <c r="N68" s="1094"/>
      <c r="O68" s="1094"/>
      <c r="P68" s="1094"/>
      <c r="Q68" s="1094"/>
      <c r="R68" s="341"/>
      <c r="S68" s="1096">
        <f>ФОРМА!D30</f>
        <v>45354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094" t="s">
        <v>85</v>
      </c>
      <c r="B70" s="1094"/>
      <c r="C70" s="1094"/>
      <c r="D70" s="1094"/>
      <c r="E70" s="1094"/>
      <c r="F70" s="1094"/>
      <c r="G70" s="1094"/>
      <c r="H70" s="1094"/>
      <c r="I70" s="1094"/>
      <c r="J70" s="1094"/>
      <c r="K70" s="1094"/>
      <c r="L70" s="1094"/>
      <c r="M70" s="1094"/>
      <c r="N70" s="1094"/>
      <c r="O70" s="1094"/>
      <c r="P70" s="1094"/>
      <c r="Q70" s="1094"/>
      <c r="R70" s="1094"/>
      <c r="S70" s="1094"/>
      <c r="T70" s="1094"/>
      <c r="U70" s="1094"/>
      <c r="V70" s="1106" t="s">
        <v>1007</v>
      </c>
      <c r="W70" s="1106"/>
      <c r="X70" s="1106"/>
      <c r="Y70" s="1106"/>
      <c r="Z70" s="1106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V70" s="1106"/>
      <c r="AW70" s="1106"/>
      <c r="AX70" s="1106"/>
      <c r="AY70" s="1106"/>
      <c r="AZ70" s="1106"/>
      <c r="BA70" s="1106"/>
      <c r="BB70" s="1106"/>
    </row>
    <row r="71" spans="1:56" ht="18.75" customHeight="1">
      <c r="U71" s="296"/>
      <c r="V71" s="1103" t="s">
        <v>995</v>
      </c>
      <c r="W71" s="1103"/>
      <c r="X71" s="1103"/>
      <c r="Y71" s="1103"/>
      <c r="Z71" s="1103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</row>
    <row r="72" spans="1:56">
      <c r="A72" s="1094" t="s">
        <v>769</v>
      </c>
      <c r="B72" s="1094"/>
      <c r="C72" s="1094"/>
      <c r="D72" s="1094"/>
      <c r="E72" s="1094"/>
      <c r="F72" s="1094"/>
      <c r="G72" s="1094"/>
      <c r="H72" s="1094"/>
      <c r="I72" s="1094"/>
      <c r="J72" s="1094"/>
      <c r="K72" s="1094"/>
      <c r="L72" s="1094"/>
      <c r="M72" s="1094"/>
      <c r="N72" s="1094"/>
      <c r="O72" s="1094"/>
      <c r="P72" s="1094"/>
      <c r="Q72" s="1094"/>
      <c r="R72" s="1094"/>
      <c r="S72" s="1094"/>
      <c r="T72" s="1094"/>
      <c r="U72" s="1094"/>
      <c r="V72" s="1094"/>
      <c r="W72" s="1094"/>
      <c r="X72" s="1094"/>
      <c r="Y72" s="1094"/>
      <c r="Z72" s="1094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94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094"/>
    </row>
    <row r="73" spans="1:56">
      <c r="A73" s="1104"/>
      <c r="B73" s="1104"/>
      <c r="C73" s="1104"/>
      <c r="D73" s="1104"/>
      <c r="E73" s="1104"/>
      <c r="F73" s="1104"/>
      <c r="G73" s="1104"/>
      <c r="H73" s="1104"/>
      <c r="I73" s="1104"/>
      <c r="J73" s="1104"/>
      <c r="K73" s="1104"/>
      <c r="L73" s="1104"/>
      <c r="M73" s="1104"/>
      <c r="N73" s="1104"/>
      <c r="O73" s="1104"/>
      <c r="P73" s="1104"/>
      <c r="Q73" s="1104"/>
      <c r="R73" s="1104"/>
      <c r="S73" s="1104"/>
      <c r="T73" s="1104"/>
      <c r="U73" s="1104"/>
      <c r="V73" s="1104"/>
      <c r="W73" s="1104"/>
      <c r="X73" s="1104"/>
      <c r="Y73" s="1104"/>
      <c r="Z73" s="1104"/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</row>
    <row r="74" spans="1:56" ht="8.25" customHeight="1">
      <c r="A74" s="1105" t="s">
        <v>529</v>
      </c>
      <c r="B74" s="1105"/>
      <c r="C74" s="1105"/>
      <c r="D74" s="1105"/>
      <c r="E74" s="1105"/>
      <c r="F74" s="1105"/>
      <c r="G74" s="1105"/>
      <c r="H74" s="1105"/>
      <c r="I74" s="1105"/>
      <c r="J74" s="1105"/>
      <c r="K74" s="1105"/>
      <c r="L74" s="1105"/>
      <c r="M74" s="1105"/>
      <c r="N74" s="1105"/>
      <c r="O74" s="1105"/>
      <c r="P74" s="1105"/>
      <c r="Q74" s="1105"/>
      <c r="R74" s="1105"/>
      <c r="S74" s="1105"/>
      <c r="T74" s="1105"/>
      <c r="U74" s="1105"/>
      <c r="V74" s="1105"/>
      <c r="W74" s="1105"/>
      <c r="X74" s="1105"/>
      <c r="Y74" s="1105"/>
      <c r="Z74" s="1105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</row>
    <row r="75" spans="1:56">
      <c r="A75" s="1094" t="s">
        <v>86</v>
      </c>
      <c r="B75" s="1094"/>
      <c r="C75" s="1094"/>
      <c r="D75" s="1094"/>
      <c r="E75" s="1094"/>
      <c r="F75" s="1094"/>
      <c r="G75" s="1094"/>
      <c r="H75" s="1094"/>
      <c r="I75" s="1094"/>
      <c r="J75" s="1094"/>
      <c r="K75" s="1094"/>
      <c r="L75" s="1094"/>
      <c r="M75" s="1094"/>
      <c r="N75" s="1094"/>
      <c r="O75" s="1094"/>
      <c r="P75" s="341"/>
      <c r="Q75" s="1098" t="s">
        <v>65</v>
      </c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</row>
    <row r="76" spans="1:56">
      <c r="A76" s="1094" t="s">
        <v>90</v>
      </c>
      <c r="B76" s="1094"/>
      <c r="C76" s="1094"/>
      <c r="D76" s="1094"/>
      <c r="E76" s="1094"/>
      <c r="F76" s="1094"/>
      <c r="G76" s="1094"/>
      <c r="H76" s="1094"/>
      <c r="I76" s="1094"/>
      <c r="J76" s="1099">
        <f>ФОРМА!F5</f>
        <v>2</v>
      </c>
      <c r="K76" s="1099"/>
      <c r="L76" s="1100" t="s">
        <v>835</v>
      </c>
      <c r="M76" s="1100"/>
      <c r="N76" s="1100"/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0"/>
      <c r="Z76" s="1100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101" t="s">
        <v>87</v>
      </c>
      <c r="B77" s="1101"/>
      <c r="C77" s="1101"/>
      <c r="D77" s="1101"/>
      <c r="E77" s="1101"/>
      <c r="F77" s="1101"/>
      <c r="G77" s="1101"/>
      <c r="H77" s="299"/>
      <c r="I77" s="1102" t="str">
        <f>A65</f>
        <v>Исполнительные схемы по расчистке трассы</v>
      </c>
      <c r="J77" s="1102"/>
      <c r="K77" s="1102"/>
      <c r="L77" s="1102"/>
      <c r="M77" s="1102"/>
      <c r="N77" s="1102"/>
      <c r="O77" s="1102"/>
      <c r="P77" s="1102"/>
      <c r="Q77" s="1102"/>
      <c r="R77" s="1102"/>
      <c r="S77" s="1102"/>
      <c r="T77" s="1102"/>
      <c r="U77" s="1102"/>
      <c r="V77" s="1102"/>
      <c r="W77" s="1102"/>
      <c r="X77" s="1102"/>
      <c r="Y77" s="1102"/>
      <c r="Z77" s="1102"/>
      <c r="AA77" s="1102"/>
      <c r="AB77" s="1102"/>
      <c r="AC77" s="1102"/>
      <c r="AD77" s="1102"/>
      <c r="AE77" s="1102"/>
      <c r="AF77" s="1102"/>
      <c r="AG77" s="1102"/>
      <c r="AH77" s="1102"/>
      <c r="AI77" s="1102"/>
      <c r="AJ77" s="1102"/>
      <c r="AK77" s="1102"/>
      <c r="AL77" s="1102"/>
      <c r="AM77" s="1102"/>
      <c r="AN77" s="1102"/>
      <c r="AO77" s="1102"/>
      <c r="AP77" s="1102"/>
      <c r="AQ77" s="1102"/>
      <c r="AR77" s="1102"/>
      <c r="AS77" s="1102"/>
      <c r="AT77" s="1102"/>
      <c r="AU77" s="1102"/>
      <c r="AV77" s="1102"/>
      <c r="AW77" s="1102"/>
      <c r="AX77" s="1102"/>
      <c r="AY77" s="1102"/>
      <c r="AZ77" s="1102"/>
      <c r="BA77" s="1102"/>
      <c r="BB77" s="1102"/>
    </row>
    <row r="78" spans="1:56" ht="9" customHeight="1">
      <c r="A78" s="1097" t="s">
        <v>770</v>
      </c>
      <c r="B78" s="1097"/>
      <c r="C78" s="1097"/>
      <c r="D78" s="1097"/>
      <c r="E78" s="1097"/>
      <c r="F78" s="1097"/>
      <c r="G78" s="1097"/>
      <c r="H78" s="1097"/>
      <c r="I78" s="1097"/>
      <c r="J78" s="1097"/>
      <c r="K78" s="1097"/>
      <c r="L78" s="1097"/>
      <c r="M78" s="1097"/>
      <c r="N78" s="1097"/>
      <c r="O78" s="1097"/>
      <c r="P78" s="1097"/>
      <c r="Q78" s="1097"/>
      <c r="R78" s="1097"/>
      <c r="S78" s="1097"/>
      <c r="T78" s="1097"/>
      <c r="U78" s="1097"/>
      <c r="V78" s="1097"/>
      <c r="W78" s="1097"/>
      <c r="X78" s="1097"/>
      <c r="Y78" s="1097"/>
      <c r="Z78" s="1097"/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1097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</row>
    <row r="79" spans="1:56" ht="26.25" customHeight="1">
      <c r="A79" s="1089" t="s">
        <v>546</v>
      </c>
      <c r="B79" s="1089"/>
      <c r="C79" s="1089"/>
      <c r="D79" s="1089"/>
      <c r="E79" s="1089"/>
      <c r="F79" s="1089"/>
      <c r="G79" s="1089"/>
      <c r="H79" s="1089"/>
      <c r="I79" s="1089"/>
      <c r="J79" s="1089"/>
      <c r="K79" s="1089"/>
      <c r="L79" s="1089"/>
      <c r="M79" s="1089"/>
      <c r="N79" s="1089"/>
      <c r="O79" s="1089"/>
      <c r="P79" s="1089"/>
      <c r="Q79" s="1089"/>
      <c r="R79" s="1089"/>
      <c r="S79" s="1089"/>
      <c r="T79" s="1089"/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  <c r="BA79" s="1089"/>
      <c r="BB79" s="1089"/>
    </row>
    <row r="80" spans="1:56" ht="22.5" customHeight="1">
      <c r="A80" s="1090" t="str">
        <f>IF(ФОРМА!E30="ВЛ",ПОДПИСИ!D6,IF(ФОРМА!E30="КЛ",ПОДПИСИ!D7))</f>
        <v>Чечин Д.М.</v>
      </c>
      <c r="B80" s="1090"/>
      <c r="C80" s="1090"/>
      <c r="D80" s="1090"/>
      <c r="E80" s="1090"/>
      <c r="F80" s="1090"/>
      <c r="G80" s="1090"/>
      <c r="H80" s="1090"/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91"/>
      <c r="BA80" s="1091"/>
      <c r="BB80" s="1091"/>
    </row>
    <row r="81" spans="1:54" ht="9" customHeight="1">
      <c r="A81" s="1092" t="s">
        <v>799</v>
      </c>
      <c r="B81" s="1092"/>
      <c r="C81" s="1092"/>
      <c r="D81" s="1092"/>
      <c r="E81" s="1092"/>
      <c r="F81" s="1092"/>
      <c r="G81" s="1092"/>
      <c r="H81" s="1092"/>
      <c r="I81" s="1092"/>
      <c r="J81" s="1092"/>
      <c r="K81" s="1092"/>
      <c r="L81" s="1092"/>
      <c r="M81" s="1092"/>
      <c r="N81" s="1092"/>
      <c r="O81" s="1092"/>
      <c r="P81" s="1092"/>
      <c r="Q81" s="1092"/>
      <c r="R81" s="1092"/>
      <c r="S81" s="1092"/>
      <c r="T81" s="1092"/>
      <c r="U81" s="1092"/>
      <c r="V81" s="1092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92" t="s">
        <v>49</v>
      </c>
      <c r="BA81" s="1092"/>
      <c r="BB81" s="1092"/>
    </row>
    <row r="82" spans="1:54">
      <c r="A82" s="1089" t="s">
        <v>783</v>
      </c>
      <c r="B82" s="1089"/>
      <c r="C82" s="1089"/>
      <c r="D82" s="1089"/>
      <c r="E82" s="1089"/>
      <c r="F82" s="1089"/>
      <c r="G82" s="1089"/>
      <c r="H82" s="1089"/>
      <c r="I82" s="1089"/>
      <c r="J82" s="1089"/>
      <c r="K82" s="1089"/>
      <c r="L82" s="1089"/>
      <c r="M82" s="1089"/>
      <c r="N82" s="1089"/>
      <c r="O82" s="1089"/>
      <c r="P82" s="1089"/>
      <c r="Q82" s="1089"/>
      <c r="R82" s="1089"/>
      <c r="S82" s="1089"/>
      <c r="T82" s="1089"/>
      <c r="U82" s="1089"/>
      <c r="V82" s="1089"/>
      <c r="W82" s="1089"/>
      <c r="X82" s="1089"/>
      <c r="Y82" s="1089"/>
      <c r="Z82" s="1089"/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1089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</row>
    <row r="83" spans="1:54" ht="22.5" customHeight="1">
      <c r="A83" s="1090" t="str">
        <f>ПОДПИСИ!D15</f>
        <v>Матвеев А.С.</v>
      </c>
      <c r="B83" s="1090"/>
      <c r="C83" s="1090"/>
      <c r="D83" s="1090"/>
      <c r="E83" s="1090"/>
      <c r="F83" s="1090"/>
      <c r="G83" s="1090"/>
      <c r="H83" s="1090"/>
      <c r="I83" s="1090"/>
      <c r="J83" s="1090"/>
      <c r="K83" s="1090"/>
      <c r="L83" s="1090"/>
      <c r="M83" s="1090"/>
      <c r="N83" s="1090"/>
      <c r="O83" s="1090"/>
      <c r="P83" s="1090"/>
      <c r="Q83" s="1090"/>
      <c r="R83" s="1090"/>
      <c r="S83" s="1090"/>
      <c r="T83" s="1090"/>
      <c r="U83" s="1090"/>
      <c r="V83" s="109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1"/>
      <c r="BA83" s="1091"/>
      <c r="BB83" s="1091"/>
    </row>
    <row r="84" spans="1:54" ht="9" customHeight="1">
      <c r="A84" s="1092" t="s">
        <v>799</v>
      </c>
      <c r="B84" s="1092"/>
      <c r="C84" s="1092"/>
      <c r="D84" s="1092"/>
      <c r="E84" s="1092"/>
      <c r="F84" s="1092"/>
      <c r="G84" s="1092"/>
      <c r="H84" s="1092"/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2" t="s">
        <v>49</v>
      </c>
      <c r="BA84" s="1092"/>
      <c r="BB84" s="1092"/>
    </row>
    <row r="85" spans="1:54" ht="27.75" customHeight="1">
      <c r="A85" s="1089" t="s">
        <v>811</v>
      </c>
      <c r="B85" s="1089"/>
      <c r="C85" s="1089"/>
      <c r="D85" s="1089"/>
      <c r="E85" s="1089"/>
      <c r="F85" s="1089"/>
      <c r="G85" s="1089"/>
      <c r="H85" s="1089"/>
      <c r="I85" s="1089"/>
      <c r="J85" s="1089"/>
      <c r="K85" s="1089"/>
      <c r="L85" s="1089"/>
      <c r="M85" s="1089"/>
      <c r="N85" s="1089"/>
      <c r="O85" s="1089"/>
      <c r="P85" s="1089"/>
      <c r="Q85" s="1089"/>
      <c r="R85" s="1089"/>
      <c r="S85" s="1089"/>
      <c r="T85" s="1089"/>
      <c r="U85" s="1089"/>
      <c r="V85" s="1089"/>
      <c r="W85" s="1089"/>
      <c r="X85" s="1089"/>
      <c r="Y85" s="1089"/>
      <c r="Z85" s="1089"/>
      <c r="AA85" s="1089"/>
      <c r="AB85" s="1089"/>
      <c r="AC85" s="1089"/>
      <c r="AD85" s="1089"/>
      <c r="AE85" s="1089"/>
      <c r="AF85" s="1089"/>
      <c r="AG85" s="1089"/>
      <c r="AH85" s="1089"/>
      <c r="AI85" s="1089"/>
      <c r="AJ85" s="1089"/>
      <c r="AK85" s="1089"/>
      <c r="AL85" s="1089"/>
      <c r="AM85" s="1089"/>
      <c r="AN85" s="1089"/>
      <c r="AO85" s="1089"/>
      <c r="AP85" s="1089"/>
      <c r="AQ85" s="1089"/>
      <c r="AR85" s="1089"/>
      <c r="AS85" s="1089"/>
      <c r="AT85" s="1089"/>
      <c r="AU85" s="1089"/>
      <c r="AV85" s="1089"/>
      <c r="AW85" s="1089"/>
      <c r="AX85" s="1089"/>
      <c r="AY85" s="1089"/>
      <c r="AZ85" s="1089"/>
      <c r="BA85" s="1089"/>
      <c r="BB85" s="1089"/>
    </row>
    <row r="86" spans="1:54" ht="22.5" customHeight="1">
      <c r="A86" s="1090" t="str">
        <f>ПОДПИСИ!D17</f>
        <v>Матвеев А.С.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91"/>
      <c r="BA86" s="1091"/>
      <c r="BB86" s="1091"/>
    </row>
    <row r="87" spans="1:54" ht="9" customHeight="1">
      <c r="A87" s="1092" t="s">
        <v>799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2" t="s">
        <v>49</v>
      </c>
      <c r="BA87" s="1092"/>
      <c r="BB87" s="1092"/>
    </row>
    <row r="88" spans="1:54" ht="37.5" customHeight="1">
      <c r="A88" s="1089" t="s">
        <v>801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1089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089"/>
      <c r="AO88" s="1089"/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  <c r="BA88" s="1089"/>
      <c r="BB88" s="1089"/>
    </row>
    <row r="89" spans="1:54" ht="22.5" customHeight="1">
      <c r="A89" s="1090" t="str">
        <f>ПОДПИСИ!C19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91"/>
      <c r="BA89" s="1091"/>
      <c r="BB89" s="1091"/>
    </row>
    <row r="90" spans="1:54" ht="9" customHeight="1">
      <c r="A90" s="1092" t="s">
        <v>799</v>
      </c>
      <c r="B90" s="1092"/>
      <c r="C90" s="1092"/>
      <c r="D90" s="1092"/>
      <c r="E90" s="1092"/>
      <c r="F90" s="1092"/>
      <c r="G90" s="1092"/>
      <c r="H90" s="1092"/>
      <c r="I90" s="1092"/>
      <c r="J90" s="1092"/>
      <c r="K90" s="1092"/>
      <c r="L90" s="1092"/>
      <c r="M90" s="1092"/>
      <c r="N90" s="1092"/>
      <c r="O90" s="1092"/>
      <c r="P90" s="1092"/>
      <c r="Q90" s="1092"/>
      <c r="R90" s="1092"/>
      <c r="S90" s="1092"/>
      <c r="T90" s="1092"/>
      <c r="U90" s="1092"/>
      <c r="V90" s="1092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2" t="s">
        <v>49</v>
      </c>
      <c r="BA90" s="1092"/>
      <c r="BB90" s="1092"/>
    </row>
    <row r="91" spans="1:54" ht="25.5" customHeight="1">
      <c r="A91" s="1089" t="s">
        <v>836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89"/>
      <c r="AA91" s="1089"/>
      <c r="AB91" s="1089"/>
      <c r="AC91" s="1089"/>
      <c r="AD91" s="1089"/>
      <c r="AE91" s="1089"/>
      <c r="AF91" s="1089"/>
      <c r="AG91" s="1089"/>
      <c r="AH91" s="1089"/>
      <c r="AI91" s="1089"/>
      <c r="AJ91" s="1089"/>
      <c r="AK91" s="1089"/>
      <c r="AL91" s="1089"/>
      <c r="AM91" s="1089"/>
      <c r="AN91" s="1089"/>
      <c r="AO91" s="1089"/>
      <c r="AP91" s="1089"/>
      <c r="AQ91" s="1089"/>
      <c r="AR91" s="1089"/>
      <c r="AS91" s="1089"/>
      <c r="AT91" s="1089"/>
      <c r="AU91" s="1089"/>
      <c r="AV91" s="1089"/>
      <c r="AW91" s="1089"/>
      <c r="AX91" s="1089"/>
      <c r="AY91" s="1089"/>
      <c r="AZ91" s="1089"/>
      <c r="BA91" s="1089"/>
      <c r="BB91" s="1089"/>
    </row>
    <row r="92" spans="1:54" ht="22.5" customHeight="1">
      <c r="A92" s="1090" t="str">
        <f>ПОДПИСИ!D12</f>
        <v>Махмадов А.Р.</v>
      </c>
      <c r="B92" s="1090"/>
      <c r="C92" s="1090"/>
      <c r="D92" s="1090"/>
      <c r="E92" s="1090"/>
      <c r="F92" s="1090"/>
      <c r="G92" s="1090"/>
      <c r="H92" s="1090"/>
      <c r="I92" s="1090"/>
      <c r="J92" s="1090"/>
      <c r="K92" s="1090"/>
      <c r="L92" s="1090"/>
      <c r="M92" s="1090"/>
      <c r="N92" s="1090"/>
      <c r="O92" s="1090"/>
      <c r="P92" s="1090"/>
      <c r="Q92" s="1090"/>
      <c r="R92" s="1090"/>
      <c r="S92" s="1090"/>
      <c r="T92" s="1090"/>
      <c r="U92" s="1090"/>
      <c r="V92" s="109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91"/>
      <c r="BA92" s="1091"/>
      <c r="BB92" s="1091"/>
    </row>
    <row r="93" spans="1:54" ht="9" customHeight="1">
      <c r="A93" s="1092" t="s">
        <v>799</v>
      </c>
      <c r="B93" s="1092"/>
      <c r="C93" s="1092"/>
      <c r="D93" s="1092"/>
      <c r="E93" s="1092"/>
      <c r="F93" s="1092"/>
      <c r="G93" s="1092"/>
      <c r="H93" s="1092"/>
      <c r="I93" s="1092"/>
      <c r="J93" s="1092"/>
      <c r="K93" s="1092"/>
      <c r="L93" s="1092"/>
      <c r="M93" s="1092"/>
      <c r="N93" s="1092"/>
      <c r="O93" s="1092"/>
      <c r="P93" s="1092"/>
      <c r="Q93" s="1092"/>
      <c r="R93" s="1092"/>
      <c r="S93" s="1092"/>
      <c r="T93" s="1092"/>
      <c r="U93" s="1092"/>
      <c r="V93" s="1092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2" t="s">
        <v>49</v>
      </c>
      <c r="BA93" s="1092"/>
      <c r="BB93" s="1092"/>
    </row>
    <row r="94" spans="1:54">
      <c r="A94" s="1089" t="s">
        <v>530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</row>
    <row r="95" spans="1:54" ht="22.5" customHeight="1">
      <c r="A95" s="1090" t="str">
        <f>ПОДПИСИ!D10</f>
        <v>Величко А.А.</v>
      </c>
      <c r="B95" s="1090"/>
      <c r="C95" s="1090"/>
      <c r="D95" s="1090"/>
      <c r="E95" s="1090"/>
      <c r="F95" s="1090"/>
      <c r="G95" s="1090"/>
      <c r="H95" s="1090"/>
      <c r="I95" s="1090"/>
      <c r="J95" s="1090"/>
      <c r="K95" s="1090"/>
      <c r="L95" s="1090"/>
      <c r="M95" s="1090"/>
      <c r="N95" s="1090"/>
      <c r="O95" s="1090"/>
      <c r="P95" s="1090"/>
      <c r="Q95" s="1090"/>
      <c r="R95" s="1090"/>
      <c r="S95" s="1090"/>
      <c r="T95" s="1090"/>
      <c r="U95" s="1090"/>
      <c r="V95" s="109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91"/>
      <c r="BA95" s="1091"/>
      <c r="BB95" s="1091"/>
    </row>
    <row r="96" spans="1:54" ht="9" customHeight="1">
      <c r="A96" s="1092" t="s">
        <v>799</v>
      </c>
      <c r="B96" s="1092"/>
      <c r="C96" s="1092"/>
      <c r="D96" s="1092"/>
      <c r="E96" s="1092"/>
      <c r="F96" s="1092"/>
      <c r="G96" s="1092"/>
      <c r="H96" s="1092"/>
      <c r="I96" s="1092"/>
      <c r="J96" s="1092"/>
      <c r="K96" s="1092"/>
      <c r="L96" s="1092"/>
      <c r="M96" s="1092"/>
      <c r="N96" s="1092"/>
      <c r="O96" s="1092"/>
      <c r="P96" s="1092"/>
      <c r="Q96" s="1092"/>
      <c r="R96" s="1092"/>
      <c r="S96" s="1092"/>
      <c r="T96" s="1092"/>
      <c r="U96" s="1092"/>
      <c r="V96" s="1092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2" t="s">
        <v>49</v>
      </c>
      <c r="BA96" s="1092"/>
      <c r="BB96" s="1092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57" width="13.26953125" style="284" bestFit="1" customWidth="1"/>
    <col min="58" max="60" width="9.1796875" style="284"/>
    <col min="61" max="61" width="14" style="284" customWidth="1"/>
    <col min="62" max="62" width="16" style="284" customWidth="1"/>
    <col min="63" max="63" width="14.7265625" style="284" customWidth="1"/>
    <col min="64" max="254" width="9.1796875" style="284"/>
    <col min="255" max="307" width="1.54296875" style="284" customWidth="1"/>
    <col min="308" max="308" width="0.1796875" style="284" customWidth="1"/>
    <col min="309" max="510" width="9.1796875" style="284"/>
    <col min="511" max="563" width="1.54296875" style="284" customWidth="1"/>
    <col min="564" max="564" width="0.1796875" style="284" customWidth="1"/>
    <col min="565" max="766" width="9.1796875" style="284"/>
    <col min="767" max="819" width="1.54296875" style="284" customWidth="1"/>
    <col min="820" max="820" width="0.1796875" style="284" customWidth="1"/>
    <col min="821" max="1022" width="9.1796875" style="284"/>
    <col min="1023" max="1075" width="1.54296875" style="284" customWidth="1"/>
    <col min="1076" max="1076" width="0.1796875" style="284" customWidth="1"/>
    <col min="1077" max="1278" width="9.1796875" style="284"/>
    <col min="1279" max="1331" width="1.54296875" style="284" customWidth="1"/>
    <col min="1332" max="1332" width="0.1796875" style="284" customWidth="1"/>
    <col min="1333" max="1534" width="9.1796875" style="284"/>
    <col min="1535" max="1587" width="1.54296875" style="284" customWidth="1"/>
    <col min="1588" max="1588" width="0.1796875" style="284" customWidth="1"/>
    <col min="1589" max="1790" width="9.1796875" style="284"/>
    <col min="1791" max="1843" width="1.54296875" style="284" customWidth="1"/>
    <col min="1844" max="1844" width="0.1796875" style="284" customWidth="1"/>
    <col min="1845" max="2046" width="9.1796875" style="284"/>
    <col min="2047" max="2099" width="1.54296875" style="284" customWidth="1"/>
    <col min="2100" max="2100" width="0.1796875" style="284" customWidth="1"/>
    <col min="2101" max="2302" width="9.1796875" style="284"/>
    <col min="2303" max="2355" width="1.54296875" style="284" customWidth="1"/>
    <col min="2356" max="2356" width="0.1796875" style="284" customWidth="1"/>
    <col min="2357" max="2558" width="9.1796875" style="284"/>
    <col min="2559" max="2611" width="1.54296875" style="284" customWidth="1"/>
    <col min="2612" max="2612" width="0.1796875" style="284" customWidth="1"/>
    <col min="2613" max="2814" width="9.1796875" style="284"/>
    <col min="2815" max="2867" width="1.54296875" style="284" customWidth="1"/>
    <col min="2868" max="2868" width="0.1796875" style="284" customWidth="1"/>
    <col min="2869" max="3070" width="9.1796875" style="284"/>
    <col min="3071" max="3123" width="1.54296875" style="284" customWidth="1"/>
    <col min="3124" max="3124" width="0.1796875" style="284" customWidth="1"/>
    <col min="3125" max="3326" width="9.1796875" style="284"/>
    <col min="3327" max="3379" width="1.54296875" style="284" customWidth="1"/>
    <col min="3380" max="3380" width="0.1796875" style="284" customWidth="1"/>
    <col min="3381" max="3582" width="9.1796875" style="284"/>
    <col min="3583" max="3635" width="1.54296875" style="284" customWidth="1"/>
    <col min="3636" max="3636" width="0.1796875" style="284" customWidth="1"/>
    <col min="3637" max="3838" width="9.1796875" style="284"/>
    <col min="3839" max="3891" width="1.54296875" style="284" customWidth="1"/>
    <col min="3892" max="3892" width="0.1796875" style="284" customWidth="1"/>
    <col min="3893" max="4094" width="9.1796875" style="284"/>
    <col min="4095" max="4147" width="1.54296875" style="284" customWidth="1"/>
    <col min="4148" max="4148" width="0.1796875" style="284" customWidth="1"/>
    <col min="4149" max="4350" width="9.1796875" style="284"/>
    <col min="4351" max="4403" width="1.54296875" style="284" customWidth="1"/>
    <col min="4404" max="4404" width="0.1796875" style="284" customWidth="1"/>
    <col min="4405" max="4606" width="9.1796875" style="284"/>
    <col min="4607" max="4659" width="1.54296875" style="284" customWidth="1"/>
    <col min="4660" max="4660" width="0.1796875" style="284" customWidth="1"/>
    <col min="4661" max="4862" width="9.1796875" style="284"/>
    <col min="4863" max="4915" width="1.54296875" style="284" customWidth="1"/>
    <col min="4916" max="4916" width="0.1796875" style="284" customWidth="1"/>
    <col min="4917" max="5118" width="9.1796875" style="284"/>
    <col min="5119" max="5171" width="1.54296875" style="284" customWidth="1"/>
    <col min="5172" max="5172" width="0.1796875" style="284" customWidth="1"/>
    <col min="5173" max="5374" width="9.1796875" style="284"/>
    <col min="5375" max="5427" width="1.54296875" style="284" customWidth="1"/>
    <col min="5428" max="5428" width="0.1796875" style="284" customWidth="1"/>
    <col min="5429" max="5630" width="9.1796875" style="284"/>
    <col min="5631" max="5683" width="1.54296875" style="284" customWidth="1"/>
    <col min="5684" max="5684" width="0.1796875" style="284" customWidth="1"/>
    <col min="5685" max="5886" width="9.1796875" style="284"/>
    <col min="5887" max="5939" width="1.54296875" style="284" customWidth="1"/>
    <col min="5940" max="5940" width="0.1796875" style="284" customWidth="1"/>
    <col min="5941" max="6142" width="9.1796875" style="284"/>
    <col min="6143" max="6195" width="1.54296875" style="284" customWidth="1"/>
    <col min="6196" max="6196" width="0.1796875" style="284" customWidth="1"/>
    <col min="6197" max="6398" width="9.1796875" style="284"/>
    <col min="6399" max="6451" width="1.54296875" style="284" customWidth="1"/>
    <col min="6452" max="6452" width="0.1796875" style="284" customWidth="1"/>
    <col min="6453" max="6654" width="9.1796875" style="284"/>
    <col min="6655" max="6707" width="1.54296875" style="284" customWidth="1"/>
    <col min="6708" max="6708" width="0.1796875" style="284" customWidth="1"/>
    <col min="6709" max="6910" width="9.1796875" style="284"/>
    <col min="6911" max="6963" width="1.54296875" style="284" customWidth="1"/>
    <col min="6964" max="6964" width="0.1796875" style="284" customWidth="1"/>
    <col min="6965" max="7166" width="9.1796875" style="284"/>
    <col min="7167" max="7219" width="1.54296875" style="284" customWidth="1"/>
    <col min="7220" max="7220" width="0.1796875" style="284" customWidth="1"/>
    <col min="7221" max="7422" width="9.1796875" style="284"/>
    <col min="7423" max="7475" width="1.54296875" style="284" customWidth="1"/>
    <col min="7476" max="7476" width="0.1796875" style="284" customWidth="1"/>
    <col min="7477" max="7678" width="9.1796875" style="284"/>
    <col min="7679" max="7731" width="1.54296875" style="284" customWidth="1"/>
    <col min="7732" max="7732" width="0.1796875" style="284" customWidth="1"/>
    <col min="7733" max="7934" width="9.1796875" style="284"/>
    <col min="7935" max="7987" width="1.54296875" style="284" customWidth="1"/>
    <col min="7988" max="7988" width="0.1796875" style="284" customWidth="1"/>
    <col min="7989" max="8190" width="9.1796875" style="284"/>
    <col min="8191" max="8243" width="1.54296875" style="284" customWidth="1"/>
    <col min="8244" max="8244" width="0.1796875" style="284" customWidth="1"/>
    <col min="8245" max="8446" width="9.1796875" style="284"/>
    <col min="8447" max="8499" width="1.54296875" style="284" customWidth="1"/>
    <col min="8500" max="8500" width="0.1796875" style="284" customWidth="1"/>
    <col min="8501" max="8702" width="9.1796875" style="284"/>
    <col min="8703" max="8755" width="1.54296875" style="284" customWidth="1"/>
    <col min="8756" max="8756" width="0.1796875" style="284" customWidth="1"/>
    <col min="8757" max="8958" width="9.1796875" style="284"/>
    <col min="8959" max="9011" width="1.54296875" style="284" customWidth="1"/>
    <col min="9012" max="9012" width="0.1796875" style="284" customWidth="1"/>
    <col min="9013" max="9214" width="9.1796875" style="284"/>
    <col min="9215" max="9267" width="1.54296875" style="284" customWidth="1"/>
    <col min="9268" max="9268" width="0.1796875" style="284" customWidth="1"/>
    <col min="9269" max="9470" width="9.1796875" style="284"/>
    <col min="9471" max="9523" width="1.54296875" style="284" customWidth="1"/>
    <col min="9524" max="9524" width="0.1796875" style="284" customWidth="1"/>
    <col min="9525" max="9726" width="9.1796875" style="284"/>
    <col min="9727" max="9779" width="1.54296875" style="284" customWidth="1"/>
    <col min="9780" max="9780" width="0.1796875" style="284" customWidth="1"/>
    <col min="9781" max="9982" width="9.1796875" style="284"/>
    <col min="9983" max="10035" width="1.54296875" style="284" customWidth="1"/>
    <col min="10036" max="10036" width="0.1796875" style="284" customWidth="1"/>
    <col min="10037" max="10238" width="9.1796875" style="284"/>
    <col min="10239" max="10291" width="1.54296875" style="284" customWidth="1"/>
    <col min="10292" max="10292" width="0.1796875" style="284" customWidth="1"/>
    <col min="10293" max="10494" width="9.1796875" style="284"/>
    <col min="10495" max="10547" width="1.54296875" style="284" customWidth="1"/>
    <col min="10548" max="10548" width="0.1796875" style="284" customWidth="1"/>
    <col min="10549" max="10750" width="9.1796875" style="284"/>
    <col min="10751" max="10803" width="1.54296875" style="284" customWidth="1"/>
    <col min="10804" max="10804" width="0.1796875" style="284" customWidth="1"/>
    <col min="10805" max="11006" width="9.1796875" style="284"/>
    <col min="11007" max="11059" width="1.54296875" style="284" customWidth="1"/>
    <col min="11060" max="11060" width="0.1796875" style="284" customWidth="1"/>
    <col min="11061" max="11262" width="9.1796875" style="284"/>
    <col min="11263" max="11315" width="1.54296875" style="284" customWidth="1"/>
    <col min="11316" max="11316" width="0.1796875" style="284" customWidth="1"/>
    <col min="11317" max="11518" width="9.1796875" style="284"/>
    <col min="11519" max="11571" width="1.54296875" style="284" customWidth="1"/>
    <col min="11572" max="11572" width="0.1796875" style="284" customWidth="1"/>
    <col min="11573" max="11774" width="9.1796875" style="284"/>
    <col min="11775" max="11827" width="1.54296875" style="284" customWidth="1"/>
    <col min="11828" max="11828" width="0.1796875" style="284" customWidth="1"/>
    <col min="11829" max="12030" width="9.1796875" style="284"/>
    <col min="12031" max="12083" width="1.54296875" style="284" customWidth="1"/>
    <col min="12084" max="12084" width="0.1796875" style="284" customWidth="1"/>
    <col min="12085" max="12286" width="9.1796875" style="284"/>
    <col min="12287" max="12339" width="1.54296875" style="284" customWidth="1"/>
    <col min="12340" max="12340" width="0.1796875" style="284" customWidth="1"/>
    <col min="12341" max="12542" width="9.1796875" style="284"/>
    <col min="12543" max="12595" width="1.54296875" style="284" customWidth="1"/>
    <col min="12596" max="12596" width="0.1796875" style="284" customWidth="1"/>
    <col min="12597" max="12798" width="9.1796875" style="284"/>
    <col min="12799" max="12851" width="1.54296875" style="284" customWidth="1"/>
    <col min="12852" max="12852" width="0.1796875" style="284" customWidth="1"/>
    <col min="12853" max="13054" width="9.1796875" style="284"/>
    <col min="13055" max="13107" width="1.54296875" style="284" customWidth="1"/>
    <col min="13108" max="13108" width="0.1796875" style="284" customWidth="1"/>
    <col min="13109" max="13310" width="9.1796875" style="284"/>
    <col min="13311" max="13363" width="1.54296875" style="284" customWidth="1"/>
    <col min="13364" max="13364" width="0.1796875" style="284" customWidth="1"/>
    <col min="13365" max="13566" width="9.1796875" style="284"/>
    <col min="13567" max="13619" width="1.54296875" style="284" customWidth="1"/>
    <col min="13620" max="13620" width="0.1796875" style="284" customWidth="1"/>
    <col min="13621" max="13822" width="9.1796875" style="284"/>
    <col min="13823" max="13875" width="1.54296875" style="284" customWidth="1"/>
    <col min="13876" max="13876" width="0.1796875" style="284" customWidth="1"/>
    <col min="13877" max="14078" width="9.1796875" style="284"/>
    <col min="14079" max="14131" width="1.54296875" style="284" customWidth="1"/>
    <col min="14132" max="14132" width="0.1796875" style="284" customWidth="1"/>
    <col min="14133" max="14334" width="9.1796875" style="284"/>
    <col min="14335" max="14387" width="1.54296875" style="284" customWidth="1"/>
    <col min="14388" max="14388" width="0.1796875" style="284" customWidth="1"/>
    <col min="14389" max="14590" width="9.1796875" style="284"/>
    <col min="14591" max="14643" width="1.54296875" style="284" customWidth="1"/>
    <col min="14644" max="14644" width="0.1796875" style="284" customWidth="1"/>
    <col min="14645" max="14846" width="9.1796875" style="284"/>
    <col min="14847" max="14899" width="1.54296875" style="284" customWidth="1"/>
    <col min="14900" max="14900" width="0.1796875" style="284" customWidth="1"/>
    <col min="14901" max="15102" width="9.1796875" style="284"/>
    <col min="15103" max="15155" width="1.54296875" style="284" customWidth="1"/>
    <col min="15156" max="15156" width="0.1796875" style="284" customWidth="1"/>
    <col min="15157" max="15358" width="9.1796875" style="284"/>
    <col min="15359" max="15411" width="1.54296875" style="284" customWidth="1"/>
    <col min="15412" max="15412" width="0.1796875" style="284" customWidth="1"/>
    <col min="15413" max="15614" width="9.1796875" style="284"/>
    <col min="15615" max="15667" width="1.54296875" style="284" customWidth="1"/>
    <col min="15668" max="15668" width="0.1796875" style="284" customWidth="1"/>
    <col min="15669" max="15870" width="9.1796875" style="284"/>
    <col min="15871" max="15923" width="1.54296875" style="284" customWidth="1"/>
    <col min="15924" max="15924" width="0.1796875" style="284" customWidth="1"/>
    <col min="15925" max="16126" width="9.1796875" style="284"/>
    <col min="16127" max="16179" width="1.54296875" style="284" customWidth="1"/>
    <col min="16180" max="16180" width="0.1796875" style="284" customWidth="1"/>
    <col min="16181" max="16384" width="9.1796875" style="284"/>
  </cols>
  <sheetData>
    <row r="1" spans="1:63" ht="15" customHeight="1">
      <c r="A1" s="1126" t="s">
        <v>72</v>
      </c>
      <c r="B1" s="1126"/>
      <c r="C1" s="1126"/>
      <c r="D1" s="1126"/>
      <c r="E1" s="1126"/>
      <c r="F1" s="1126"/>
      <c r="G1" s="1126"/>
      <c r="H1" s="1126"/>
      <c r="I1" s="1126"/>
      <c r="J1" s="1126"/>
      <c r="K1" s="1126"/>
      <c r="L1" s="1126"/>
      <c r="M1" s="1126"/>
      <c r="N1" s="1126"/>
      <c r="O1" s="1126"/>
      <c r="P1" s="1126"/>
      <c r="Q1" s="1126"/>
      <c r="R1" s="1126"/>
      <c r="S1" s="1126"/>
      <c r="T1" s="1126"/>
      <c r="U1" s="1126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1123"/>
      <c r="BB2" s="1123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>
      <c r="A3" s="1105" t="s">
        <v>804</v>
      </c>
      <c r="B3" s="1105"/>
      <c r="C3" s="1105"/>
      <c r="D3" s="1105"/>
      <c r="E3" s="1105"/>
      <c r="F3" s="1105"/>
      <c r="G3" s="1105"/>
      <c r="H3" s="1105"/>
      <c r="I3" s="1105"/>
      <c r="J3" s="1105"/>
      <c r="K3" s="1105"/>
      <c r="L3" s="1105"/>
      <c r="M3" s="1105"/>
      <c r="N3" s="1105"/>
      <c r="O3" s="1105"/>
      <c r="P3" s="1105"/>
      <c r="Q3" s="1105"/>
      <c r="R3" s="1105"/>
      <c r="S3" s="1105"/>
      <c r="T3" s="1105"/>
      <c r="U3" s="1105"/>
      <c r="V3" s="1105"/>
      <c r="W3" s="1105"/>
      <c r="X3" s="1105"/>
      <c r="Y3" s="1105"/>
      <c r="Z3" s="1105"/>
      <c r="AA3" s="1105"/>
      <c r="AB3" s="1105"/>
      <c r="AC3" s="1105"/>
      <c r="AD3" s="1105"/>
      <c r="AE3" s="1105"/>
      <c r="AF3" s="1105"/>
      <c r="AG3" s="1105"/>
      <c r="AH3" s="1105"/>
      <c r="AI3" s="1105"/>
      <c r="AJ3" s="1105"/>
      <c r="AK3" s="1105"/>
      <c r="AL3" s="1105"/>
      <c r="AM3" s="1105"/>
      <c r="AN3" s="1105"/>
      <c r="AO3" s="1105"/>
      <c r="AP3" s="1105"/>
      <c r="AQ3" s="1105"/>
      <c r="AR3" s="1105"/>
      <c r="AS3" s="1105"/>
      <c r="AT3" s="1105"/>
      <c r="AU3" s="1105"/>
      <c r="AV3" s="1105"/>
      <c r="AW3" s="1105"/>
      <c r="AX3" s="1105"/>
      <c r="AY3" s="1105"/>
      <c r="AZ3" s="1105"/>
      <c r="BA3" s="1105"/>
      <c r="BB3" s="1105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>
      <c r="A4" s="1094" t="s">
        <v>377</v>
      </c>
      <c r="B4" s="1094"/>
      <c r="C4" s="1094"/>
      <c r="D4" s="1094"/>
      <c r="E4" s="1094"/>
      <c r="F4" s="1094"/>
      <c r="G4" s="1094"/>
      <c r="H4" s="1094"/>
      <c r="I4" s="1094"/>
      <c r="J4" s="1094"/>
      <c r="K4" s="1094"/>
      <c r="L4" s="1094"/>
      <c r="M4" s="1094"/>
      <c r="N4" s="1094"/>
      <c r="O4" s="1094"/>
      <c r="P4" s="1094"/>
      <c r="Q4" s="1094"/>
      <c r="R4" s="1094"/>
      <c r="S4" s="1094"/>
      <c r="T4" s="1094"/>
      <c r="U4" s="1094"/>
      <c r="V4" s="1094"/>
      <c r="W4" s="1094"/>
      <c r="X4" s="1094"/>
      <c r="Y4" s="1094"/>
      <c r="Z4" s="1094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94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127" t="str">
        <f>ФОРМА!B2</f>
        <v>ПАО "Россети Ленэнерго"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1127"/>
      <c r="BB5" s="112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122" t="s">
        <v>805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1122"/>
      <c r="Q6" s="1122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122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1122"/>
      <c r="BB6" s="11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3"/>
      <c r="C7" s="1123"/>
      <c r="D7" s="1123"/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1123"/>
      <c r="Q7" s="1123"/>
      <c r="R7" s="1123"/>
      <c r="S7" s="1123"/>
      <c r="T7" s="1123"/>
      <c r="U7" s="1123"/>
      <c r="V7" s="1123"/>
      <c r="W7" s="1123"/>
      <c r="X7" s="1123"/>
      <c r="Y7" s="1123"/>
      <c r="Z7" s="1123"/>
      <c r="AA7" s="1123"/>
      <c r="AB7" s="1123"/>
      <c r="AC7" s="1123"/>
      <c r="AD7" s="1123"/>
      <c r="AE7" s="1123"/>
      <c r="AF7" s="1123"/>
      <c r="AG7" s="1123"/>
      <c r="AH7" s="1123"/>
      <c r="AI7" s="1123"/>
      <c r="AJ7" s="1123"/>
      <c r="AK7" s="1123"/>
      <c r="AL7" s="1123"/>
      <c r="AM7" s="1123"/>
      <c r="AN7" s="1123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103" t="s">
        <v>818</v>
      </c>
      <c r="B8" s="1124"/>
      <c r="C8" s="1124"/>
      <c r="D8" s="1124"/>
      <c r="E8" s="1124"/>
      <c r="F8" s="1124"/>
      <c r="G8" s="1124"/>
      <c r="H8" s="1124"/>
      <c r="I8" s="1124"/>
      <c r="J8" s="1124"/>
      <c r="K8" s="1124"/>
      <c r="L8" s="1124"/>
      <c r="M8" s="1124"/>
      <c r="N8" s="1124"/>
      <c r="O8" s="1124"/>
      <c r="P8" s="1124"/>
      <c r="Q8" s="1124"/>
      <c r="R8" s="1124"/>
      <c r="S8" s="1124"/>
      <c r="T8" s="1124"/>
      <c r="U8" s="1124"/>
      <c r="V8" s="1124"/>
      <c r="W8" s="1124"/>
      <c r="X8" s="1124"/>
      <c r="Y8" s="1124"/>
      <c r="Z8" s="1124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124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125"/>
      <c r="B9" s="1125"/>
      <c r="C9" s="1125"/>
      <c r="D9" s="1125"/>
      <c r="E9" s="1125"/>
      <c r="F9" s="1125"/>
      <c r="G9" s="1125"/>
      <c r="H9" s="1125"/>
      <c r="I9" s="1125"/>
      <c r="J9" s="1125"/>
      <c r="K9" s="1125"/>
      <c r="L9" s="1125"/>
      <c r="M9" s="1125"/>
      <c r="N9" s="1125"/>
      <c r="O9" s="1125"/>
      <c r="P9" s="1125"/>
      <c r="Q9" s="1125"/>
      <c r="R9" s="1125"/>
      <c r="S9" s="1125"/>
      <c r="T9" s="1125"/>
      <c r="U9" s="1125"/>
      <c r="V9" s="1125"/>
      <c r="W9" s="1125"/>
      <c r="X9" s="1125"/>
      <c r="Y9" s="1125"/>
      <c r="Z9" s="1125"/>
      <c r="AA9" s="1125"/>
      <c r="AB9" s="1125"/>
      <c r="AC9" s="1125"/>
      <c r="AD9" s="1125"/>
      <c r="AE9" s="1125"/>
      <c r="AF9" s="1125"/>
      <c r="AG9" s="1125"/>
      <c r="AH9" s="1125"/>
      <c r="AI9" s="1125"/>
      <c r="AJ9" s="1125"/>
      <c r="AK9" s="1125"/>
      <c r="AL9" s="1125"/>
      <c r="AM9" s="1125"/>
      <c r="AN9" s="1125"/>
      <c r="AO9" s="1125"/>
      <c r="AP9" s="1125"/>
      <c r="AQ9" s="1125"/>
      <c r="AR9" s="1125"/>
      <c r="AS9" s="1125"/>
      <c r="AT9" s="1125"/>
      <c r="AU9" s="1125"/>
      <c r="AV9" s="1125"/>
      <c r="AW9" s="1125"/>
      <c r="AX9" s="1125"/>
      <c r="AY9" s="1125"/>
      <c r="AZ9" s="1125"/>
      <c r="BA9" s="1125"/>
      <c r="BB9" s="1125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107" t="s">
        <v>819</v>
      </c>
      <c r="B10" s="1107"/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7"/>
      <c r="T10" s="1107"/>
      <c r="U10" s="1107"/>
      <c r="V10" s="1107"/>
      <c r="W10" s="1107"/>
      <c r="X10" s="1107"/>
      <c r="Y10" s="1107"/>
      <c r="Z10" s="1107"/>
      <c r="AA10" s="1107"/>
      <c r="AB10" s="1107"/>
      <c r="AC10" s="1107"/>
      <c r="AD10" s="1107"/>
      <c r="AE10" s="1107"/>
      <c r="AF10" s="1107"/>
      <c r="AG10" s="1107"/>
      <c r="AH10" s="1107"/>
      <c r="AI10" s="1107"/>
      <c r="AJ10" s="1107"/>
      <c r="AK10" s="1107"/>
      <c r="AL10" s="1107"/>
      <c r="AM10" s="1107"/>
      <c r="AN10" s="1107"/>
      <c r="AO10" s="1107"/>
      <c r="AP10" s="1107"/>
      <c r="AQ10" s="1107"/>
      <c r="AR10" s="1107"/>
      <c r="AS10" s="1107"/>
      <c r="AT10" s="1107"/>
      <c r="AU10" s="1107"/>
      <c r="AV10" s="1107"/>
      <c r="AW10" s="1107"/>
      <c r="AX10" s="1107"/>
      <c r="AY10" s="1107"/>
      <c r="AZ10" s="1107"/>
      <c r="BA10" s="1107"/>
      <c r="BB10" s="1107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094" t="s">
        <v>764</v>
      </c>
      <c r="B11" s="1094"/>
      <c r="C11" s="1094"/>
      <c r="D11" s="1094"/>
      <c r="E11" s="1094"/>
      <c r="F11" s="1094"/>
      <c r="G11" s="1094"/>
      <c r="H11" s="1094"/>
      <c r="I11" s="1094"/>
      <c r="J11" s="1094"/>
      <c r="K11" s="1094"/>
      <c r="L11" s="1094"/>
      <c r="M11" s="1094"/>
      <c r="N11" s="1094"/>
      <c r="O11" s="1094"/>
      <c r="P11" s="1094"/>
      <c r="Q11" s="1094"/>
      <c r="R11" s="1094"/>
      <c r="S11" s="1094"/>
      <c r="T11" s="1094"/>
      <c r="U11" s="1094"/>
      <c r="V11" s="1094"/>
      <c r="W11" s="1094"/>
      <c r="X11" s="1094"/>
      <c r="Y11" s="1094"/>
      <c r="Z11" s="1094"/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094"/>
      <c r="AO11" s="1094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111" t="str">
        <f>ФОРМА!B3</f>
        <v>ООО «БЭСК»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108" t="s">
        <v>820</v>
      </c>
      <c r="B13" s="1108"/>
      <c r="C13" s="1108"/>
      <c r="D13" s="1108"/>
      <c r="E13" s="1108"/>
      <c r="F13" s="1108"/>
      <c r="G13" s="1108"/>
      <c r="H13" s="1108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108"/>
      <c r="AW13" s="1108"/>
      <c r="AX13" s="1108"/>
      <c r="AY13" s="1108"/>
      <c r="AZ13" s="1108"/>
      <c r="BA13" s="1108"/>
      <c r="BB13" s="1108"/>
    </row>
    <row r="14" spans="1:63" ht="28.5" customHeight="1">
      <c r="A14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23.25" customHeight="1">
      <c r="A15" s="1107" t="s">
        <v>821</v>
      </c>
      <c r="B15" s="1107"/>
      <c r="C15" s="1107"/>
      <c r="D15" s="1107"/>
      <c r="E15" s="1107"/>
      <c r="F15" s="1107"/>
      <c r="G15" s="1107"/>
      <c r="H15" s="1107"/>
      <c r="I15" s="1107"/>
      <c r="J15" s="1107"/>
      <c r="K15" s="1107"/>
      <c r="L15" s="1107"/>
      <c r="M15" s="1107"/>
      <c r="N15" s="1107"/>
      <c r="O15" s="1107"/>
      <c r="P15" s="1107"/>
      <c r="Q15" s="1107"/>
      <c r="R15" s="1107"/>
      <c r="S15" s="1107"/>
      <c r="T15" s="1107"/>
      <c r="U15" s="1107"/>
      <c r="V15" s="1107"/>
      <c r="W15" s="1107"/>
      <c r="X15" s="1107"/>
      <c r="Y15" s="1107"/>
      <c r="Z15" s="1107"/>
      <c r="AA15" s="1107"/>
      <c r="AB15" s="1107"/>
      <c r="AC15" s="1107"/>
      <c r="AD15" s="1107"/>
      <c r="AE15" s="1107"/>
      <c r="AF15" s="1107"/>
      <c r="AG15" s="1107"/>
      <c r="AH15" s="1107"/>
      <c r="AI15" s="1107"/>
      <c r="AJ15" s="1107"/>
      <c r="AK15" s="1107"/>
      <c r="AL15" s="1107"/>
      <c r="AM15" s="1107"/>
      <c r="AN15" s="1107"/>
      <c r="AO15" s="1107"/>
      <c r="AP15" s="1107"/>
      <c r="AQ15" s="1107"/>
      <c r="AR15" s="1107"/>
      <c r="AS15" s="1107"/>
      <c r="AT15" s="1107"/>
      <c r="AU15" s="1107"/>
      <c r="AV15" s="1107"/>
      <c r="AW15" s="1107"/>
      <c r="AX15" s="1107"/>
      <c r="AY15" s="1107"/>
      <c r="AZ15" s="1107"/>
      <c r="BA15" s="1107"/>
      <c r="BB15" s="1107"/>
    </row>
    <row r="16" spans="1:63" ht="13.5" customHeight="1">
      <c r="A16" s="1094" t="s">
        <v>74</v>
      </c>
      <c r="B16" s="1094"/>
      <c r="C16" s="1094"/>
      <c r="D16" s="1094"/>
      <c r="E16" s="1094"/>
      <c r="F16" s="1094"/>
      <c r="G16" s="1094"/>
      <c r="H16" s="1094"/>
      <c r="I16" s="1094"/>
      <c r="J16" s="1094"/>
      <c r="K16" s="1094"/>
      <c r="L16" s="1094"/>
      <c r="M16" s="1094"/>
      <c r="N16" s="1094"/>
      <c r="O16" s="1094"/>
      <c r="P16" s="1094"/>
      <c r="Q16" s="1094"/>
      <c r="R16" s="1094"/>
      <c r="S16" s="1094"/>
      <c r="T16" s="1094"/>
      <c r="U16" s="1094"/>
      <c r="V16" s="1094"/>
      <c r="W16" s="1094"/>
      <c r="X16" s="1094"/>
      <c r="Y16" s="1094"/>
      <c r="Z16" s="1094"/>
      <c r="AA16" s="1094"/>
      <c r="AB16" s="1094"/>
      <c r="AC16" s="1094"/>
      <c r="AD16" s="1094"/>
      <c r="AE16" s="1094"/>
      <c r="AF16" s="1094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119" t="str">
        <f>ФОРМА!B8</f>
        <v>ООО «Строительные энергетические технологии»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1119"/>
      <c r="BB17" s="1119"/>
    </row>
    <row r="18" spans="1:54" ht="9" customHeight="1">
      <c r="A18" s="1105" t="s">
        <v>820</v>
      </c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  <c r="L18" s="1118"/>
      <c r="M18" s="1118"/>
      <c r="N18" s="1118"/>
      <c r="O18" s="1118"/>
      <c r="P18" s="1118"/>
      <c r="Q18" s="1118"/>
      <c r="R18" s="1118"/>
      <c r="S18" s="1118"/>
      <c r="T18" s="1118"/>
      <c r="U18" s="1118"/>
      <c r="V18" s="1118"/>
      <c r="W18" s="1118"/>
      <c r="X18" s="1118"/>
      <c r="Y18" s="1118"/>
      <c r="Z18" s="1118"/>
      <c r="AA18" s="1118"/>
      <c r="AB18" s="1118"/>
      <c r="AC18" s="1118"/>
      <c r="AD18" s="1118"/>
      <c r="AE18" s="1118"/>
      <c r="AF18" s="1118"/>
      <c r="AG18" s="1118"/>
      <c r="AH18" s="1118"/>
      <c r="AI18" s="1118"/>
      <c r="AJ18" s="1118"/>
      <c r="AK18" s="1118"/>
      <c r="AL18" s="1118"/>
      <c r="AM18" s="1118"/>
      <c r="AN18" s="1118"/>
      <c r="AO18" s="1118"/>
      <c r="AP18" s="1118"/>
      <c r="AQ18" s="1118"/>
      <c r="AR18" s="1118"/>
      <c r="AS18" s="1118"/>
      <c r="AT18" s="1118"/>
      <c r="AU18" s="1118"/>
      <c r="AV18" s="1118"/>
      <c r="AW18" s="1118"/>
      <c r="AX18" s="1118"/>
      <c r="AY18" s="1118"/>
      <c r="AZ18" s="1118"/>
      <c r="BA18" s="1118"/>
      <c r="BB18" s="1118"/>
    </row>
    <row r="19" spans="1:54" ht="27.75" customHeight="1">
      <c r="A19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1119"/>
      <c r="N19" s="1119"/>
      <c r="O19" s="1119"/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A19" s="1119"/>
      <c r="AB19" s="1119"/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M19" s="1119"/>
      <c r="AN19" s="1119"/>
      <c r="AO19" s="1119"/>
      <c r="AP19" s="1119"/>
      <c r="AQ19" s="1119"/>
      <c r="AR19" s="1119"/>
      <c r="AS19" s="1119"/>
      <c r="AT19" s="1119"/>
      <c r="AU19" s="1119"/>
      <c r="AV19" s="1119"/>
      <c r="AW19" s="1119"/>
      <c r="AX19" s="1119"/>
      <c r="AY19" s="1119"/>
      <c r="AZ19" s="1119"/>
      <c r="BA19" s="1119"/>
      <c r="BB19" s="1119"/>
    </row>
    <row r="20" spans="1:54" ht="9.75" customHeight="1">
      <c r="A20" s="1107" t="s">
        <v>765</v>
      </c>
      <c r="B20" s="1107"/>
      <c r="C20" s="1107"/>
      <c r="D20" s="1107"/>
      <c r="E20" s="1107"/>
      <c r="F20" s="1107"/>
      <c r="G20" s="1107"/>
      <c r="H20" s="1107"/>
      <c r="I20" s="1107"/>
      <c r="J20" s="1107"/>
      <c r="K20" s="1107"/>
      <c r="L20" s="1107"/>
      <c r="M20" s="1107"/>
      <c r="N20" s="1107"/>
      <c r="O20" s="1107"/>
      <c r="P20" s="1107"/>
      <c r="Q20" s="1107"/>
      <c r="R20" s="1107"/>
      <c r="S20" s="1107"/>
      <c r="T20" s="1107"/>
      <c r="U20" s="1107"/>
      <c r="V20" s="1107"/>
      <c r="W20" s="1107"/>
      <c r="X20" s="1107"/>
      <c r="Y20" s="1107"/>
      <c r="Z20" s="1107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107"/>
      <c r="AO20" s="1107"/>
      <c r="AP20" s="1107"/>
      <c r="AQ20" s="1107"/>
      <c r="AR20" s="1107"/>
      <c r="AS20" s="1107"/>
      <c r="AT20" s="1107"/>
      <c r="AU20" s="1107"/>
      <c r="AV20" s="1107"/>
      <c r="AW20" s="1107"/>
      <c r="AX20" s="1107"/>
      <c r="AY20" s="1107"/>
      <c r="AZ20" s="1107"/>
      <c r="BA20" s="1107"/>
      <c r="BB20" s="1107"/>
    </row>
    <row r="21" spans="1:54" ht="19.5" customHeight="1">
      <c r="A21" s="1120" t="s">
        <v>67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12.75" customHeight="1">
      <c r="A22" s="1120" t="s">
        <v>996</v>
      </c>
      <c r="B22" s="1120"/>
      <c r="C22" s="1120"/>
      <c r="D22" s="1120"/>
      <c r="E22" s="1120"/>
      <c r="F22" s="1120"/>
      <c r="G22" s="1120"/>
      <c r="H22" s="1120"/>
      <c r="I22" s="1120"/>
      <c r="J22" s="1120"/>
      <c r="K22" s="1120"/>
      <c r="L22" s="1120"/>
      <c r="M22" s="1120"/>
      <c r="N22" s="1120"/>
      <c r="O22" s="1120"/>
      <c r="P22" s="1120"/>
      <c r="Q22" s="1120"/>
      <c r="R22" s="1120"/>
      <c r="S22" s="1120"/>
      <c r="T22" s="1120"/>
      <c r="U22" s="1120"/>
      <c r="V22" s="1120"/>
      <c r="W22" s="1120"/>
      <c r="X22" s="1120"/>
      <c r="Y22" s="1120"/>
      <c r="Z22" s="1120"/>
      <c r="AA22" s="1120"/>
      <c r="AB22" s="1120"/>
      <c r="AC22" s="1120"/>
      <c r="AD22" s="1120"/>
      <c r="AE22" s="1120"/>
      <c r="AF22" s="1120"/>
      <c r="AG22" s="1120"/>
      <c r="AH22" s="1120"/>
      <c r="AI22" s="1120"/>
      <c r="AJ22" s="1120"/>
      <c r="AK22" s="1120"/>
      <c r="AL22" s="1120"/>
      <c r="AM22" s="1120"/>
      <c r="AN22" s="1120"/>
      <c r="AO22" s="1120"/>
      <c r="AP22" s="1120"/>
      <c r="AQ22" s="1120"/>
      <c r="AR22" s="1120"/>
      <c r="AS22" s="1120"/>
      <c r="AT22" s="1120"/>
      <c r="AU22" s="1120"/>
      <c r="AV22" s="1120"/>
      <c r="AW22" s="1120"/>
      <c r="AX22" s="1120"/>
      <c r="AY22" s="1120"/>
      <c r="AZ22" s="1120"/>
      <c r="BA22" s="1120"/>
      <c r="BB22" s="1120"/>
    </row>
    <row r="23" spans="1:54" ht="10.5" customHeight="1"/>
    <row r="24" spans="1:54" ht="14.25" customHeight="1">
      <c r="A24" s="284" t="s">
        <v>19</v>
      </c>
      <c r="C24" s="1121">
        <f>ФОРМА!B31</f>
        <v>0</v>
      </c>
      <c r="D24" s="1121"/>
      <c r="E24" s="1121"/>
      <c r="F24" s="1121"/>
      <c r="G24" s="1121"/>
      <c r="H24" s="1121"/>
      <c r="I24" s="1121"/>
      <c r="J24" s="1121"/>
      <c r="K24" s="1121"/>
      <c r="AK24" s="293"/>
      <c r="AL24" s="294"/>
      <c r="AM24" s="294"/>
      <c r="AN24" s="294"/>
      <c r="AO24" s="294"/>
      <c r="AP24" s="294"/>
      <c r="AQ24" s="294"/>
      <c r="AS24" s="293"/>
      <c r="AT24" s="1093">
        <f>ФОРМА!D31</f>
        <v>45354</v>
      </c>
      <c r="AU24" s="1093"/>
      <c r="AV24" s="1093"/>
      <c r="AW24" s="1093"/>
      <c r="AX24" s="1093"/>
      <c r="AY24" s="1093"/>
      <c r="AZ24" s="1093"/>
      <c r="BA24" s="1093"/>
      <c r="BB24" s="294"/>
    </row>
    <row r="25" spans="1:54" ht="2.5" customHeight="1"/>
    <row r="26" spans="1:54" ht="15.75" customHeight="1">
      <c r="A26" s="1094" t="s">
        <v>1002</v>
      </c>
      <c r="B26" s="1094"/>
      <c r="C26" s="1094"/>
      <c r="D26" s="1094"/>
      <c r="E26" s="1094"/>
      <c r="F26" s="1094"/>
      <c r="G26" s="1094"/>
      <c r="H26" s="1094"/>
      <c r="I26" s="1094"/>
      <c r="J26" s="1094"/>
      <c r="K26" s="1094"/>
      <c r="L26" s="1094"/>
      <c r="M26" s="1094"/>
      <c r="N26" s="1094"/>
      <c r="O26" s="1094"/>
      <c r="P26" s="1094"/>
      <c r="Q26" s="1094"/>
      <c r="R26" s="1094"/>
      <c r="S26" s="1094"/>
      <c r="T26" s="1094"/>
      <c r="U26" s="1094"/>
      <c r="V26" s="1094"/>
      <c r="W26" s="1094"/>
      <c r="X26" s="1094"/>
      <c r="Y26" s="1094"/>
      <c r="Z26" s="1094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094"/>
      <c r="BB26" s="1094"/>
    </row>
    <row r="27" spans="1:54" ht="24.75" customHeight="1">
      <c r="A27" s="1117" t="s">
        <v>780</v>
      </c>
      <c r="B27" s="1117"/>
      <c r="C27" s="1117"/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17"/>
      <c r="V27" s="1117"/>
      <c r="W27" s="1117"/>
      <c r="X27" s="1117"/>
      <c r="Y27" s="1117"/>
      <c r="Z27" s="1117"/>
      <c r="AA27" s="1117"/>
      <c r="AB27" s="1117"/>
      <c r="AC27" s="1117"/>
      <c r="AD27" s="1117"/>
      <c r="AE27" s="1117"/>
      <c r="AF27" s="1117"/>
      <c r="AG27" s="1117"/>
      <c r="AH27" s="1117"/>
      <c r="AI27" s="1117"/>
      <c r="AJ27" s="1117"/>
      <c r="AK27" s="1117"/>
      <c r="AL27" s="1117"/>
      <c r="AM27" s="1117"/>
      <c r="AN27" s="1117"/>
      <c r="AO27" s="1117"/>
      <c r="AP27" s="1117"/>
      <c r="AQ27" s="1117"/>
      <c r="AR27" s="1117"/>
      <c r="AS27" s="1117"/>
      <c r="AT27" s="1117"/>
      <c r="AU27" s="1117"/>
      <c r="AV27" s="1117"/>
      <c r="AW27" s="1117"/>
      <c r="AX27" s="1117"/>
      <c r="AY27" s="1117"/>
      <c r="AZ27" s="1117"/>
      <c r="BA27" s="1117"/>
      <c r="BB27" s="1117"/>
    </row>
    <row r="28" spans="1:54" ht="12.75" customHeight="1">
      <c r="A28" s="1102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1102"/>
      <c r="BB28" s="1102"/>
    </row>
    <row r="29" spans="1:54" ht="13.5" customHeight="1">
      <c r="A29" s="1116" t="str">
        <f>IF(ФОРМА!E31="ВЛ",ПОДПИСИ!C6,IF(ФОРМА!E31="КЛ",ПОДПИСИ!C7))</f>
        <v>Чечин Д.М.</v>
      </c>
      <c r="B29" s="1116"/>
      <c r="C29" s="1116"/>
      <c r="D29" s="1116"/>
      <c r="E29" s="1116"/>
      <c r="F29" s="1116"/>
      <c r="G29" s="1116"/>
      <c r="H29" s="1116"/>
      <c r="I29" s="1116"/>
      <c r="J29" s="1116"/>
      <c r="K29" s="1116"/>
      <c r="L29" s="1116"/>
      <c r="M29" s="1116"/>
      <c r="N29" s="1116"/>
      <c r="O29" s="1116"/>
      <c r="P29" s="1116"/>
      <c r="Q29" s="1116"/>
      <c r="R29" s="1116"/>
      <c r="S29" s="1116"/>
      <c r="T29" s="1116"/>
      <c r="U29" s="1116"/>
      <c r="V29" s="1116"/>
      <c r="W29" s="1116"/>
      <c r="X29" s="1116"/>
      <c r="Y29" s="1116"/>
      <c r="Z29" s="1116"/>
      <c r="AA29" s="1116"/>
      <c r="AB29" s="1116"/>
      <c r="AC29" s="1116"/>
      <c r="AD29" s="1116"/>
      <c r="AE29" s="1116"/>
      <c r="AF29" s="1116"/>
      <c r="AG29" s="1116"/>
      <c r="AH29" s="1116"/>
      <c r="AI29" s="1116"/>
      <c r="AJ29" s="1116"/>
      <c r="AK29" s="1116"/>
      <c r="AL29" s="1116"/>
      <c r="AM29" s="1116"/>
      <c r="AN29" s="1116"/>
      <c r="AO29" s="1116"/>
      <c r="AP29" s="1116"/>
      <c r="AQ29" s="1116"/>
      <c r="AR29" s="1116"/>
      <c r="AS29" s="1116"/>
      <c r="AT29" s="1116"/>
      <c r="AU29" s="1116"/>
      <c r="AV29" s="1116"/>
      <c r="AW29" s="1116"/>
      <c r="AX29" s="1116"/>
      <c r="AY29" s="1116"/>
      <c r="AZ29" s="1116"/>
      <c r="BA29" s="1116"/>
      <c r="BB29" s="1116"/>
    </row>
    <row r="30" spans="1:54" ht="30" customHeight="1">
      <c r="A30" s="1114" t="s">
        <v>1009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1114"/>
      <c r="BB30" s="1114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5.7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9.65" customHeight="1">
      <c r="A46" s="1113" t="s">
        <v>787</v>
      </c>
      <c r="B46" s="1113"/>
      <c r="C46" s="1113"/>
      <c r="D46" s="1113"/>
      <c r="E46" s="1113"/>
      <c r="F46" s="1113"/>
      <c r="G46" s="1113"/>
      <c r="H46" s="1113"/>
      <c r="I46" s="1113"/>
      <c r="J46" s="1113"/>
      <c r="K46" s="1113"/>
      <c r="L46" s="1113"/>
      <c r="M46" s="1113"/>
      <c r="N46" s="1113"/>
      <c r="O46" s="1113"/>
      <c r="P46" s="1113"/>
      <c r="Q46" s="1113"/>
      <c r="R46" s="1113"/>
      <c r="S46" s="1113"/>
      <c r="T46" s="1113"/>
      <c r="U46" s="1113"/>
      <c r="V46" s="1113"/>
      <c r="W46" s="1113"/>
      <c r="X46" s="1113"/>
      <c r="Y46" s="1113"/>
      <c r="Z46" s="1113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113"/>
      <c r="AO46" s="1113"/>
      <c r="AP46" s="1113"/>
      <c r="AQ46" s="1113"/>
      <c r="AR46" s="1113"/>
      <c r="AS46" s="1113"/>
      <c r="AT46" s="1113"/>
      <c r="AU46" s="1113"/>
      <c r="AV46" s="1113"/>
      <c r="AW46" s="1113"/>
      <c r="AX46" s="1113"/>
      <c r="AY46" s="1113"/>
      <c r="AZ46" s="1113"/>
      <c r="BA46" s="1113"/>
      <c r="BB46" s="1113"/>
    </row>
    <row r="47" spans="1:54">
      <c r="A47" s="1102"/>
      <c r="B47" s="1102"/>
      <c r="C47" s="1102"/>
      <c r="D47" s="1102"/>
      <c r="E47" s="1102"/>
      <c r="F47" s="1102"/>
      <c r="G47" s="1102"/>
      <c r="H47" s="1102"/>
      <c r="I47" s="1102"/>
      <c r="J47" s="1102"/>
      <c r="K47" s="1102"/>
      <c r="L47" s="1102"/>
      <c r="M47" s="1102"/>
      <c r="N47" s="1102"/>
      <c r="O47" s="1102"/>
      <c r="P47" s="1102"/>
      <c r="Q47" s="1102"/>
      <c r="R47" s="1102"/>
      <c r="S47" s="1102"/>
      <c r="T47" s="1102"/>
      <c r="U47" s="1102"/>
      <c r="V47" s="1102"/>
      <c r="W47" s="1102"/>
      <c r="X47" s="1102"/>
      <c r="Y47" s="1102"/>
      <c r="Z47" s="1102"/>
      <c r="AA47" s="1102"/>
      <c r="AB47" s="1102"/>
      <c r="AC47" s="1102"/>
      <c r="AD47" s="1102"/>
      <c r="AE47" s="1102"/>
      <c r="AF47" s="1102"/>
      <c r="AG47" s="1102"/>
      <c r="AH47" s="1102"/>
      <c r="AI47" s="1102"/>
      <c r="AJ47" s="1102"/>
      <c r="AK47" s="1102"/>
      <c r="AL47" s="1102"/>
      <c r="AM47" s="1102"/>
      <c r="AN47" s="1102"/>
      <c r="AO47" s="1102"/>
      <c r="AP47" s="1102"/>
      <c r="AQ47" s="1102"/>
      <c r="AR47" s="1102"/>
      <c r="AS47" s="1102"/>
      <c r="AT47" s="1102"/>
      <c r="AU47" s="1102"/>
      <c r="AV47" s="1102"/>
      <c r="AW47" s="1102"/>
      <c r="AX47" s="1102"/>
      <c r="AY47" s="1102"/>
      <c r="AZ47" s="1102"/>
      <c r="BA47" s="1102"/>
      <c r="BB47" s="1102"/>
    </row>
    <row r="48" spans="1:54" ht="15.75" customHeight="1">
      <c r="A48" s="1107" t="s">
        <v>788</v>
      </c>
      <c r="B48" s="1107"/>
      <c r="C48" s="1107"/>
      <c r="D48" s="1107"/>
      <c r="E48" s="1107"/>
      <c r="F48" s="1107"/>
      <c r="G48" s="1107"/>
      <c r="H48" s="1107"/>
      <c r="I48" s="1107"/>
      <c r="J48" s="1107"/>
      <c r="K48" s="1107"/>
      <c r="L48" s="1107"/>
      <c r="M48" s="1107"/>
      <c r="N48" s="1107"/>
      <c r="O48" s="1107"/>
      <c r="P48" s="1107"/>
      <c r="Q48" s="1107"/>
      <c r="R48" s="1107"/>
      <c r="S48" s="1107"/>
      <c r="T48" s="1107"/>
      <c r="U48" s="1107"/>
      <c r="V48" s="1107"/>
      <c r="W48" s="1107"/>
      <c r="X48" s="1107"/>
      <c r="Y48" s="1107"/>
      <c r="Z48" s="1107"/>
      <c r="AA48" s="1107"/>
      <c r="AB48" s="1107"/>
      <c r="AC48" s="1107"/>
      <c r="AD48" s="1107"/>
      <c r="AE48" s="1107"/>
      <c r="AF48" s="1107"/>
      <c r="AG48" s="1107"/>
      <c r="AH48" s="1107"/>
      <c r="AI48" s="1107"/>
      <c r="AJ48" s="1107"/>
      <c r="AK48" s="1107"/>
      <c r="AL48" s="1107"/>
      <c r="AM48" s="1107"/>
      <c r="AN48" s="1107"/>
      <c r="AO48" s="1107"/>
      <c r="AP48" s="1107"/>
      <c r="AQ48" s="1107"/>
      <c r="AR48" s="1107"/>
      <c r="AS48" s="1107"/>
      <c r="AT48" s="1107"/>
      <c r="AU48" s="1107"/>
      <c r="AV48" s="1107"/>
      <c r="AW48" s="1107"/>
      <c r="AX48" s="1107"/>
      <c r="AY48" s="1107"/>
      <c r="AZ48" s="1107"/>
      <c r="BA48" s="1107"/>
      <c r="BB48" s="1107"/>
    </row>
    <row r="49" spans="1:56">
      <c r="A49" s="1094" t="s">
        <v>79</v>
      </c>
      <c r="B49" s="1094"/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</row>
    <row r="50" spans="1:56">
      <c r="A50" s="1104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04"/>
      <c r="C50" s="1104"/>
      <c r="D50" s="1104"/>
      <c r="E50" s="1104"/>
      <c r="F50" s="1104"/>
      <c r="G50" s="1104"/>
      <c r="H50" s="1104"/>
      <c r="I50" s="1104"/>
      <c r="J50" s="1104"/>
      <c r="K50" s="1104"/>
      <c r="L50" s="1104"/>
      <c r="M50" s="1104"/>
      <c r="N50" s="1104"/>
      <c r="O50" s="1104"/>
      <c r="P50" s="1104"/>
      <c r="Q50" s="1104"/>
      <c r="R50" s="1104"/>
      <c r="S50" s="1104"/>
      <c r="T50" s="1104"/>
      <c r="U50" s="1104"/>
      <c r="V50" s="1104"/>
      <c r="W50" s="1104"/>
      <c r="X50" s="1104"/>
      <c r="Y50" s="1104"/>
      <c r="Z50" s="1104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</row>
    <row r="51" spans="1:56" ht="7.5" customHeight="1">
      <c r="A51" s="1105" t="s">
        <v>523</v>
      </c>
      <c r="B51" s="1105"/>
      <c r="C51" s="1105"/>
      <c r="D51" s="1105"/>
      <c r="E51" s="1105"/>
      <c r="F51" s="1105"/>
      <c r="G51" s="1105"/>
      <c r="H51" s="1105"/>
      <c r="I51" s="1105"/>
      <c r="J51" s="1105"/>
      <c r="K51" s="1105"/>
      <c r="L51" s="1105"/>
      <c r="M51" s="1105"/>
      <c r="N51" s="1105"/>
      <c r="O51" s="1105"/>
      <c r="P51" s="1105"/>
      <c r="Q51" s="1105"/>
      <c r="R51" s="1105"/>
      <c r="S51" s="1105"/>
      <c r="T51" s="1105"/>
      <c r="U51" s="1105"/>
      <c r="V51" s="1105"/>
      <c r="W51" s="1105"/>
      <c r="X51" s="1105"/>
      <c r="Y51" s="1105"/>
      <c r="Z51" s="1105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</row>
    <row r="52" spans="1:56" ht="12" customHeight="1">
      <c r="A52" s="1094" t="s">
        <v>993</v>
      </c>
      <c r="B52" s="1094"/>
      <c r="C52" s="1094"/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94"/>
      <c r="V52" s="1094"/>
      <c r="W52" s="1094"/>
      <c r="X52" s="1094"/>
      <c r="Y52" s="1094"/>
      <c r="Z52" s="1094"/>
      <c r="AA52" s="1094"/>
      <c r="AB52" s="1094"/>
      <c r="AC52" s="1094"/>
      <c r="AD52" s="1094"/>
      <c r="AE52" s="1094"/>
      <c r="AF52" s="1094"/>
      <c r="AG52" s="1094"/>
      <c r="AH52" s="1094"/>
      <c r="AI52" s="1094"/>
      <c r="AJ52" s="1094"/>
      <c r="AK52" s="1094"/>
      <c r="AL52" s="1094"/>
      <c r="AM52" s="1094"/>
      <c r="AN52" s="1094"/>
      <c r="AO52" s="1094"/>
      <c r="AP52" s="1094"/>
      <c r="AQ52" s="1094"/>
    </row>
    <row r="53" spans="1:56" ht="13.5" customHeight="1">
      <c r="A53" s="1094" t="s">
        <v>997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14.25" customHeight="1">
      <c r="A54" s="1119" t="s">
        <v>998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14.25" customHeight="1">
      <c r="A55" s="1095" t="s">
        <v>999</v>
      </c>
      <c r="B55" s="1095"/>
      <c r="C55" s="1095"/>
      <c r="D55" s="1095"/>
      <c r="E55" s="1095"/>
      <c r="F55" s="1095"/>
      <c r="G55" s="1095"/>
      <c r="H55" s="1095"/>
      <c r="I55" s="1095"/>
      <c r="J55" s="1095"/>
      <c r="K55" s="1095"/>
      <c r="L55" s="1095"/>
      <c r="M55" s="1095"/>
      <c r="N55" s="1095"/>
      <c r="O55" s="1095"/>
      <c r="P55" s="1095"/>
      <c r="Q55" s="1095"/>
      <c r="R55" s="1095"/>
      <c r="S55" s="1095"/>
      <c r="T55" s="1095"/>
      <c r="U55" s="1095"/>
      <c r="V55" s="1095"/>
      <c r="W55" s="1095"/>
      <c r="X55" s="1095"/>
      <c r="Y55" s="1095"/>
      <c r="Z55" s="1095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095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</row>
    <row r="56" spans="1:56" ht="7.5" customHeight="1">
      <c r="A56" s="1105" t="s">
        <v>1004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105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</row>
    <row r="57" spans="1:56">
      <c r="A57" s="1094" t="s">
        <v>82</v>
      </c>
      <c r="B57" s="1094"/>
      <c r="C57" s="1094"/>
      <c r="D57" s="1094"/>
      <c r="E57" s="1094"/>
      <c r="F57" s="1094"/>
      <c r="G57" s="1094"/>
      <c r="H57" s="1094"/>
      <c r="I57" s="1094"/>
      <c r="J57" s="1094"/>
      <c r="K57" s="1094"/>
      <c r="L57" s="1094"/>
      <c r="M57" s="1094"/>
      <c r="N57" s="1094"/>
      <c r="O57" s="1094"/>
      <c r="P57" s="1094"/>
      <c r="Q57" s="1094"/>
      <c r="R57" s="1094"/>
      <c r="S57" s="1094"/>
      <c r="T57" s="1094"/>
      <c r="U57" s="1094"/>
      <c r="V57" s="1094"/>
      <c r="W57" s="1094"/>
      <c r="X57" s="1094"/>
      <c r="Y57" s="1094"/>
      <c r="Z57" s="1094"/>
      <c r="AA57" s="1094"/>
      <c r="AB57" s="1111" t="str">
        <f>ФОРМА!B8</f>
        <v>ООО «Строительные энергетические технологии»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108" t="s">
        <v>829</v>
      </c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>
      <c r="A59" s="1104" t="str">
        <f>CONCATENATE("Проект Шифр ",ФОРМА!B9)</f>
        <v>Проект Шифр СЭС-23-32939-ЭС-ТКР2</v>
      </c>
      <c r="B59" s="1104"/>
      <c r="C59" s="1104"/>
      <c r="D59" s="1104"/>
      <c r="E59" s="1104"/>
      <c r="F59" s="1104"/>
      <c r="G59" s="1104"/>
      <c r="H59" s="1104"/>
      <c r="I59" s="1104"/>
      <c r="J59" s="1104"/>
      <c r="K59" s="1104"/>
      <c r="L59" s="1104"/>
      <c r="M59" s="1104"/>
      <c r="N59" s="1104"/>
      <c r="O59" s="1104"/>
      <c r="P59" s="1104"/>
      <c r="Q59" s="1104"/>
      <c r="R59" s="1104"/>
      <c r="S59" s="1104"/>
      <c r="T59" s="1104"/>
      <c r="U59" s="1104"/>
      <c r="V59" s="1104"/>
      <c r="W59" s="1104"/>
      <c r="X59" s="1104"/>
      <c r="Y59" s="1104"/>
      <c r="Z59" s="1104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104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</row>
    <row r="60" spans="1:56" ht="8.25" customHeight="1">
      <c r="A60" s="1105" t="s">
        <v>830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</row>
    <row r="61" spans="1:56">
      <c r="A61" s="1094" t="s">
        <v>768</v>
      </c>
      <c r="B61" s="1094"/>
      <c r="C61" s="1094"/>
      <c r="D61" s="1094"/>
      <c r="E61" s="1094"/>
      <c r="F61" s="1094"/>
      <c r="G61" s="1094"/>
      <c r="H61" s="1094"/>
      <c r="I61" s="1094"/>
      <c r="J61" s="1094"/>
      <c r="K61" s="1094"/>
      <c r="L61" s="1094"/>
      <c r="M61" s="1094"/>
      <c r="N61" s="1094"/>
      <c r="O61" s="1094"/>
      <c r="P61" s="1094"/>
      <c r="Q61" s="1094"/>
      <c r="R61" s="1094"/>
      <c r="S61" s="1094"/>
      <c r="T61" s="1094"/>
      <c r="U61" s="1094"/>
      <c r="V61" s="1094"/>
      <c r="W61" s="1094"/>
      <c r="X61" s="1094"/>
      <c r="Y61" s="1094"/>
      <c r="Z61" s="1094"/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094"/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/>
      <c r="AY61" s="1094"/>
      <c r="AZ61" s="1094"/>
    </row>
    <row r="62" spans="1:56" ht="14.5">
      <c r="A62" s="1109" t="s">
        <v>65</v>
      </c>
      <c r="B62" s="1109"/>
      <c r="C62" s="1109"/>
      <c r="D62" s="1109"/>
      <c r="E62" s="1109"/>
      <c r="F62" s="1109"/>
      <c r="G62" s="1109"/>
      <c r="H62" s="1109"/>
      <c r="I62" s="1109"/>
      <c r="J62" s="1109"/>
      <c r="K62" s="1109"/>
      <c r="L62" s="1109"/>
      <c r="M62" s="1109"/>
      <c r="N62" s="1109"/>
      <c r="O62" s="1109"/>
      <c r="P62" s="1109"/>
      <c r="Q62" s="1109"/>
      <c r="R62" s="1109"/>
      <c r="S62" s="1109"/>
      <c r="T62" s="1109"/>
      <c r="U62" s="1109"/>
      <c r="V62" s="1109"/>
      <c r="W62" s="1109"/>
      <c r="X62" s="1109"/>
      <c r="Y62" s="1109"/>
      <c r="Z62" s="1109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D62" s="291"/>
    </row>
    <row r="63" spans="1:56">
      <c r="A63" s="1107" t="s">
        <v>831</v>
      </c>
      <c r="B63" s="1107"/>
      <c r="C63" s="1107"/>
      <c r="D63" s="1107"/>
      <c r="E63" s="1107"/>
      <c r="F63" s="1107"/>
      <c r="G63" s="1107"/>
      <c r="H63" s="1107"/>
      <c r="I63" s="1107"/>
      <c r="J63" s="1107"/>
      <c r="K63" s="1107"/>
      <c r="L63" s="1107"/>
      <c r="M63" s="1107"/>
      <c r="N63" s="1107"/>
      <c r="O63" s="1107"/>
      <c r="P63" s="1107"/>
      <c r="Q63" s="1107"/>
      <c r="R63" s="1107"/>
      <c r="S63" s="1107"/>
      <c r="T63" s="1107"/>
      <c r="U63" s="1107"/>
      <c r="V63" s="1107"/>
      <c r="W63" s="1107"/>
      <c r="X63" s="1107"/>
      <c r="Y63" s="1107"/>
      <c r="Z63" s="1107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D63" s="291"/>
    </row>
    <row r="64" spans="1:56">
      <c r="A64" s="1094" t="s">
        <v>84</v>
      </c>
      <c r="B64" s="1094"/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D64" s="291"/>
    </row>
    <row r="65" spans="1:56">
      <c r="A65" s="1106" t="str">
        <f>'Акт расчистки'!A65:BB65</f>
        <v>Исполнительные схемы по расчистке трассы</v>
      </c>
      <c r="B65" s="1106"/>
      <c r="C65" s="1106"/>
      <c r="D65" s="1106"/>
      <c r="E65" s="1106"/>
      <c r="F65" s="1106"/>
      <c r="G65" s="1106"/>
      <c r="H65" s="1106"/>
      <c r="I65" s="1106"/>
      <c r="J65" s="1106"/>
      <c r="K65" s="1106"/>
      <c r="L65" s="1106"/>
      <c r="M65" s="1106"/>
      <c r="N65" s="1106"/>
      <c r="O65" s="1106"/>
      <c r="P65" s="1106"/>
      <c r="Q65" s="1106"/>
      <c r="R65" s="1106"/>
      <c r="S65" s="1106"/>
      <c r="T65" s="1106"/>
      <c r="U65" s="1106"/>
      <c r="V65" s="1106"/>
      <c r="W65" s="1106"/>
      <c r="X65" s="1106"/>
      <c r="Y65" s="1106"/>
      <c r="Z65" s="1106"/>
      <c r="AA65" s="1106"/>
      <c r="AB65" s="1106"/>
      <c r="AC65" s="1106"/>
      <c r="AD65" s="1106"/>
      <c r="AE65" s="1106"/>
      <c r="AF65" s="1106"/>
      <c r="AG65" s="1106"/>
      <c r="AH65" s="1106"/>
      <c r="AI65" s="1106"/>
      <c r="AJ65" s="1106"/>
      <c r="AK65" s="1106"/>
      <c r="AL65" s="1106"/>
      <c r="AM65" s="1106"/>
      <c r="AN65" s="1106"/>
      <c r="AO65" s="1106"/>
      <c r="AP65" s="1106"/>
      <c r="AQ65" s="1106"/>
      <c r="AR65" s="1106"/>
      <c r="AS65" s="1106"/>
      <c r="AT65" s="1106"/>
      <c r="AU65" s="1106"/>
      <c r="AV65" s="1106"/>
      <c r="AW65" s="1106"/>
      <c r="AX65" s="1106"/>
      <c r="AY65" s="1106"/>
      <c r="AZ65" s="1106"/>
      <c r="BA65" s="1106"/>
      <c r="BB65" s="1106"/>
      <c r="BD65" s="297"/>
    </row>
    <row r="66" spans="1:56" ht="9" customHeight="1">
      <c r="A66" s="1107" t="s">
        <v>525</v>
      </c>
      <c r="B66" s="1107"/>
      <c r="C66" s="1107"/>
      <c r="D66" s="1107"/>
      <c r="E66" s="1107"/>
      <c r="F66" s="1107"/>
      <c r="G66" s="1107"/>
      <c r="H66" s="1107"/>
      <c r="I66" s="1107"/>
      <c r="J66" s="1107"/>
      <c r="K66" s="1107"/>
      <c r="L66" s="1107"/>
      <c r="M66" s="1107"/>
      <c r="N66" s="1107"/>
      <c r="O66" s="1107"/>
      <c r="P66" s="1107"/>
      <c r="Q66" s="1107"/>
      <c r="R66" s="1107"/>
      <c r="S66" s="1107"/>
      <c r="T66" s="1107"/>
      <c r="U66" s="1107"/>
      <c r="V66" s="1107"/>
      <c r="W66" s="1107"/>
      <c r="X66" s="1107"/>
      <c r="Y66" s="1107"/>
      <c r="Z66" s="1107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107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</row>
    <row r="67" spans="1:56" ht="12.75" customHeight="1">
      <c r="A67" s="1094" t="s">
        <v>526</v>
      </c>
      <c r="B67" s="1094"/>
      <c r="C67" s="1094"/>
      <c r="D67" s="1094"/>
      <c r="E67" s="1094"/>
      <c r="F67" s="1094" t="s">
        <v>527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6"/>
      <c r="S67" s="1096">
        <f>ФОРМА!C31</f>
        <v>45352</v>
      </c>
      <c r="T67" s="1096"/>
      <c r="U67" s="1096"/>
      <c r="V67" s="1096"/>
      <c r="W67" s="1096"/>
      <c r="X67" s="1096"/>
      <c r="Y67" s="1096"/>
      <c r="Z67" s="1096"/>
      <c r="AA67" s="1096"/>
      <c r="AB67" s="1096"/>
      <c r="AC67" s="1096"/>
      <c r="AD67" s="1096"/>
      <c r="AE67" s="1096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832</v>
      </c>
      <c r="B68" s="341"/>
      <c r="C68" s="341"/>
      <c r="D68" s="341" t="s">
        <v>833</v>
      </c>
      <c r="E68" s="341"/>
      <c r="F68" s="1094" t="s">
        <v>89</v>
      </c>
      <c r="G68" s="1094"/>
      <c r="H68" s="1094"/>
      <c r="I68" s="1094"/>
      <c r="J68" s="1094"/>
      <c r="K68" s="1094"/>
      <c r="L68" s="1094"/>
      <c r="M68" s="1094"/>
      <c r="N68" s="1094"/>
      <c r="O68" s="1094"/>
      <c r="P68" s="1094"/>
      <c r="Q68" s="1094"/>
      <c r="R68" s="341"/>
      <c r="S68" s="1096">
        <f>ФОРМА!D31</f>
        <v>45354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094" t="s">
        <v>85</v>
      </c>
      <c r="B70" s="1094"/>
      <c r="C70" s="1094"/>
      <c r="D70" s="1094"/>
      <c r="E70" s="1094"/>
      <c r="F70" s="1094"/>
      <c r="G70" s="1094"/>
      <c r="H70" s="1094"/>
      <c r="I70" s="1094"/>
      <c r="J70" s="1094"/>
      <c r="K70" s="1094"/>
      <c r="L70" s="1094"/>
      <c r="M70" s="1094"/>
      <c r="N70" s="1094"/>
      <c r="O70" s="1094"/>
      <c r="P70" s="1094"/>
      <c r="Q70" s="1094"/>
      <c r="R70" s="1094"/>
      <c r="S70" s="1094"/>
      <c r="T70" s="1094"/>
      <c r="U70" s="1094"/>
      <c r="V70" s="1106" t="s">
        <v>1007</v>
      </c>
      <c r="W70" s="1106"/>
      <c r="X70" s="1106"/>
      <c r="Y70" s="1106"/>
      <c r="Z70" s="1106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V70" s="1106"/>
      <c r="AW70" s="1106"/>
      <c r="AX70" s="1106"/>
      <c r="AY70" s="1106"/>
      <c r="AZ70" s="1106"/>
      <c r="BA70" s="1106"/>
      <c r="BB70" s="1106"/>
    </row>
    <row r="71" spans="1:56" ht="18.75" customHeight="1">
      <c r="U71" s="296"/>
      <c r="V71" s="1103" t="s">
        <v>995</v>
      </c>
      <c r="W71" s="1103"/>
      <c r="X71" s="1103"/>
      <c r="Y71" s="1103"/>
      <c r="Z71" s="1103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</row>
    <row r="72" spans="1:56">
      <c r="A72" s="1094" t="s">
        <v>769</v>
      </c>
      <c r="B72" s="1094"/>
      <c r="C72" s="1094"/>
      <c r="D72" s="1094"/>
      <c r="E72" s="1094"/>
      <c r="F72" s="1094"/>
      <c r="G72" s="1094"/>
      <c r="H72" s="1094"/>
      <c r="I72" s="1094"/>
      <c r="J72" s="1094"/>
      <c r="K72" s="1094"/>
      <c r="L72" s="1094"/>
      <c r="M72" s="1094"/>
      <c r="N72" s="1094"/>
      <c r="O72" s="1094"/>
      <c r="P72" s="1094"/>
      <c r="Q72" s="1094"/>
      <c r="R72" s="1094"/>
      <c r="S72" s="1094"/>
      <c r="T72" s="1094"/>
      <c r="U72" s="1094"/>
      <c r="V72" s="1094"/>
      <c r="W72" s="1094"/>
      <c r="X72" s="1094"/>
      <c r="Y72" s="1094"/>
      <c r="Z72" s="1094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94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094"/>
    </row>
    <row r="73" spans="1:56">
      <c r="A73" s="1104" t="s">
        <v>1010</v>
      </c>
      <c r="B73" s="1104"/>
      <c r="C73" s="1104"/>
      <c r="D73" s="1104"/>
      <c r="E73" s="1104"/>
      <c r="F73" s="1104"/>
      <c r="G73" s="1104"/>
      <c r="H73" s="1104"/>
      <c r="I73" s="1104"/>
      <c r="J73" s="1104"/>
      <c r="K73" s="1104"/>
      <c r="L73" s="1104"/>
      <c r="M73" s="1104"/>
      <c r="N73" s="1104"/>
      <c r="O73" s="1104"/>
      <c r="P73" s="1104"/>
      <c r="Q73" s="1104"/>
      <c r="R73" s="1104"/>
      <c r="S73" s="1104"/>
      <c r="T73" s="1104"/>
      <c r="U73" s="1104"/>
      <c r="V73" s="1104"/>
      <c r="W73" s="1104"/>
      <c r="X73" s="1104"/>
      <c r="Y73" s="1104"/>
      <c r="Z73" s="1104"/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</row>
    <row r="74" spans="1:56" ht="8.25" customHeight="1">
      <c r="A74" s="1105" t="s">
        <v>529</v>
      </c>
      <c r="B74" s="1105"/>
      <c r="C74" s="1105"/>
      <c r="D74" s="1105"/>
      <c r="E74" s="1105"/>
      <c r="F74" s="1105"/>
      <c r="G74" s="1105"/>
      <c r="H74" s="1105"/>
      <c r="I74" s="1105"/>
      <c r="J74" s="1105"/>
      <c r="K74" s="1105"/>
      <c r="L74" s="1105"/>
      <c r="M74" s="1105"/>
      <c r="N74" s="1105"/>
      <c r="O74" s="1105"/>
      <c r="P74" s="1105"/>
      <c r="Q74" s="1105"/>
      <c r="R74" s="1105"/>
      <c r="S74" s="1105"/>
      <c r="T74" s="1105"/>
      <c r="U74" s="1105"/>
      <c r="V74" s="1105"/>
      <c r="W74" s="1105"/>
      <c r="X74" s="1105"/>
      <c r="Y74" s="1105"/>
      <c r="Z74" s="1105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</row>
    <row r="75" spans="1:56">
      <c r="A75" s="1094" t="s">
        <v>86</v>
      </c>
      <c r="B75" s="1094"/>
      <c r="C75" s="1094"/>
      <c r="D75" s="1094"/>
      <c r="E75" s="1094"/>
      <c r="F75" s="1094"/>
      <c r="G75" s="1094"/>
      <c r="H75" s="1094"/>
      <c r="I75" s="1094"/>
      <c r="J75" s="1094"/>
      <c r="K75" s="1094"/>
      <c r="L75" s="1094"/>
      <c r="M75" s="1094"/>
      <c r="N75" s="1094"/>
      <c r="O75" s="1094"/>
      <c r="P75" s="341"/>
      <c r="Q75" s="1098" t="s">
        <v>65</v>
      </c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</row>
    <row r="76" spans="1:56">
      <c r="A76" s="1094" t="s">
        <v>90</v>
      </c>
      <c r="B76" s="1094"/>
      <c r="C76" s="1094"/>
      <c r="D76" s="1094"/>
      <c r="E76" s="1094"/>
      <c r="F76" s="1094"/>
      <c r="G76" s="1094"/>
      <c r="H76" s="1094"/>
      <c r="I76" s="1094"/>
      <c r="J76" s="1099">
        <f>ФОРМА!F5</f>
        <v>2</v>
      </c>
      <c r="K76" s="1099"/>
      <c r="L76" s="1100" t="s">
        <v>835</v>
      </c>
      <c r="M76" s="1100"/>
      <c r="N76" s="1100"/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0"/>
      <c r="Z76" s="1100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101" t="s">
        <v>87</v>
      </c>
      <c r="B77" s="1101"/>
      <c r="C77" s="1101"/>
      <c r="D77" s="1101"/>
      <c r="E77" s="1101"/>
      <c r="F77" s="1101"/>
      <c r="G77" s="1101"/>
      <c r="H77" s="299"/>
      <c r="I77" s="1102" t="str">
        <f>A65</f>
        <v>Исполнительные схемы по расчистке трассы</v>
      </c>
      <c r="J77" s="1102"/>
      <c r="K77" s="1102"/>
      <c r="L77" s="1102"/>
      <c r="M77" s="1102"/>
      <c r="N77" s="1102"/>
      <c r="O77" s="1102"/>
      <c r="P77" s="1102"/>
      <c r="Q77" s="1102"/>
      <c r="R77" s="1102"/>
      <c r="S77" s="1102"/>
      <c r="T77" s="1102"/>
      <c r="U77" s="1102"/>
      <c r="V77" s="1102"/>
      <c r="W77" s="1102"/>
      <c r="X77" s="1102"/>
      <c r="Y77" s="1102"/>
      <c r="Z77" s="1102"/>
      <c r="AA77" s="1102"/>
      <c r="AB77" s="1102"/>
      <c r="AC77" s="1102"/>
      <c r="AD77" s="1102"/>
      <c r="AE77" s="1102"/>
      <c r="AF77" s="1102"/>
      <c r="AG77" s="1102"/>
      <c r="AH77" s="1102"/>
      <c r="AI77" s="1102"/>
      <c r="AJ77" s="1102"/>
      <c r="AK77" s="1102"/>
      <c r="AL77" s="1102"/>
      <c r="AM77" s="1102"/>
      <c r="AN77" s="1102"/>
      <c r="AO77" s="1102"/>
      <c r="AP77" s="1102"/>
      <c r="AQ77" s="1102"/>
      <c r="AR77" s="1102"/>
      <c r="AS77" s="1102"/>
      <c r="AT77" s="1102"/>
      <c r="AU77" s="1102"/>
      <c r="AV77" s="1102"/>
      <c r="AW77" s="1102"/>
      <c r="AX77" s="1102"/>
      <c r="AY77" s="1102"/>
      <c r="AZ77" s="1102"/>
      <c r="BA77" s="1102"/>
      <c r="BB77" s="1102"/>
    </row>
    <row r="78" spans="1:56" ht="9" customHeight="1">
      <c r="A78" s="1097" t="s">
        <v>770</v>
      </c>
      <c r="B78" s="1097"/>
      <c r="C78" s="1097"/>
      <c r="D78" s="1097"/>
      <c r="E78" s="1097"/>
      <c r="F78" s="1097"/>
      <c r="G78" s="1097"/>
      <c r="H78" s="1097"/>
      <c r="I78" s="1097"/>
      <c r="J78" s="1097"/>
      <c r="K78" s="1097"/>
      <c r="L78" s="1097"/>
      <c r="M78" s="1097"/>
      <c r="N78" s="1097"/>
      <c r="O78" s="1097"/>
      <c r="P78" s="1097"/>
      <c r="Q78" s="1097"/>
      <c r="R78" s="1097"/>
      <c r="S78" s="1097"/>
      <c r="T78" s="1097"/>
      <c r="U78" s="1097"/>
      <c r="V78" s="1097"/>
      <c r="W78" s="1097"/>
      <c r="X78" s="1097"/>
      <c r="Y78" s="1097"/>
      <c r="Z78" s="1097"/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1097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</row>
    <row r="79" spans="1:56" ht="26.25" customHeight="1">
      <c r="A79" s="1089" t="s">
        <v>546</v>
      </c>
      <c r="B79" s="1089"/>
      <c r="C79" s="1089"/>
      <c r="D79" s="1089"/>
      <c r="E79" s="1089"/>
      <c r="F79" s="1089"/>
      <c r="G79" s="1089"/>
      <c r="H79" s="1089"/>
      <c r="I79" s="1089"/>
      <c r="J79" s="1089"/>
      <c r="K79" s="1089"/>
      <c r="L79" s="1089"/>
      <c r="M79" s="1089"/>
      <c r="N79" s="1089"/>
      <c r="O79" s="1089"/>
      <c r="P79" s="1089"/>
      <c r="Q79" s="1089"/>
      <c r="R79" s="1089"/>
      <c r="S79" s="1089"/>
      <c r="T79" s="1089"/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  <c r="BA79" s="1089"/>
      <c r="BB79" s="1089"/>
    </row>
    <row r="80" spans="1:56" ht="22.5" customHeight="1">
      <c r="A80" s="1090" t="str">
        <f>IF(ФОРМА!E30="ВЛ",ПОДПИСИ!D6,IF(ФОРМА!E30="КЛ",ПОДПИСИ!D7))</f>
        <v>Чечин Д.М.</v>
      </c>
      <c r="B80" s="1090"/>
      <c r="C80" s="1090"/>
      <c r="D80" s="1090"/>
      <c r="E80" s="1090"/>
      <c r="F80" s="1090"/>
      <c r="G80" s="1090"/>
      <c r="H80" s="1090"/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91"/>
      <c r="BA80" s="1091"/>
      <c r="BB80" s="1091"/>
    </row>
    <row r="81" spans="1:54" ht="9" customHeight="1">
      <c r="A81" s="1092" t="s">
        <v>799</v>
      </c>
      <c r="B81" s="1092"/>
      <c r="C81" s="1092"/>
      <c r="D81" s="1092"/>
      <c r="E81" s="1092"/>
      <c r="F81" s="1092"/>
      <c r="G81" s="1092"/>
      <c r="H81" s="1092"/>
      <c r="I81" s="1092"/>
      <c r="J81" s="1092"/>
      <c r="K81" s="1092"/>
      <c r="L81" s="1092"/>
      <c r="M81" s="1092"/>
      <c r="N81" s="1092"/>
      <c r="O81" s="1092"/>
      <c r="P81" s="1092"/>
      <c r="Q81" s="1092"/>
      <c r="R81" s="1092"/>
      <c r="S81" s="1092"/>
      <c r="T81" s="1092"/>
      <c r="U81" s="1092"/>
      <c r="V81" s="1092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92" t="s">
        <v>49</v>
      </c>
      <c r="BA81" s="1092"/>
      <c r="BB81" s="1092"/>
    </row>
    <row r="82" spans="1:54">
      <c r="A82" s="1089" t="s">
        <v>783</v>
      </c>
      <c r="B82" s="1089"/>
      <c r="C82" s="1089"/>
      <c r="D82" s="1089"/>
      <c r="E82" s="1089"/>
      <c r="F82" s="1089"/>
      <c r="G82" s="1089"/>
      <c r="H82" s="1089"/>
      <c r="I82" s="1089"/>
      <c r="J82" s="1089"/>
      <c r="K82" s="1089"/>
      <c r="L82" s="1089"/>
      <c r="M82" s="1089"/>
      <c r="N82" s="1089"/>
      <c r="O82" s="1089"/>
      <c r="P82" s="1089"/>
      <c r="Q82" s="1089"/>
      <c r="R82" s="1089"/>
      <c r="S82" s="1089"/>
      <c r="T82" s="1089"/>
      <c r="U82" s="1089"/>
      <c r="V82" s="1089"/>
      <c r="W82" s="1089"/>
      <c r="X82" s="1089"/>
      <c r="Y82" s="1089"/>
      <c r="Z82" s="1089"/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1089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</row>
    <row r="83" spans="1:54" ht="22.5" customHeight="1">
      <c r="A83" s="1090" t="str">
        <f>ПОДПИСИ!D15</f>
        <v>Матвеев А.С.</v>
      </c>
      <c r="B83" s="1090"/>
      <c r="C83" s="1090"/>
      <c r="D83" s="1090"/>
      <c r="E83" s="1090"/>
      <c r="F83" s="1090"/>
      <c r="G83" s="1090"/>
      <c r="H83" s="1090"/>
      <c r="I83" s="1090"/>
      <c r="J83" s="1090"/>
      <c r="K83" s="1090"/>
      <c r="L83" s="1090"/>
      <c r="M83" s="1090"/>
      <c r="N83" s="1090"/>
      <c r="O83" s="1090"/>
      <c r="P83" s="1090"/>
      <c r="Q83" s="1090"/>
      <c r="R83" s="1090"/>
      <c r="S83" s="1090"/>
      <c r="T83" s="1090"/>
      <c r="U83" s="1090"/>
      <c r="V83" s="109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1"/>
      <c r="BA83" s="1091"/>
      <c r="BB83" s="1091"/>
    </row>
    <row r="84" spans="1:54" ht="9" customHeight="1">
      <c r="A84" s="1092" t="s">
        <v>799</v>
      </c>
      <c r="B84" s="1092"/>
      <c r="C84" s="1092"/>
      <c r="D84" s="1092"/>
      <c r="E84" s="1092"/>
      <c r="F84" s="1092"/>
      <c r="G84" s="1092"/>
      <c r="H84" s="1092"/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2" t="s">
        <v>49</v>
      </c>
      <c r="BA84" s="1092"/>
      <c r="BB84" s="1092"/>
    </row>
    <row r="85" spans="1:54" ht="27.75" customHeight="1">
      <c r="A85" s="1089" t="s">
        <v>811</v>
      </c>
      <c r="B85" s="1089"/>
      <c r="C85" s="1089"/>
      <c r="D85" s="1089"/>
      <c r="E85" s="1089"/>
      <c r="F85" s="1089"/>
      <c r="G85" s="1089"/>
      <c r="H85" s="1089"/>
      <c r="I85" s="1089"/>
      <c r="J85" s="1089"/>
      <c r="K85" s="1089"/>
      <c r="L85" s="1089"/>
      <c r="M85" s="1089"/>
      <c r="N85" s="1089"/>
      <c r="O85" s="1089"/>
      <c r="P85" s="1089"/>
      <c r="Q85" s="1089"/>
      <c r="R85" s="1089"/>
      <c r="S85" s="1089"/>
      <c r="T85" s="1089"/>
      <c r="U85" s="1089"/>
      <c r="V85" s="1089"/>
      <c r="W85" s="1089"/>
      <c r="X85" s="1089"/>
      <c r="Y85" s="1089"/>
      <c r="Z85" s="1089"/>
      <c r="AA85" s="1089"/>
      <c r="AB85" s="1089"/>
      <c r="AC85" s="1089"/>
      <c r="AD85" s="1089"/>
      <c r="AE85" s="1089"/>
      <c r="AF85" s="1089"/>
      <c r="AG85" s="1089"/>
      <c r="AH85" s="1089"/>
      <c r="AI85" s="1089"/>
      <c r="AJ85" s="1089"/>
      <c r="AK85" s="1089"/>
      <c r="AL85" s="1089"/>
      <c r="AM85" s="1089"/>
      <c r="AN85" s="1089"/>
      <c r="AO85" s="1089"/>
      <c r="AP85" s="1089"/>
      <c r="AQ85" s="1089"/>
      <c r="AR85" s="1089"/>
      <c r="AS85" s="1089"/>
      <c r="AT85" s="1089"/>
      <c r="AU85" s="1089"/>
      <c r="AV85" s="1089"/>
      <c r="AW85" s="1089"/>
      <c r="AX85" s="1089"/>
      <c r="AY85" s="1089"/>
      <c r="AZ85" s="1089"/>
      <c r="BA85" s="1089"/>
      <c r="BB85" s="1089"/>
    </row>
    <row r="86" spans="1:54" ht="22.5" customHeight="1">
      <c r="A86" s="1090" t="str">
        <f>ПОДПИСИ!D17</f>
        <v>Матвеев А.С.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91"/>
      <c r="BA86" s="1091"/>
      <c r="BB86" s="1091"/>
    </row>
    <row r="87" spans="1:54" ht="9" customHeight="1">
      <c r="A87" s="1092" t="s">
        <v>799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2" t="s">
        <v>49</v>
      </c>
      <c r="BA87" s="1092"/>
      <c r="BB87" s="1092"/>
    </row>
    <row r="88" spans="1:54" ht="37.5" customHeight="1">
      <c r="A88" s="1089" t="s">
        <v>801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1089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089"/>
      <c r="AO88" s="1089"/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  <c r="BA88" s="1089"/>
      <c r="BB88" s="1089"/>
    </row>
    <row r="89" spans="1:54" ht="22.5" customHeight="1">
      <c r="A89" s="1090" t="str">
        <f>ПОДПИСИ!C19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91"/>
      <c r="BA89" s="1091"/>
      <c r="BB89" s="1091"/>
    </row>
    <row r="90" spans="1:54" ht="9" customHeight="1">
      <c r="A90" s="1092" t="s">
        <v>799</v>
      </c>
      <c r="B90" s="1092"/>
      <c r="C90" s="1092"/>
      <c r="D90" s="1092"/>
      <c r="E90" s="1092"/>
      <c r="F90" s="1092"/>
      <c r="G90" s="1092"/>
      <c r="H90" s="1092"/>
      <c r="I90" s="1092"/>
      <c r="J90" s="1092"/>
      <c r="K90" s="1092"/>
      <c r="L90" s="1092"/>
      <c r="M90" s="1092"/>
      <c r="N90" s="1092"/>
      <c r="O90" s="1092"/>
      <c r="P90" s="1092"/>
      <c r="Q90" s="1092"/>
      <c r="R90" s="1092"/>
      <c r="S90" s="1092"/>
      <c r="T90" s="1092"/>
      <c r="U90" s="1092"/>
      <c r="V90" s="1092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2" t="s">
        <v>49</v>
      </c>
      <c r="BA90" s="1092"/>
      <c r="BB90" s="1092"/>
    </row>
    <row r="91" spans="1:54" ht="25.5" customHeight="1">
      <c r="A91" s="1089" t="s">
        <v>836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89"/>
      <c r="AA91" s="1089"/>
      <c r="AB91" s="1089"/>
      <c r="AC91" s="1089"/>
      <c r="AD91" s="1089"/>
      <c r="AE91" s="1089"/>
      <c r="AF91" s="1089"/>
      <c r="AG91" s="1089"/>
      <c r="AH91" s="1089"/>
      <c r="AI91" s="1089"/>
      <c r="AJ91" s="1089"/>
      <c r="AK91" s="1089"/>
      <c r="AL91" s="1089"/>
      <c r="AM91" s="1089"/>
      <c r="AN91" s="1089"/>
      <c r="AO91" s="1089"/>
      <c r="AP91" s="1089"/>
      <c r="AQ91" s="1089"/>
      <c r="AR91" s="1089"/>
      <c r="AS91" s="1089"/>
      <c r="AT91" s="1089"/>
      <c r="AU91" s="1089"/>
      <c r="AV91" s="1089"/>
      <c r="AW91" s="1089"/>
      <c r="AX91" s="1089"/>
      <c r="AY91" s="1089"/>
      <c r="AZ91" s="1089"/>
      <c r="BA91" s="1089"/>
      <c r="BB91" s="1089"/>
    </row>
    <row r="92" spans="1:54" ht="22.5" customHeight="1">
      <c r="A92" s="1090" t="str">
        <f>ПОДПИСИ!D12</f>
        <v>Махмадов А.Р.</v>
      </c>
      <c r="B92" s="1090"/>
      <c r="C92" s="1090"/>
      <c r="D92" s="1090"/>
      <c r="E92" s="1090"/>
      <c r="F92" s="1090"/>
      <c r="G92" s="1090"/>
      <c r="H92" s="1090"/>
      <c r="I92" s="1090"/>
      <c r="J92" s="1090"/>
      <c r="K92" s="1090"/>
      <c r="L92" s="1090"/>
      <c r="M92" s="1090"/>
      <c r="N92" s="1090"/>
      <c r="O92" s="1090"/>
      <c r="P92" s="1090"/>
      <c r="Q92" s="1090"/>
      <c r="R92" s="1090"/>
      <c r="S92" s="1090"/>
      <c r="T92" s="1090"/>
      <c r="U92" s="1090"/>
      <c r="V92" s="109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91"/>
      <c r="BA92" s="1091"/>
      <c r="BB92" s="1091"/>
    </row>
    <row r="93" spans="1:54" ht="9" customHeight="1">
      <c r="A93" s="1092" t="s">
        <v>799</v>
      </c>
      <c r="B93" s="1092"/>
      <c r="C93" s="1092"/>
      <c r="D93" s="1092"/>
      <c r="E93" s="1092"/>
      <c r="F93" s="1092"/>
      <c r="G93" s="1092"/>
      <c r="H93" s="1092"/>
      <c r="I93" s="1092"/>
      <c r="J93" s="1092"/>
      <c r="K93" s="1092"/>
      <c r="L93" s="1092"/>
      <c r="M93" s="1092"/>
      <c r="N93" s="1092"/>
      <c r="O93" s="1092"/>
      <c r="P93" s="1092"/>
      <c r="Q93" s="1092"/>
      <c r="R93" s="1092"/>
      <c r="S93" s="1092"/>
      <c r="T93" s="1092"/>
      <c r="U93" s="1092"/>
      <c r="V93" s="1092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2" t="s">
        <v>49</v>
      </c>
      <c r="BA93" s="1092"/>
      <c r="BB93" s="1092"/>
    </row>
    <row r="94" spans="1:54">
      <c r="A94" s="1089" t="s">
        <v>530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</row>
    <row r="95" spans="1:54" ht="22.5" customHeight="1">
      <c r="A95" s="1090" t="str">
        <f>ПОДПИСИ!D10</f>
        <v>Величко А.А.</v>
      </c>
      <c r="B95" s="1090"/>
      <c r="C95" s="1090"/>
      <c r="D95" s="1090"/>
      <c r="E95" s="1090"/>
      <c r="F95" s="1090"/>
      <c r="G95" s="1090"/>
      <c r="H95" s="1090"/>
      <c r="I95" s="1090"/>
      <c r="J95" s="1090"/>
      <c r="K95" s="1090"/>
      <c r="L95" s="1090"/>
      <c r="M95" s="1090"/>
      <c r="N95" s="1090"/>
      <c r="O95" s="1090"/>
      <c r="P95" s="1090"/>
      <c r="Q95" s="1090"/>
      <c r="R95" s="1090"/>
      <c r="S95" s="1090"/>
      <c r="T95" s="1090"/>
      <c r="U95" s="1090"/>
      <c r="V95" s="109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91"/>
      <c r="BA95" s="1091"/>
      <c r="BB95" s="1091"/>
    </row>
    <row r="96" spans="1:54" ht="9" customHeight="1">
      <c r="A96" s="1092" t="s">
        <v>799</v>
      </c>
      <c r="B96" s="1092"/>
      <c r="C96" s="1092"/>
      <c r="D96" s="1092"/>
      <c r="E96" s="1092"/>
      <c r="F96" s="1092"/>
      <c r="G96" s="1092"/>
      <c r="H96" s="1092"/>
      <c r="I96" s="1092"/>
      <c r="J96" s="1092"/>
      <c r="K96" s="1092"/>
      <c r="L96" s="1092"/>
      <c r="M96" s="1092"/>
      <c r="N96" s="1092"/>
      <c r="O96" s="1092"/>
      <c r="P96" s="1092"/>
      <c r="Q96" s="1092"/>
      <c r="R96" s="1092"/>
      <c r="S96" s="1092"/>
      <c r="T96" s="1092"/>
      <c r="U96" s="1092"/>
      <c r="V96" s="1092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2" t="s">
        <v>49</v>
      </c>
      <c r="BA96" s="1092"/>
      <c r="BB96" s="1092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4" outlineLevelRow="1"/>
  <cols>
    <col min="1" max="52" width="1.7265625" style="284" customWidth="1"/>
    <col min="53" max="53" width="0.1796875" style="284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28" t="s">
        <v>567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</row>
    <row r="2" spans="1:63" ht="12" customHeight="1">
      <c r="A2" s="1129" t="s">
        <v>72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1" t="s">
        <v>515</v>
      </c>
      <c r="B4" s="1131"/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1131"/>
      <c r="N4" s="1131"/>
      <c r="O4" s="1131"/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131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32" t="s">
        <v>771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1132"/>
      <c r="O5" s="1132"/>
      <c r="P5" s="1132"/>
      <c r="Q5" s="1132"/>
      <c r="R5" s="1132"/>
      <c r="S5" s="1132"/>
      <c r="T5" s="1132"/>
      <c r="U5" s="1132"/>
      <c r="V5" s="1132"/>
      <c r="W5" s="1132"/>
      <c r="X5" s="1132"/>
      <c r="Y5" s="1132"/>
      <c r="Z5" s="1132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132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31" t="s">
        <v>772</v>
      </c>
      <c r="B7" s="1131"/>
      <c r="C7" s="1131"/>
      <c r="D7" s="1131"/>
      <c r="E7" s="1131"/>
      <c r="F7" s="1131"/>
      <c r="G7" s="1131"/>
      <c r="H7" s="1131"/>
      <c r="I7" s="1131"/>
      <c r="J7" s="1131"/>
      <c r="K7" s="1131"/>
      <c r="L7" s="1131"/>
      <c r="M7" s="1131"/>
      <c r="N7" s="1131"/>
      <c r="O7" s="1131"/>
      <c r="P7" s="1131"/>
      <c r="Q7" s="1131"/>
      <c r="R7" s="1131"/>
      <c r="S7" s="1131"/>
      <c r="T7" s="1131"/>
      <c r="U7" s="1131"/>
      <c r="V7" s="1131"/>
      <c r="W7" s="1131"/>
      <c r="X7" s="1131"/>
      <c r="Y7" s="1131"/>
      <c r="Z7" s="1131"/>
      <c r="AA7" s="1131"/>
      <c r="AB7" s="1131"/>
      <c r="AC7" s="1131"/>
      <c r="AD7" s="1131"/>
      <c r="AE7" s="1131"/>
      <c r="AF7" s="1131"/>
      <c r="AG7" s="1131"/>
      <c r="AH7" s="1131"/>
      <c r="AI7" s="1131"/>
      <c r="AJ7" s="1131"/>
      <c r="AK7" s="1131"/>
      <c r="AL7" s="1131"/>
      <c r="AM7" s="1131"/>
      <c r="AN7" s="1131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5" customHeight="1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34" t="s">
        <v>773</v>
      </c>
      <c r="B9" s="1134"/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  <c r="AJ9" s="1134"/>
      <c r="AK9" s="1134"/>
      <c r="AL9" s="1134"/>
      <c r="AM9" s="1134"/>
      <c r="AN9" s="1134"/>
      <c r="AO9" s="1134"/>
      <c r="AP9" s="1134"/>
      <c r="AQ9" s="1134"/>
      <c r="AR9" s="1134"/>
      <c r="AS9" s="1134"/>
      <c r="AT9" s="1134"/>
      <c r="AU9" s="1134"/>
      <c r="AV9" s="1134"/>
      <c r="AW9" s="1134"/>
      <c r="AX9" s="1134"/>
      <c r="AY9" s="1134"/>
      <c r="AZ9" s="11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">
      <c r="A10" s="1137"/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36" t="s">
        <v>774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29" t="s">
        <v>775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33" t="str">
        <f>ФОРМА!B3</f>
        <v>ООО «БЭСК»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</row>
    <row r="14" spans="1:63" s="302" customFormat="1" ht="6" customHeight="1">
      <c r="A14" s="1131" t="s">
        <v>776</v>
      </c>
      <c r="B14" s="1131"/>
      <c r="C14" s="1131"/>
      <c r="D14" s="1131"/>
      <c r="E14" s="1131"/>
      <c r="F14" s="1131"/>
      <c r="G14" s="1131"/>
      <c r="H14" s="1131"/>
      <c r="I14" s="1131"/>
      <c r="J14" s="1131"/>
      <c r="K14" s="1131"/>
      <c r="L14" s="1131"/>
      <c r="M14" s="1131"/>
      <c r="N14" s="1131"/>
      <c r="O14" s="1131"/>
      <c r="P14" s="1131"/>
      <c r="Q14" s="1131"/>
      <c r="R14" s="1131"/>
      <c r="S14" s="1131"/>
      <c r="T14" s="1131"/>
      <c r="U14" s="1131"/>
      <c r="V14" s="1131"/>
      <c r="W14" s="1131"/>
      <c r="X14" s="1131"/>
      <c r="Y14" s="1131"/>
      <c r="Z14" s="1131"/>
      <c r="AA14" s="1131"/>
      <c r="AB14" s="1131"/>
      <c r="AC14" s="1131"/>
      <c r="AD14" s="1131"/>
      <c r="AE14" s="1131"/>
      <c r="AF14" s="1131"/>
      <c r="AG14" s="1131"/>
      <c r="AH14" s="1131"/>
      <c r="AI14" s="1131"/>
      <c r="AJ14" s="1131"/>
      <c r="AK14" s="1131"/>
      <c r="AL14" s="1131"/>
      <c r="AM14" s="1131"/>
      <c r="AN14" s="1131"/>
      <c r="AO14" s="1131"/>
      <c r="AP14" s="1131"/>
      <c r="AQ14" s="1131"/>
      <c r="AR14" s="1131"/>
      <c r="AS14" s="1131"/>
      <c r="AT14" s="1131"/>
      <c r="AU14" s="1131"/>
      <c r="AV14" s="1131"/>
      <c r="AW14" s="1131"/>
      <c r="AX14" s="1131"/>
      <c r="AY14" s="1131"/>
      <c r="AZ14" s="1131"/>
      <c r="BA14" s="301"/>
    </row>
    <row r="15" spans="1:63" ht="23.5" customHeight="1">
      <c r="A15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</row>
    <row r="16" spans="1:63" s="302" customFormat="1" ht="6" customHeight="1">
      <c r="A16" s="1134" t="s">
        <v>777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301"/>
    </row>
    <row r="17" spans="1:53" s="302" customFormat="1" ht="9">
      <c r="A17" s="1135"/>
      <c r="B17" s="1135"/>
      <c r="C17" s="1135"/>
      <c r="D17" s="1135"/>
      <c r="E17" s="1135"/>
      <c r="F17" s="1135"/>
      <c r="G17" s="1135"/>
      <c r="H17" s="1135"/>
      <c r="I17" s="1135"/>
      <c r="J17" s="1135"/>
      <c r="K17" s="1135"/>
      <c r="L17" s="1135"/>
      <c r="M17" s="1135"/>
      <c r="N17" s="1135"/>
      <c r="O17" s="1135"/>
      <c r="P17" s="1135"/>
      <c r="Q17" s="1135"/>
      <c r="R17" s="1135"/>
      <c r="S17" s="1135"/>
      <c r="T17" s="1135"/>
      <c r="U17" s="1135"/>
      <c r="V17" s="1135"/>
      <c r="W17" s="1135"/>
      <c r="X17" s="1135"/>
      <c r="Y17" s="1135"/>
      <c r="Z17" s="1135"/>
      <c r="AA17" s="1135"/>
      <c r="AB17" s="1135"/>
      <c r="AC17" s="1135"/>
      <c r="AD17" s="1135"/>
      <c r="AE17" s="1135"/>
      <c r="AF17" s="1135"/>
      <c r="AG17" s="1135"/>
      <c r="AH17" s="1135"/>
      <c r="AI17" s="1135"/>
      <c r="AJ17" s="1135"/>
      <c r="AK17" s="1135"/>
      <c r="AL17" s="1135"/>
      <c r="AM17" s="1135"/>
      <c r="AN17" s="1135"/>
      <c r="AO17" s="1135"/>
      <c r="AP17" s="1135"/>
      <c r="AQ17" s="1135"/>
      <c r="AR17" s="1135"/>
      <c r="AS17" s="1135"/>
      <c r="AT17" s="1135"/>
      <c r="AU17" s="1135"/>
      <c r="AV17" s="1135"/>
      <c r="AW17" s="1135"/>
      <c r="AX17" s="1135"/>
      <c r="AY17" s="1135"/>
      <c r="AZ17" s="1135"/>
      <c r="BA17" s="301"/>
    </row>
    <row r="18" spans="1:53" s="302" customFormat="1" ht="15" customHeight="1">
      <c r="A18" s="1136" t="s">
        <v>778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01"/>
    </row>
    <row r="19" spans="1:53" ht="12" customHeight="1">
      <c r="A19" s="1129" t="s">
        <v>74</v>
      </c>
      <c r="B19" s="1129"/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1129"/>
      <c r="N19" s="1129"/>
      <c r="O19" s="1129"/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29"/>
      <c r="AM19" s="1129"/>
      <c r="AN19" s="1129"/>
      <c r="AO19" s="1129"/>
      <c r="AP19" s="1129"/>
      <c r="AQ19" s="1129"/>
      <c r="AR19" s="1129"/>
      <c r="AS19" s="1129"/>
      <c r="AT19" s="1129"/>
      <c r="AU19" s="1129"/>
      <c r="AV19" s="1129"/>
      <c r="AW19" s="1129"/>
      <c r="AX19" s="1129"/>
      <c r="AY19" s="1129"/>
      <c r="AZ19" s="1129"/>
      <c r="BA19" s="300"/>
    </row>
    <row r="20" spans="1:53" ht="12" customHeight="1">
      <c r="A20" s="1133" t="str">
        <f>ФОРМА!B8</f>
        <v>ООО «Строительные энергетические технологии»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</row>
    <row r="21" spans="1:53" s="305" customFormat="1" ht="6" customHeight="1">
      <c r="A21" s="1131" t="s">
        <v>776</v>
      </c>
      <c r="B21" s="1131"/>
      <c r="C21" s="1131"/>
      <c r="D21" s="1131"/>
      <c r="E21" s="1131"/>
      <c r="F21" s="1131"/>
      <c r="G21" s="1131"/>
      <c r="H21" s="1131"/>
      <c r="I21" s="1131"/>
      <c r="J21" s="1131"/>
      <c r="K21" s="1131"/>
      <c r="L21" s="1131"/>
      <c r="M21" s="1131"/>
      <c r="N21" s="1131"/>
      <c r="O21" s="1131"/>
      <c r="P21" s="1131"/>
      <c r="Q21" s="1131"/>
      <c r="R21" s="1131"/>
      <c r="S21" s="1131"/>
      <c r="T21" s="1131"/>
      <c r="U21" s="1131"/>
      <c r="V21" s="1131"/>
      <c r="W21" s="1131"/>
      <c r="X21" s="1131"/>
      <c r="Y21" s="1131"/>
      <c r="Z21" s="1131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304"/>
    </row>
    <row r="22" spans="1:53" ht="21.65" customHeight="1">
      <c r="A22" s="11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300"/>
    </row>
    <row r="23" spans="1:53" s="305" customFormat="1" ht="9">
      <c r="A23" s="1134" t="s">
        <v>773</v>
      </c>
      <c r="B23" s="1134"/>
      <c r="C23" s="1134"/>
      <c r="D23" s="1134"/>
      <c r="E23" s="1134"/>
      <c r="F23" s="1134"/>
      <c r="G23" s="1134"/>
      <c r="H23" s="1134"/>
      <c r="I23" s="1134"/>
      <c r="J23" s="1134"/>
      <c r="K23" s="1134"/>
      <c r="L23" s="1134"/>
      <c r="M23" s="1134"/>
      <c r="N23" s="1134"/>
      <c r="O23" s="1134"/>
      <c r="P23" s="1134"/>
      <c r="Q23" s="1134"/>
      <c r="R23" s="1134"/>
      <c r="S23" s="1134"/>
      <c r="T23" s="1134"/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304"/>
    </row>
    <row r="24" spans="1:53" s="305" customFormat="1" ht="10.5" customHeight="1">
      <c r="A24" s="1135"/>
      <c r="B24" s="1135"/>
      <c r="C24" s="1135"/>
      <c r="D24" s="1135"/>
      <c r="E24" s="1135"/>
      <c r="F24" s="1135"/>
      <c r="G24" s="1135"/>
      <c r="H24" s="1135"/>
      <c r="I24" s="1135"/>
      <c r="J24" s="1135"/>
      <c r="K24" s="1135"/>
      <c r="L24" s="1135"/>
      <c r="M24" s="1135"/>
      <c r="N24" s="1135"/>
      <c r="O24" s="1135"/>
      <c r="P24" s="1135"/>
      <c r="Q24" s="1135"/>
      <c r="R24" s="1135"/>
      <c r="S24" s="1135"/>
      <c r="T24" s="1135"/>
      <c r="U24" s="1135"/>
      <c r="V24" s="1135"/>
      <c r="W24" s="1135"/>
      <c r="X24" s="1135"/>
      <c r="Y24" s="1135"/>
      <c r="Z24" s="1135"/>
      <c r="AA24" s="1135"/>
      <c r="AB24" s="1135"/>
      <c r="AC24" s="1135"/>
      <c r="AD24" s="1135"/>
      <c r="AE24" s="1135"/>
      <c r="AF24" s="1135"/>
      <c r="AG24" s="1135"/>
      <c r="AH24" s="1135"/>
      <c r="AI24" s="1135"/>
      <c r="AJ24" s="1135"/>
      <c r="AK24" s="1135"/>
      <c r="AL24" s="1135"/>
      <c r="AM24" s="1135"/>
      <c r="AN24" s="1135"/>
      <c r="AO24" s="1135"/>
      <c r="AP24" s="1135"/>
      <c r="AQ24" s="1135"/>
      <c r="AR24" s="1135"/>
      <c r="AS24" s="1135"/>
      <c r="AT24" s="1135"/>
      <c r="AU24" s="1135"/>
      <c r="AV24" s="1135"/>
      <c r="AW24" s="1135"/>
      <c r="AX24" s="1135"/>
      <c r="AY24" s="1135"/>
      <c r="AZ24" s="1135"/>
      <c r="BA24" s="304"/>
    </row>
    <row r="25" spans="1:53" s="305" customFormat="1" ht="15" customHeight="1">
      <c r="A25" s="1136" t="s">
        <v>779</v>
      </c>
      <c r="B25" s="1136"/>
      <c r="C25" s="1136"/>
      <c r="D25" s="1136"/>
      <c r="E25" s="1136"/>
      <c r="F25" s="1136"/>
      <c r="G25" s="1136"/>
      <c r="H25" s="1136"/>
      <c r="I25" s="1136"/>
      <c r="J25" s="1136"/>
      <c r="K25" s="1136"/>
      <c r="L25" s="1136"/>
      <c r="M25" s="1136"/>
      <c r="N25" s="1136"/>
      <c r="O25" s="1136"/>
      <c r="P25" s="1136"/>
      <c r="Q25" s="1136"/>
      <c r="R25" s="1136"/>
      <c r="S25" s="1136"/>
      <c r="T25" s="1136"/>
      <c r="U25" s="1136"/>
      <c r="V25" s="1136"/>
      <c r="W25" s="1136"/>
      <c r="X25" s="1136"/>
      <c r="Y25" s="1136"/>
      <c r="Z25" s="1136"/>
      <c r="AA25" s="1136"/>
      <c r="AB25" s="1136"/>
      <c r="AC25" s="1136"/>
      <c r="AD25" s="1136"/>
      <c r="AE25" s="1136"/>
      <c r="AF25" s="1136"/>
      <c r="AG25" s="1136"/>
      <c r="AH25" s="1136"/>
      <c r="AI25" s="1136"/>
      <c r="AJ25" s="1136"/>
      <c r="AK25" s="1136"/>
      <c r="AL25" s="1136"/>
      <c r="AM25" s="1136"/>
      <c r="AN25" s="1136"/>
      <c r="AO25" s="1136"/>
      <c r="AP25" s="1136"/>
      <c r="AQ25" s="1136"/>
      <c r="AR25" s="1136"/>
      <c r="AS25" s="1136"/>
      <c r="AT25" s="1136"/>
      <c r="AU25" s="1136"/>
      <c r="AV25" s="1136"/>
      <c r="AW25" s="1136"/>
      <c r="AX25" s="1136"/>
      <c r="AY25" s="1136"/>
      <c r="AZ25" s="11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38" t="s">
        <v>592</v>
      </c>
      <c r="B27" s="1139"/>
      <c r="C27" s="1139"/>
      <c r="D27" s="1139"/>
      <c r="E27" s="1139"/>
      <c r="F27" s="1139"/>
      <c r="G27" s="1139"/>
      <c r="H27" s="1139"/>
      <c r="I27" s="1139"/>
      <c r="J27" s="1139"/>
      <c r="K27" s="1139"/>
      <c r="L27" s="1139"/>
      <c r="M27" s="1139"/>
      <c r="N27" s="1139"/>
      <c r="O27" s="1139"/>
      <c r="P27" s="1139"/>
      <c r="Q27" s="1139"/>
      <c r="R27" s="1139"/>
      <c r="S27" s="1139"/>
      <c r="T27" s="1139"/>
      <c r="U27" s="1139"/>
      <c r="V27" s="1139"/>
      <c r="W27" s="1139"/>
      <c r="X27" s="1139"/>
      <c r="Y27" s="1139"/>
      <c r="Z27" s="1139"/>
      <c r="AA27" s="1139"/>
      <c r="AB27" s="1139"/>
      <c r="AC27" s="1139"/>
      <c r="AD27" s="1139"/>
      <c r="AE27" s="1139"/>
      <c r="AF27" s="1139"/>
      <c r="AG27" s="1139"/>
      <c r="AH27" s="1139"/>
      <c r="AI27" s="1139"/>
      <c r="AJ27" s="1139"/>
      <c r="AK27" s="1139"/>
      <c r="AL27" s="1139"/>
      <c r="AM27" s="1139"/>
      <c r="AN27" s="1139"/>
      <c r="AO27" s="1139"/>
      <c r="AP27" s="1139"/>
      <c r="AQ27" s="1139"/>
      <c r="AR27" s="1139"/>
      <c r="AS27" s="1139"/>
      <c r="AT27" s="1139"/>
      <c r="AU27" s="1139"/>
      <c r="AV27" s="1139"/>
      <c r="AW27" s="1139"/>
      <c r="AX27" s="1139"/>
      <c r="AY27" s="1139"/>
      <c r="AZ27" s="1139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40" t="s">
        <v>19</v>
      </c>
      <c r="B29" s="1140"/>
      <c r="C29" s="1141">
        <f>ФОРМА!B18</f>
        <v>0</v>
      </c>
      <c r="D29" s="1141"/>
      <c r="E29" s="1141"/>
      <c r="F29" s="1141"/>
      <c r="G29" s="1141"/>
      <c r="H29" s="1141"/>
      <c r="I29" s="1141"/>
      <c r="J29" s="1141"/>
      <c r="K29" s="1141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42"/>
      <c r="AH29" s="1142"/>
      <c r="AI29" s="1142"/>
      <c r="AJ29" s="307"/>
      <c r="AK29" s="307"/>
      <c r="AL29" s="1143">
        <f>ФОРМА!C18</f>
        <v>45354</v>
      </c>
      <c r="AM29" s="1141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2"/>
      <c r="AX29" s="1142"/>
      <c r="AY29" s="1142"/>
      <c r="AZ29" s="1142"/>
      <c r="BA29" s="300"/>
    </row>
    <row r="30" spans="1:53" s="305" customFormat="1" ht="5.15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31" t="s">
        <v>453</v>
      </c>
      <c r="AM30" s="1131"/>
      <c r="AN30" s="1131"/>
      <c r="AO30" s="1131"/>
      <c r="AP30" s="1131"/>
      <c r="AQ30" s="1131"/>
      <c r="AR30" s="1131"/>
      <c r="AS30" s="1131"/>
      <c r="AT30" s="1131"/>
      <c r="AU30" s="1131"/>
      <c r="AV30" s="1131"/>
      <c r="AW30" s="304"/>
      <c r="AX30" s="304"/>
      <c r="AY30" s="304"/>
      <c r="AZ30" s="304"/>
      <c r="BA30" s="304"/>
    </row>
    <row r="31" spans="1:53" ht="21" customHeight="1">
      <c r="A31" s="1132" t="s">
        <v>780</v>
      </c>
      <c r="B31" s="1132"/>
      <c r="C31" s="1132"/>
      <c r="D31" s="1132"/>
      <c r="E31" s="1132"/>
      <c r="F31" s="1132"/>
      <c r="G31" s="1132"/>
      <c r="H31" s="1132"/>
      <c r="I31" s="1132"/>
      <c r="J31" s="1132"/>
      <c r="K31" s="1132"/>
      <c r="L31" s="1132"/>
      <c r="M31" s="1132"/>
      <c r="N31" s="1132"/>
      <c r="O31" s="1132"/>
      <c r="P31" s="1132"/>
      <c r="Q31" s="1132"/>
      <c r="R31" s="1132"/>
      <c r="S31" s="1132"/>
      <c r="T31" s="1132"/>
      <c r="U31" s="1132"/>
      <c r="V31" s="1132"/>
      <c r="W31" s="1132"/>
      <c r="X31" s="1132"/>
      <c r="Y31" s="1132"/>
      <c r="Z31" s="1132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132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300"/>
    </row>
    <row r="32" spans="1:53" ht="12" customHeight="1">
      <c r="A32" s="1146" t="str">
        <f>IF(ПОДПИСИ!B9="",ПОДПИСИ!B7,ПОДПИСИ!B9)</f>
        <v>Ведущий инженер-геодезист АО "ЛЭСР"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300"/>
    </row>
    <row r="33" spans="1:53" ht="12" customHeight="1">
      <c r="A33" s="1144" t="str">
        <f>IF(ПОДПИСИ!C9="",ПОДПИСИ!C7,CONCATENATE(ПОДПИСИ!C9,", ",ПОДПИСИ!F9))</f>
        <v xml:space="preserve">Филёва Н.О.,  </v>
      </c>
      <c r="B33" s="1144"/>
      <c r="C33" s="1144"/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44"/>
      <c r="AF33" s="1144"/>
      <c r="AG33" s="1144"/>
      <c r="AH33" s="1144"/>
      <c r="AI33" s="1144"/>
      <c r="AJ33" s="1144"/>
      <c r="AK33" s="1144"/>
      <c r="AL33" s="1144"/>
      <c r="AM33" s="1144"/>
      <c r="AN33" s="1144"/>
      <c r="AO33" s="1144"/>
      <c r="AP33" s="1144"/>
      <c r="AQ33" s="1144"/>
      <c r="AR33" s="1144"/>
      <c r="AS33" s="1144"/>
      <c r="AT33" s="1144"/>
      <c r="AU33" s="1144"/>
      <c r="AV33" s="1144"/>
      <c r="AW33" s="1144"/>
      <c r="AX33" s="1144"/>
      <c r="AY33" s="1144"/>
      <c r="AZ33" s="1144"/>
      <c r="BA33" s="300"/>
    </row>
    <row r="34" spans="1:53" ht="15" customHeight="1">
      <c r="A34" s="1134" t="s">
        <v>781</v>
      </c>
      <c r="B34" s="1134"/>
      <c r="C34" s="1134"/>
      <c r="D34" s="1134"/>
      <c r="E34" s="1134"/>
      <c r="F34" s="1134"/>
      <c r="G34" s="1134"/>
      <c r="H34" s="1134"/>
      <c r="I34" s="1134"/>
      <c r="J34" s="1134"/>
      <c r="K34" s="1134"/>
      <c r="L34" s="1134"/>
      <c r="M34" s="1134"/>
      <c r="N34" s="1134"/>
      <c r="O34" s="1134"/>
      <c r="P34" s="1134"/>
      <c r="Q34" s="1134"/>
      <c r="R34" s="1134"/>
      <c r="S34" s="1134"/>
      <c r="T34" s="1134"/>
      <c r="U34" s="1134"/>
      <c r="V34" s="1134"/>
      <c r="W34" s="1134"/>
      <c r="X34" s="1134"/>
      <c r="Y34" s="1134"/>
      <c r="Z34" s="1134"/>
      <c r="AA34" s="1134"/>
      <c r="AB34" s="1134"/>
      <c r="AC34" s="1134"/>
      <c r="AD34" s="1134"/>
      <c r="AE34" s="1134"/>
      <c r="AF34" s="1134"/>
      <c r="AG34" s="1134"/>
      <c r="AH34" s="1134"/>
      <c r="AI34" s="1134"/>
      <c r="AJ34" s="1134"/>
      <c r="AK34" s="1134"/>
      <c r="AL34" s="1134"/>
      <c r="AM34" s="1134"/>
      <c r="AN34" s="1134"/>
      <c r="AO34" s="1134"/>
      <c r="AP34" s="1134"/>
      <c r="AQ34" s="1134"/>
      <c r="AR34" s="1134"/>
      <c r="AS34" s="1134"/>
      <c r="AT34" s="1134"/>
      <c r="AU34" s="1134"/>
      <c r="AV34" s="1134"/>
      <c r="AW34" s="1134"/>
      <c r="AX34" s="1134"/>
      <c r="AY34" s="1134"/>
      <c r="AZ34" s="1134"/>
      <c r="BA34" s="300"/>
    </row>
    <row r="35" spans="1:53" ht="15" customHeight="1">
      <c r="A35" s="1135"/>
      <c r="B35" s="1135"/>
      <c r="C35" s="1135"/>
      <c r="D35" s="1135"/>
      <c r="E35" s="1135"/>
      <c r="F35" s="1135"/>
      <c r="G35" s="1135"/>
      <c r="H35" s="1135"/>
      <c r="I35" s="1135"/>
      <c r="J35" s="1135"/>
      <c r="K35" s="1135"/>
      <c r="L35" s="1135"/>
      <c r="M35" s="1135"/>
      <c r="N35" s="1135"/>
      <c r="O35" s="1135"/>
      <c r="P35" s="1135"/>
      <c r="Q35" s="1135"/>
      <c r="R35" s="1135"/>
      <c r="S35" s="1135"/>
      <c r="T35" s="1135"/>
      <c r="U35" s="1135"/>
      <c r="V35" s="1135"/>
      <c r="W35" s="1135"/>
      <c r="X35" s="1135"/>
      <c r="Y35" s="1135"/>
      <c r="Z35" s="1135"/>
      <c r="AA35" s="1135"/>
      <c r="AB35" s="1135"/>
      <c r="AC35" s="1135"/>
      <c r="AD35" s="1135"/>
      <c r="AE35" s="1135"/>
      <c r="AF35" s="1135"/>
      <c r="AG35" s="1135"/>
      <c r="AH35" s="1135"/>
      <c r="AI35" s="1135"/>
      <c r="AJ35" s="1135"/>
      <c r="AK35" s="1135"/>
      <c r="AL35" s="1135"/>
      <c r="AM35" s="1135"/>
      <c r="AN35" s="1135"/>
      <c r="AO35" s="1135"/>
      <c r="AP35" s="1135"/>
      <c r="AQ35" s="1135"/>
      <c r="AR35" s="1135"/>
      <c r="AS35" s="1135"/>
      <c r="AT35" s="1135"/>
      <c r="AU35" s="1135"/>
      <c r="AV35" s="1135"/>
      <c r="AW35" s="1135"/>
      <c r="AX35" s="1135"/>
      <c r="AY35" s="1135"/>
      <c r="AZ35" s="1135"/>
      <c r="BA35" s="300"/>
    </row>
    <row r="36" spans="1:53" ht="21" customHeight="1">
      <c r="A36" s="1136" t="s">
        <v>782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136"/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/>
      <c r="AY36" s="1136"/>
      <c r="AZ36" s="1136"/>
      <c r="BA36" s="300"/>
    </row>
    <row r="37" spans="1:53" ht="12" customHeight="1">
      <c r="A37" s="1129" t="s">
        <v>783</v>
      </c>
      <c r="B37" s="1129"/>
      <c r="C37" s="1129"/>
      <c r="D37" s="1129"/>
      <c r="E37" s="1129"/>
      <c r="F37" s="1129"/>
      <c r="G37" s="1129"/>
      <c r="H37" s="1129"/>
      <c r="I37" s="1129"/>
      <c r="J37" s="1129"/>
      <c r="K37" s="1129"/>
      <c r="L37" s="1129"/>
      <c r="M37" s="1129"/>
      <c r="N37" s="1129"/>
      <c r="O37" s="1129"/>
      <c r="P37" s="1129"/>
      <c r="Q37" s="1129"/>
      <c r="R37" s="1129"/>
      <c r="S37" s="1129"/>
      <c r="T37" s="1129"/>
      <c r="U37" s="1129"/>
      <c r="V37" s="1129"/>
      <c r="W37" s="1129"/>
      <c r="X37" s="1129"/>
      <c r="Y37" s="1129"/>
      <c r="Z37" s="1129"/>
      <c r="AA37" s="1129"/>
      <c r="AB37" s="1129"/>
      <c r="AC37" s="1129"/>
      <c r="AD37" s="1129"/>
      <c r="AE37" s="1129"/>
      <c r="AF37" s="1129"/>
      <c r="AG37" s="1129"/>
      <c r="AH37" s="1129"/>
      <c r="AI37" s="1129"/>
      <c r="AJ37" s="1129"/>
      <c r="AK37" s="1129"/>
      <c r="AL37" s="1129"/>
      <c r="AM37" s="1129"/>
      <c r="AN37" s="1129"/>
      <c r="AO37" s="1129"/>
      <c r="AP37" s="1129"/>
      <c r="AQ37" s="1129"/>
      <c r="AR37" s="1129"/>
      <c r="AS37" s="1129"/>
      <c r="AT37" s="1129"/>
      <c r="AU37" s="1129"/>
      <c r="AV37" s="1129"/>
      <c r="AW37" s="1129"/>
      <c r="AX37" s="1129"/>
      <c r="AY37" s="1129"/>
      <c r="AZ37" s="1129"/>
      <c r="BA37" s="300"/>
    </row>
    <row r="38" spans="1:53" ht="12" customHeight="1">
      <c r="A38" s="1144" t="str">
        <f>ПОДПИСИ!B15</f>
        <v xml:space="preserve">Заместитель генерального директора ООО «БЭСК» </v>
      </c>
      <c r="B38" s="1144"/>
      <c r="C38" s="1144"/>
      <c r="D38" s="1144"/>
      <c r="E38" s="1144"/>
      <c r="F38" s="1144"/>
      <c r="G38" s="1144"/>
      <c r="H38" s="1144"/>
      <c r="I38" s="1144"/>
      <c r="J38" s="1144"/>
      <c r="K38" s="1144"/>
      <c r="L38" s="1144"/>
      <c r="M38" s="1144"/>
      <c r="N38" s="1144"/>
      <c r="O38" s="1144"/>
      <c r="P38" s="1144"/>
      <c r="Q38" s="1144"/>
      <c r="R38" s="1144"/>
      <c r="S38" s="1144"/>
      <c r="T38" s="1144"/>
      <c r="U38" s="1144"/>
      <c r="V38" s="1144"/>
      <c r="W38" s="1144"/>
      <c r="X38" s="1144"/>
      <c r="Y38" s="1144"/>
      <c r="Z38" s="1144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144"/>
      <c r="AO38" s="1144"/>
      <c r="AP38" s="1144"/>
      <c r="AQ38" s="1144"/>
      <c r="AR38" s="1144"/>
      <c r="AS38" s="1144"/>
      <c r="AT38" s="1144"/>
      <c r="AU38" s="1144"/>
      <c r="AV38" s="1144"/>
      <c r="AW38" s="1144"/>
      <c r="AX38" s="1144"/>
      <c r="AY38" s="1144"/>
      <c r="AZ38" s="1144"/>
      <c r="BA38" s="300"/>
    </row>
    <row r="39" spans="1:53" ht="12" customHeight="1">
      <c r="A39" s="1144" t="str">
        <f>CONCATENATE(ПОДПИСИ!C15,", ",ПОДПИСИ!F15)</f>
        <v xml:space="preserve">Матвеев А.С., </v>
      </c>
      <c r="B39" s="1144"/>
      <c r="C39" s="1144"/>
      <c r="D39" s="1144"/>
      <c r="E39" s="1144"/>
      <c r="F39" s="1144"/>
      <c r="G39" s="1144"/>
      <c r="H39" s="1144"/>
      <c r="I39" s="1144"/>
      <c r="J39" s="1144"/>
      <c r="K39" s="1144"/>
      <c r="L39" s="1144"/>
      <c r="M39" s="1144"/>
      <c r="N39" s="1144"/>
      <c r="O39" s="1144"/>
      <c r="P39" s="1144"/>
      <c r="Q39" s="1144"/>
      <c r="R39" s="1144"/>
      <c r="S39" s="1144"/>
      <c r="T39" s="1144"/>
      <c r="U39" s="1144"/>
      <c r="V39" s="1144"/>
      <c r="W39" s="1144"/>
      <c r="X39" s="1144"/>
      <c r="Y39" s="1144"/>
      <c r="Z39" s="1144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144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300"/>
    </row>
    <row r="40" spans="1:53" ht="15" customHeight="1">
      <c r="A40" s="1134" t="s">
        <v>784</v>
      </c>
      <c r="B40" s="1134"/>
      <c r="C40" s="1134"/>
      <c r="D40" s="1134"/>
      <c r="E40" s="1134"/>
      <c r="F40" s="1134"/>
      <c r="G40" s="1134"/>
      <c r="H40" s="1134"/>
      <c r="I40" s="1134"/>
      <c r="J40" s="1134"/>
      <c r="K40" s="1134"/>
      <c r="L40" s="1134"/>
      <c r="M40" s="1134"/>
      <c r="N40" s="1134"/>
      <c r="O40" s="1134"/>
      <c r="P40" s="1134"/>
      <c r="Q40" s="1134"/>
      <c r="R40" s="1134"/>
      <c r="S40" s="1134"/>
      <c r="T40" s="1134"/>
      <c r="U40" s="1134"/>
      <c r="V40" s="1134"/>
      <c r="W40" s="1134"/>
      <c r="X40" s="1134"/>
      <c r="Y40" s="1134"/>
      <c r="Z40" s="1134"/>
      <c r="AA40" s="1134"/>
      <c r="AB40" s="1134"/>
      <c r="AC40" s="1134"/>
      <c r="AD40" s="1134"/>
      <c r="AE40" s="1134"/>
      <c r="AF40" s="1134"/>
      <c r="AG40" s="1134"/>
      <c r="AH40" s="1134"/>
      <c r="AI40" s="1134"/>
      <c r="AJ40" s="1134"/>
      <c r="AK40" s="1134"/>
      <c r="AL40" s="1134"/>
      <c r="AM40" s="1134"/>
      <c r="AN40" s="1134"/>
      <c r="AO40" s="1134"/>
      <c r="AP40" s="1134"/>
      <c r="AQ40" s="1134"/>
      <c r="AR40" s="1134"/>
      <c r="AS40" s="1134"/>
      <c r="AT40" s="1134"/>
      <c r="AU40" s="1134"/>
      <c r="AV40" s="1134"/>
      <c r="AW40" s="1134"/>
      <c r="AX40" s="1134"/>
      <c r="AY40" s="1134"/>
      <c r="AZ40" s="1134"/>
      <c r="BA40" s="300"/>
    </row>
    <row r="41" spans="1:53" ht="11.25" customHeight="1">
      <c r="A41" s="1145"/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300"/>
    </row>
    <row r="42" spans="1:53" ht="15" customHeight="1">
      <c r="A42" s="1136" t="s">
        <v>785</v>
      </c>
      <c r="B42" s="1136"/>
      <c r="C42" s="1136"/>
      <c r="D42" s="1136"/>
      <c r="E42" s="1136"/>
      <c r="F42" s="1136"/>
      <c r="G42" s="1136"/>
      <c r="H42" s="1136"/>
      <c r="I42" s="1136"/>
      <c r="J42" s="1136"/>
      <c r="K42" s="1136"/>
      <c r="L42" s="1136"/>
      <c r="M42" s="1136"/>
      <c r="N42" s="1136"/>
      <c r="O42" s="1136"/>
      <c r="P42" s="1136"/>
      <c r="Q42" s="1136"/>
      <c r="R42" s="1136"/>
      <c r="S42" s="1136"/>
      <c r="T42" s="1136"/>
      <c r="U42" s="1136"/>
      <c r="V42" s="1136"/>
      <c r="W42" s="1136"/>
      <c r="X42" s="1136"/>
      <c r="Y42" s="1136"/>
      <c r="Z42" s="1136"/>
      <c r="AA42" s="1136"/>
      <c r="AB42" s="1136"/>
      <c r="AC42" s="1136"/>
      <c r="AD42" s="1136"/>
      <c r="AE42" s="1136"/>
      <c r="AF42" s="1136"/>
      <c r="AG42" s="1136"/>
      <c r="AH42" s="1136"/>
      <c r="AI42" s="1136"/>
      <c r="AJ42" s="1136"/>
      <c r="AK42" s="1136"/>
      <c r="AL42" s="1136"/>
      <c r="AM42" s="1136"/>
      <c r="AN42" s="1136"/>
      <c r="AO42" s="1136"/>
      <c r="AP42" s="1136"/>
      <c r="AQ42" s="1136"/>
      <c r="AR42" s="1136"/>
      <c r="AS42" s="1136"/>
      <c r="AT42" s="1136"/>
      <c r="AU42" s="1136"/>
      <c r="AV42" s="1136"/>
      <c r="AW42" s="1136"/>
      <c r="AX42" s="1136"/>
      <c r="AY42" s="1136"/>
      <c r="AZ42" s="1136"/>
      <c r="BA42" s="300"/>
    </row>
    <row r="43" spans="1:53" ht="22.5" customHeight="1">
      <c r="A43" s="1153" t="s">
        <v>811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300"/>
    </row>
    <row r="44" spans="1:53" ht="13.5" customHeight="1">
      <c r="A44" s="1154" t="str">
        <f>ПОДПИСИ!B17</f>
        <v xml:space="preserve">Заместитель генерального директора ООО «БЭСК»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300"/>
    </row>
    <row r="45" spans="1:53" ht="15" customHeight="1">
      <c r="A45" s="1154" t="str">
        <f>CONCATENATE(ПОДПИСИ!C17,", ",ПОДПИСИ!F17)</f>
        <v xml:space="preserve">Матвеев А.С.,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00"/>
    </row>
    <row r="46" spans="1:53" ht="15" customHeight="1">
      <c r="A46" s="1151" t="s">
        <v>781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300"/>
    </row>
    <row r="47" spans="1:53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  <c r="BA47" s="300"/>
    </row>
    <row r="48" spans="1:53" ht="7.5" customHeight="1">
      <c r="A48" s="1151" t="s">
        <v>812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300"/>
    </row>
    <row r="49" spans="1:54" ht="39" customHeight="1">
      <c r="A49" s="1132" t="s">
        <v>786</v>
      </c>
      <c r="B49" s="1132"/>
      <c r="C49" s="1132"/>
      <c r="D49" s="1132"/>
      <c r="E49" s="1132"/>
      <c r="F49" s="1132"/>
      <c r="G49" s="1132"/>
      <c r="H49" s="1132"/>
      <c r="I49" s="1132"/>
      <c r="J49" s="1132"/>
      <c r="K49" s="1132"/>
      <c r="L49" s="1132"/>
      <c r="M49" s="1132"/>
      <c r="N49" s="1132"/>
      <c r="O49" s="1132"/>
      <c r="P49" s="1132"/>
      <c r="Q49" s="1132"/>
      <c r="R49" s="1132"/>
      <c r="S49" s="1132"/>
      <c r="T49" s="1132"/>
      <c r="U49" s="1132"/>
      <c r="V49" s="1132"/>
      <c r="W49" s="1132"/>
      <c r="X49" s="1132"/>
      <c r="Y49" s="1132"/>
      <c r="Z49" s="1132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300"/>
    </row>
    <row r="50" spans="1:54" ht="12" customHeight="1">
      <c r="A50" s="1145" t="str">
        <f>ПОДПИСИ!B19</f>
        <v xml:space="preserve"> </v>
      </c>
      <c r="B50" s="1145"/>
      <c r="C50" s="1145"/>
      <c r="D50" s="1145"/>
      <c r="E50" s="1145"/>
      <c r="F50" s="1145"/>
      <c r="G50" s="1145"/>
      <c r="H50" s="1145"/>
      <c r="I50" s="1145"/>
      <c r="J50" s="1145"/>
      <c r="K50" s="1145"/>
      <c r="L50" s="1145"/>
      <c r="M50" s="1145"/>
      <c r="N50" s="1145"/>
      <c r="O50" s="1145"/>
      <c r="P50" s="1145"/>
      <c r="Q50" s="1145"/>
      <c r="R50" s="1145"/>
      <c r="S50" s="1145"/>
      <c r="T50" s="1145"/>
      <c r="U50" s="1145"/>
      <c r="V50" s="1145"/>
      <c r="W50" s="1145"/>
      <c r="X50" s="1145"/>
      <c r="Y50" s="1145"/>
      <c r="Z50" s="1145"/>
      <c r="AA50" s="1145"/>
      <c r="AB50" s="1145"/>
      <c r="AC50" s="1145"/>
      <c r="AD50" s="1145"/>
      <c r="AE50" s="1145"/>
      <c r="AF50" s="1145"/>
      <c r="AG50" s="1145"/>
      <c r="AH50" s="1145"/>
      <c r="AI50" s="1145"/>
      <c r="AJ50" s="1145"/>
      <c r="AK50" s="1145"/>
      <c r="AL50" s="1145"/>
      <c r="AM50" s="1145"/>
      <c r="AN50" s="1145"/>
      <c r="AO50" s="1145"/>
      <c r="AP50" s="1145"/>
      <c r="AQ50" s="1145"/>
      <c r="AR50" s="1145"/>
      <c r="AS50" s="1145"/>
      <c r="AT50" s="1145"/>
      <c r="AU50" s="1145"/>
      <c r="AV50" s="1145"/>
      <c r="AW50" s="1145"/>
      <c r="AX50" s="1145"/>
      <c r="AY50" s="1145"/>
      <c r="AZ50" s="1145"/>
      <c r="BA50" s="300"/>
    </row>
    <row r="51" spans="1:54" ht="11.25" customHeight="1">
      <c r="A51" s="1148" t="str">
        <f>CONCATENATE(ПОДПИСИ!C19," ",ПОДПИСИ!F19)</f>
        <v xml:space="preserve">  </v>
      </c>
      <c r="B51" s="1148"/>
      <c r="C51" s="1148"/>
      <c r="D51" s="1148"/>
      <c r="E51" s="1148"/>
      <c r="F51" s="1148"/>
      <c r="G51" s="1148"/>
      <c r="H51" s="1148"/>
      <c r="I51" s="1148"/>
      <c r="J51" s="1148"/>
      <c r="K51" s="1148"/>
      <c r="L51" s="1148"/>
      <c r="M51" s="1148"/>
      <c r="N51" s="1148"/>
      <c r="O51" s="1148"/>
      <c r="P51" s="1148"/>
      <c r="Q51" s="1148"/>
      <c r="R51" s="1148"/>
      <c r="S51" s="1148"/>
      <c r="T51" s="1148"/>
      <c r="U51" s="1148"/>
      <c r="V51" s="1148"/>
      <c r="W51" s="1148"/>
      <c r="X51" s="1148"/>
      <c r="Y51" s="1148"/>
      <c r="Z51" s="1148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300"/>
    </row>
    <row r="52" spans="1:54" ht="6" customHeight="1">
      <c r="A52" s="1149" t="s">
        <v>787</v>
      </c>
      <c r="B52" s="1149"/>
      <c r="C52" s="1149"/>
      <c r="D52" s="1149"/>
      <c r="E52" s="1149"/>
      <c r="F52" s="1149"/>
      <c r="G52" s="1149"/>
      <c r="H52" s="1149"/>
      <c r="I52" s="1149"/>
      <c r="J52" s="1149"/>
      <c r="K52" s="1149"/>
      <c r="L52" s="1149"/>
      <c r="M52" s="1149"/>
      <c r="N52" s="1149"/>
      <c r="O52" s="1149"/>
      <c r="P52" s="1149"/>
      <c r="Q52" s="1149"/>
      <c r="R52" s="1149"/>
      <c r="S52" s="1149"/>
      <c r="T52" s="1149"/>
      <c r="U52" s="1149"/>
      <c r="V52" s="1149"/>
      <c r="W52" s="1149"/>
      <c r="X52" s="1149"/>
      <c r="Y52" s="1149"/>
      <c r="Z52" s="1149"/>
      <c r="AA52" s="1149"/>
      <c r="AB52" s="1149"/>
      <c r="AC52" s="1149"/>
      <c r="AD52" s="1149"/>
      <c r="AE52" s="1149"/>
      <c r="AF52" s="1149"/>
      <c r="AG52" s="1149"/>
      <c r="AH52" s="1149"/>
      <c r="AI52" s="1149"/>
      <c r="AJ52" s="1149"/>
      <c r="AK52" s="1149"/>
      <c r="AL52" s="1149"/>
      <c r="AM52" s="1149"/>
      <c r="AN52" s="1149"/>
      <c r="AO52" s="1149"/>
      <c r="AP52" s="1149"/>
      <c r="AQ52" s="1149"/>
      <c r="AR52" s="1149"/>
      <c r="AS52" s="1149"/>
      <c r="AT52" s="1149"/>
      <c r="AU52" s="1149"/>
      <c r="AV52" s="1149"/>
      <c r="AW52" s="1149"/>
      <c r="AX52" s="1149"/>
      <c r="AY52" s="1149"/>
      <c r="AZ52" s="1149"/>
      <c r="BA52" s="300"/>
    </row>
    <row r="53" spans="1:54" ht="11.25" customHeight="1">
      <c r="A53" s="1150"/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300"/>
    </row>
    <row r="54" spans="1:54" ht="15" customHeight="1">
      <c r="A54" s="1136" t="s">
        <v>788</v>
      </c>
      <c r="B54" s="1136"/>
      <c r="C54" s="1136"/>
      <c r="D54" s="1136"/>
      <c r="E54" s="1136"/>
      <c r="F54" s="1136"/>
      <c r="G54" s="1136"/>
      <c r="H54" s="1136"/>
      <c r="I54" s="1136"/>
      <c r="J54" s="1136"/>
      <c r="K54" s="1136"/>
      <c r="L54" s="1136"/>
      <c r="M54" s="1136"/>
      <c r="N54" s="1136"/>
      <c r="O54" s="1136"/>
      <c r="P54" s="1136"/>
      <c r="Q54" s="1136"/>
      <c r="R54" s="1136"/>
      <c r="S54" s="1136"/>
      <c r="T54" s="1136"/>
      <c r="U54" s="1136"/>
      <c r="V54" s="1136"/>
      <c r="W54" s="1136"/>
      <c r="X54" s="1136"/>
      <c r="Y54" s="1136"/>
      <c r="Z54" s="1136"/>
      <c r="AA54" s="1136"/>
      <c r="AB54" s="1136"/>
      <c r="AC54" s="1136"/>
      <c r="AD54" s="1136"/>
      <c r="AE54" s="1136"/>
      <c r="AF54" s="1136"/>
      <c r="AG54" s="1136"/>
      <c r="AH54" s="1136"/>
      <c r="AI54" s="1136"/>
      <c r="AJ54" s="1136"/>
      <c r="AK54" s="1136"/>
      <c r="AL54" s="1136"/>
      <c r="AM54" s="1136"/>
      <c r="AN54" s="1136"/>
      <c r="AO54" s="1136"/>
      <c r="AP54" s="1136"/>
      <c r="AQ54" s="1136"/>
      <c r="AR54" s="1136"/>
      <c r="AS54" s="1136"/>
      <c r="AT54" s="1136"/>
      <c r="AU54" s="1136"/>
      <c r="AV54" s="1136"/>
      <c r="AW54" s="1136"/>
      <c r="AX54" s="1136"/>
      <c r="AY54" s="1136"/>
      <c r="AZ54" s="1136"/>
      <c r="BA54" s="300"/>
    </row>
    <row r="55" spans="1:54" ht="21" customHeight="1">
      <c r="A55" s="1132" t="s">
        <v>789</v>
      </c>
      <c r="B55" s="1132"/>
      <c r="C55" s="1132"/>
      <c r="D55" s="1132"/>
      <c r="E55" s="1132"/>
      <c r="F55" s="1132"/>
      <c r="G55" s="1132"/>
      <c r="H55" s="1132"/>
      <c r="I55" s="1132"/>
      <c r="J55" s="1132"/>
      <c r="K55" s="1132"/>
      <c r="L55" s="1132"/>
      <c r="M55" s="1132"/>
      <c r="N55" s="1132"/>
      <c r="O55" s="1132"/>
      <c r="P55" s="1132"/>
      <c r="Q55" s="1132"/>
      <c r="R55" s="1132"/>
      <c r="S55" s="1132"/>
      <c r="T55" s="1132"/>
      <c r="U55" s="1132"/>
      <c r="V55" s="1132"/>
      <c r="W55" s="1132"/>
      <c r="X55" s="1132"/>
      <c r="Y55" s="1132"/>
      <c r="Z55" s="1132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132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300"/>
    </row>
    <row r="56" spans="1:54" ht="12" customHeight="1">
      <c r="A56" s="1147" t="str">
        <f>ПОДПИСИ!B14</f>
        <v>Инженер-геодезист ООО «БЭСК»</v>
      </c>
      <c r="B56" s="1147"/>
      <c r="C56" s="1147"/>
      <c r="D56" s="1147"/>
      <c r="E56" s="1147"/>
      <c r="F56" s="1147"/>
      <c r="G56" s="1147"/>
      <c r="H56" s="1147"/>
      <c r="I56" s="1147"/>
      <c r="J56" s="1147"/>
      <c r="K56" s="1147"/>
      <c r="L56" s="1147"/>
      <c r="M56" s="1147"/>
      <c r="N56" s="1147"/>
      <c r="O56" s="1147"/>
      <c r="P56" s="1147"/>
      <c r="Q56" s="1147"/>
      <c r="R56" s="1147"/>
      <c r="S56" s="1147"/>
      <c r="T56" s="1147"/>
      <c r="U56" s="1147"/>
      <c r="V56" s="1147"/>
      <c r="W56" s="1147"/>
      <c r="X56" s="1147"/>
      <c r="Y56" s="1147"/>
      <c r="Z56" s="1147"/>
      <c r="AA56" s="1147"/>
      <c r="AB56" s="1147"/>
      <c r="AC56" s="1147"/>
      <c r="AD56" s="1147"/>
      <c r="AE56" s="1147"/>
      <c r="AF56" s="1147"/>
      <c r="AG56" s="1147"/>
      <c r="AH56" s="1147"/>
      <c r="AI56" s="1147"/>
      <c r="AJ56" s="1147"/>
      <c r="AK56" s="1147"/>
      <c r="AL56" s="1147"/>
      <c r="AM56" s="1147"/>
      <c r="AN56" s="1147"/>
      <c r="AO56" s="1147"/>
      <c r="AP56" s="1147"/>
      <c r="AQ56" s="1147"/>
      <c r="AR56" s="1147"/>
      <c r="AS56" s="1147"/>
      <c r="AT56" s="1147"/>
      <c r="AU56" s="1147"/>
      <c r="AV56" s="1147"/>
      <c r="AW56" s="1147"/>
      <c r="AX56" s="1147"/>
      <c r="AY56" s="1147"/>
      <c r="AZ56" s="1147"/>
      <c r="BA56" s="308"/>
      <c r="BB56" s="294"/>
    </row>
    <row r="57" spans="1:54" ht="12" customHeight="1">
      <c r="A57" s="1144" t="str">
        <f>CONCATENATE(ПОДПИСИ!C14,", ",ПОДПИСИ!F14)</f>
        <v xml:space="preserve">Алексеенков Д.С., </v>
      </c>
      <c r="B57" s="1144"/>
      <c r="C57" s="1144"/>
      <c r="D57" s="1144"/>
      <c r="E57" s="1144"/>
      <c r="F57" s="1144"/>
      <c r="G57" s="1144"/>
      <c r="H57" s="1144"/>
      <c r="I57" s="1144"/>
      <c r="J57" s="1144"/>
      <c r="K57" s="1144"/>
      <c r="L57" s="1144"/>
      <c r="M57" s="1144"/>
      <c r="N57" s="1144"/>
      <c r="O57" s="1144"/>
      <c r="P57" s="1144"/>
      <c r="Q57" s="1144"/>
      <c r="R57" s="1144"/>
      <c r="S57" s="1144"/>
      <c r="T57" s="1144"/>
      <c r="U57" s="1144"/>
      <c r="V57" s="1144"/>
      <c r="W57" s="1144"/>
      <c r="X57" s="1144"/>
      <c r="Y57" s="1144"/>
      <c r="Z57" s="1144"/>
      <c r="AA57" s="1144"/>
      <c r="AB57" s="1144"/>
      <c r="AC57" s="1144"/>
      <c r="AD57" s="1144"/>
      <c r="AE57" s="1144"/>
      <c r="AF57" s="1144"/>
      <c r="AG57" s="1144"/>
      <c r="AH57" s="1144"/>
      <c r="AI57" s="1144"/>
      <c r="AJ57" s="1144"/>
      <c r="AK57" s="1144"/>
      <c r="AL57" s="1144"/>
      <c r="AM57" s="1144"/>
      <c r="AN57" s="1144"/>
      <c r="AO57" s="1144"/>
      <c r="AP57" s="1144"/>
      <c r="AQ57" s="1144"/>
      <c r="AR57" s="1144"/>
      <c r="AS57" s="1144"/>
      <c r="AT57" s="1144"/>
      <c r="AU57" s="1144"/>
      <c r="AV57" s="1144"/>
      <c r="AW57" s="1144"/>
      <c r="AX57" s="1144"/>
      <c r="AY57" s="1144"/>
      <c r="AZ57" s="1144"/>
      <c r="BA57" s="300"/>
    </row>
    <row r="58" spans="1:54" ht="6" customHeight="1">
      <c r="A58" s="1134" t="s">
        <v>787</v>
      </c>
      <c r="B58" s="1134"/>
      <c r="C58" s="1134"/>
      <c r="D58" s="1134"/>
      <c r="E58" s="1134"/>
      <c r="F58" s="1134"/>
      <c r="G58" s="1134"/>
      <c r="H58" s="1134"/>
      <c r="I58" s="1134"/>
      <c r="J58" s="1134"/>
      <c r="K58" s="1134"/>
      <c r="L58" s="1134"/>
      <c r="M58" s="1134"/>
      <c r="N58" s="1134"/>
      <c r="O58" s="1134"/>
      <c r="P58" s="1134"/>
      <c r="Q58" s="1134"/>
      <c r="R58" s="1134"/>
      <c r="S58" s="1134"/>
      <c r="T58" s="1134"/>
      <c r="U58" s="1134"/>
      <c r="V58" s="1134"/>
      <c r="W58" s="1134"/>
      <c r="X58" s="1134"/>
      <c r="Y58" s="1134"/>
      <c r="Z58" s="1134"/>
      <c r="AA58" s="1134"/>
      <c r="AB58" s="1134"/>
      <c r="AC58" s="1134"/>
      <c r="AD58" s="1134"/>
      <c r="AE58" s="1134"/>
      <c r="AF58" s="1134"/>
      <c r="AG58" s="1134"/>
      <c r="AH58" s="1134"/>
      <c r="AI58" s="1134"/>
      <c r="AJ58" s="1134"/>
      <c r="AK58" s="1134"/>
      <c r="AL58" s="1134"/>
      <c r="AM58" s="1134"/>
      <c r="AN58" s="1134"/>
      <c r="AO58" s="1134"/>
      <c r="AP58" s="1134"/>
      <c r="AQ58" s="1134"/>
      <c r="AR58" s="1134"/>
      <c r="AS58" s="1134"/>
      <c r="AT58" s="1134"/>
      <c r="AU58" s="1134"/>
      <c r="AV58" s="1134"/>
      <c r="AW58" s="1134"/>
      <c r="AX58" s="1134"/>
      <c r="AY58" s="1134"/>
      <c r="AZ58" s="1134"/>
      <c r="BA58" s="300"/>
    </row>
    <row r="59" spans="1:54" ht="10.5" customHeight="1">
      <c r="A59" s="1135"/>
      <c r="B59" s="1135"/>
      <c r="C59" s="1135"/>
      <c r="D59" s="1135"/>
      <c r="E59" s="1135"/>
      <c r="F59" s="1135"/>
      <c r="G59" s="1135"/>
      <c r="H59" s="1135"/>
      <c r="I59" s="1135"/>
      <c r="J59" s="1135"/>
      <c r="K59" s="1135"/>
      <c r="L59" s="1135"/>
      <c r="M59" s="1135"/>
      <c r="N59" s="1135"/>
      <c r="O59" s="1135"/>
      <c r="P59" s="1135"/>
      <c r="Q59" s="1135"/>
      <c r="R59" s="1135"/>
      <c r="S59" s="1135"/>
      <c r="T59" s="1135"/>
      <c r="U59" s="1135"/>
      <c r="V59" s="1135"/>
      <c r="W59" s="1135"/>
      <c r="X59" s="1135"/>
      <c r="Y59" s="1135"/>
      <c r="Z59" s="1135"/>
      <c r="AA59" s="1135"/>
      <c r="AB59" s="1135"/>
      <c r="AC59" s="1135"/>
      <c r="AD59" s="1135"/>
      <c r="AE59" s="1135"/>
      <c r="AF59" s="1135"/>
      <c r="AG59" s="1135"/>
      <c r="AH59" s="1135"/>
      <c r="AI59" s="1135"/>
      <c r="AJ59" s="1135"/>
      <c r="AK59" s="1135"/>
      <c r="AL59" s="1135"/>
      <c r="AM59" s="1135"/>
      <c r="AN59" s="1135"/>
      <c r="AO59" s="1135"/>
      <c r="AP59" s="1135"/>
      <c r="AQ59" s="1135"/>
      <c r="AR59" s="1135"/>
      <c r="AS59" s="1135"/>
      <c r="AT59" s="1135"/>
      <c r="AU59" s="1135"/>
      <c r="AV59" s="1135"/>
      <c r="AW59" s="1135"/>
      <c r="AX59" s="1135"/>
      <c r="AY59" s="1135"/>
      <c r="AZ59" s="1135"/>
      <c r="BA59" s="300"/>
    </row>
    <row r="60" spans="1:54" ht="15" customHeight="1">
      <c r="A60" s="1136" t="s">
        <v>790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  <c r="BA60" s="300"/>
    </row>
    <row r="61" spans="1:54" ht="13.5" customHeight="1" outlineLevel="1">
      <c r="A61" s="1100" t="s">
        <v>79</v>
      </c>
      <c r="B61" s="1100"/>
      <c r="C61" s="1100"/>
      <c r="D61" s="1100"/>
      <c r="E61" s="1100"/>
      <c r="F61" s="1100"/>
      <c r="G61" s="1100"/>
      <c r="H61" s="1100"/>
      <c r="I61" s="1100"/>
      <c r="J61" s="1100"/>
      <c r="K61" s="1100"/>
      <c r="L61" s="1100"/>
      <c r="M61" s="1100"/>
      <c r="N61" s="1100"/>
      <c r="O61" s="1100"/>
      <c r="P61" s="1100"/>
      <c r="Q61" s="1100"/>
      <c r="R61" s="1100"/>
      <c r="S61" s="1100"/>
      <c r="T61" s="1100"/>
      <c r="U61" s="1100"/>
      <c r="V61" s="1100"/>
      <c r="W61" s="1100"/>
      <c r="X61" s="1100"/>
      <c r="Y61" s="1100"/>
      <c r="Z61" s="1100"/>
      <c r="AA61" s="1100"/>
      <c r="AB61" s="1100"/>
      <c r="AC61" s="1100"/>
      <c r="AD61" s="1100"/>
      <c r="AE61" s="1100"/>
      <c r="AF61" s="1100"/>
      <c r="AG61" s="1100"/>
      <c r="AH61" s="1100"/>
      <c r="AI61" s="1100"/>
      <c r="AJ61" s="1100"/>
      <c r="AK61" s="1100"/>
    </row>
    <row r="62" spans="1:54" ht="24" customHeight="1" outlineLevel="1">
      <c r="A62" s="1106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386"/>
      <c r="BB62" s="387"/>
    </row>
    <row r="63" spans="1:54" ht="9.75" customHeight="1" outlineLevel="1">
      <c r="A63" s="1105" t="s">
        <v>523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388"/>
      <c r="BB63" s="389"/>
    </row>
    <row r="64" spans="1:54" ht="21" customHeight="1">
      <c r="A64" s="1132" t="s">
        <v>791</v>
      </c>
      <c r="B64" s="1132"/>
      <c r="C64" s="1132"/>
      <c r="D64" s="1132"/>
      <c r="E64" s="1132"/>
      <c r="F64" s="1132"/>
      <c r="G64" s="1132"/>
      <c r="H64" s="1132"/>
      <c r="I64" s="1132"/>
      <c r="J64" s="1132"/>
      <c r="K64" s="1132"/>
      <c r="L64" s="1132"/>
      <c r="M64" s="1132"/>
      <c r="N64" s="1132"/>
      <c r="O64" s="1132"/>
      <c r="P64" s="1132"/>
      <c r="Q64" s="1132"/>
      <c r="R64" s="1132"/>
      <c r="S64" s="1132"/>
      <c r="T64" s="1132"/>
      <c r="U64" s="1132"/>
      <c r="V64" s="1132"/>
      <c r="W64" s="1132"/>
      <c r="X64" s="1132"/>
      <c r="Y64" s="1132"/>
      <c r="Z64" s="1132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300"/>
    </row>
    <row r="65" spans="1:53" ht="12" customHeight="1">
      <c r="A65" s="1141" t="str">
        <f>ФОРМА!D18</f>
        <v>кабельной линии 10кВ</v>
      </c>
      <c r="B65" s="1141"/>
      <c r="C65" s="1141"/>
      <c r="D65" s="1141"/>
      <c r="E65" s="1141"/>
      <c r="F65" s="1141"/>
      <c r="G65" s="1141"/>
      <c r="H65" s="1141"/>
      <c r="I65" s="1141"/>
      <c r="J65" s="1141"/>
      <c r="K65" s="1141"/>
      <c r="L65" s="1141"/>
      <c r="M65" s="1141"/>
      <c r="N65" s="1141"/>
      <c r="O65" s="1141"/>
      <c r="P65" s="1141"/>
      <c r="Q65" s="1141"/>
      <c r="R65" s="1141"/>
      <c r="S65" s="1141"/>
      <c r="T65" s="1141"/>
      <c r="U65" s="1141"/>
      <c r="V65" s="1141"/>
      <c r="W65" s="1141"/>
      <c r="X65" s="1141"/>
      <c r="Y65" s="1141"/>
      <c r="Z65" s="1141"/>
      <c r="AA65" s="1141"/>
      <c r="AB65" s="1141"/>
      <c r="AC65" s="1141"/>
      <c r="AD65" s="1141"/>
      <c r="AE65" s="1141"/>
      <c r="AF65" s="1141"/>
      <c r="AG65" s="1141"/>
      <c r="AH65" s="1141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300"/>
    </row>
    <row r="66" spans="1:53" s="305" customFormat="1" ht="6" customHeight="1">
      <c r="A66" s="1131" t="s">
        <v>431</v>
      </c>
      <c r="B66" s="1131"/>
      <c r="C66" s="1131"/>
      <c r="D66" s="1131"/>
      <c r="E66" s="1131"/>
      <c r="F66" s="1131"/>
      <c r="G66" s="1131"/>
      <c r="H66" s="1131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304"/>
    </row>
    <row r="67" spans="1:53" ht="48" customHeight="1">
      <c r="A67" s="1155" t="s">
        <v>792</v>
      </c>
      <c r="B67" s="1155"/>
      <c r="C67" s="1155"/>
      <c r="D67" s="1155"/>
      <c r="E67" s="1155"/>
      <c r="F67" s="1155"/>
      <c r="G67" s="1155"/>
      <c r="H67" s="1155"/>
      <c r="I67" s="1155"/>
      <c r="J67" s="1155"/>
      <c r="K67" s="1155"/>
      <c r="L67" s="1155"/>
      <c r="M67" s="1155"/>
      <c r="N67" s="1155"/>
      <c r="O67" s="1155"/>
      <c r="P67" s="1155"/>
      <c r="Q67" s="1155"/>
      <c r="R67" s="1155"/>
      <c r="S67" s="1155"/>
      <c r="T67" s="1155"/>
      <c r="U67" s="1155"/>
      <c r="V67" s="1155"/>
      <c r="W67" s="1155"/>
      <c r="X67" s="1155"/>
      <c r="Y67" s="1155"/>
      <c r="Z67" s="1155"/>
      <c r="AA67" s="1155"/>
      <c r="AB67" s="1155"/>
      <c r="AC67" s="1155"/>
      <c r="AD67" s="1155"/>
      <c r="AE67" s="1155"/>
      <c r="AF67" s="1155"/>
      <c r="AG67" s="1155"/>
      <c r="AH67" s="1155"/>
      <c r="AI67" s="1155"/>
      <c r="AJ67" s="1155"/>
      <c r="AK67" s="1155"/>
      <c r="AL67" s="1155"/>
      <c r="AM67" s="1155"/>
      <c r="AN67" s="1155"/>
      <c r="AO67" s="1155"/>
      <c r="AP67" s="1155"/>
      <c r="AQ67" s="1155"/>
      <c r="AR67" s="1155"/>
      <c r="AS67" s="1155"/>
      <c r="AT67" s="1155"/>
      <c r="AU67" s="1155"/>
      <c r="AV67" s="1155"/>
      <c r="AW67" s="1155"/>
      <c r="AX67" s="1155"/>
      <c r="AY67" s="1155"/>
      <c r="AZ67" s="1155"/>
      <c r="BA67" s="300"/>
    </row>
    <row r="68" spans="1:53" ht="11.25" customHeight="1">
      <c r="A68" s="1141" t="str">
        <f>ФОРМА!B9</f>
        <v>СЭС-23-32939-ЭС-ТКР2</v>
      </c>
      <c r="B68" s="1141"/>
      <c r="C68" s="1141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300"/>
    </row>
    <row r="69" spans="1:53" s="305" customFormat="1" ht="6" customHeight="1">
      <c r="A69" s="1149" t="s">
        <v>793</v>
      </c>
      <c r="B69" s="1149"/>
      <c r="C69" s="1149"/>
      <c r="D69" s="1149"/>
      <c r="E69" s="1149"/>
      <c r="F69" s="1149"/>
      <c r="G69" s="1149"/>
      <c r="H69" s="1149"/>
      <c r="I69" s="1149"/>
      <c r="J69" s="1149"/>
      <c r="K69" s="1149"/>
      <c r="L69" s="1149"/>
      <c r="M69" s="1149"/>
      <c r="N69" s="1149"/>
      <c r="O69" s="1149"/>
      <c r="P69" s="1149"/>
      <c r="Q69" s="1149"/>
      <c r="R69" s="1149"/>
      <c r="S69" s="1149"/>
      <c r="T69" s="1149"/>
      <c r="U69" s="1149"/>
      <c r="V69" s="1149"/>
      <c r="W69" s="1149"/>
      <c r="X69" s="1149"/>
      <c r="Y69" s="1149"/>
      <c r="Z69" s="1149"/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304"/>
    </row>
    <row r="70" spans="1:53" ht="13.15" customHeight="1">
      <c r="A70" s="1141" t="str">
        <f>ФОРМА!B8</f>
        <v>ООО «Строительные энергетические технологии»</v>
      </c>
      <c r="B70" s="1141"/>
      <c r="C70" s="1141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300"/>
    </row>
    <row r="71" spans="1:53" s="305" customFormat="1" ht="6" customHeight="1">
      <c r="A71" s="1149" t="s">
        <v>794</v>
      </c>
      <c r="B71" s="1149"/>
      <c r="C71" s="1149"/>
      <c r="D71" s="1149"/>
      <c r="E71" s="1149"/>
      <c r="F71" s="1149"/>
      <c r="G71" s="1149"/>
      <c r="H71" s="1149"/>
      <c r="I71" s="1149"/>
      <c r="J71" s="1149"/>
      <c r="K71" s="1149"/>
      <c r="L71" s="1149"/>
      <c r="M71" s="1149"/>
      <c r="N71" s="1149"/>
      <c r="O71" s="1149"/>
      <c r="P71" s="1149"/>
      <c r="Q71" s="1149"/>
      <c r="R71" s="1149"/>
      <c r="S71" s="1149"/>
      <c r="T71" s="1149"/>
      <c r="U71" s="1149"/>
      <c r="V71" s="1149"/>
      <c r="W71" s="1149"/>
      <c r="X71" s="1149"/>
      <c r="Y71" s="1149"/>
      <c r="Z71" s="1149"/>
      <c r="AA71" s="1149"/>
      <c r="AB71" s="1149"/>
      <c r="AC71" s="1149"/>
      <c r="AD71" s="1149"/>
      <c r="AE71" s="1149"/>
      <c r="AF71" s="1149"/>
      <c r="AG71" s="1149"/>
      <c r="AH71" s="1149"/>
      <c r="AI71" s="1149"/>
      <c r="AJ71" s="1149"/>
      <c r="AK71" s="1149"/>
      <c r="AL71" s="1149"/>
      <c r="AM71" s="1149"/>
      <c r="AN71" s="1149"/>
      <c r="AO71" s="1149"/>
      <c r="AP71" s="1149"/>
      <c r="AQ71" s="1149"/>
      <c r="AR71" s="1149"/>
      <c r="AS71" s="1149"/>
      <c r="AT71" s="1149"/>
      <c r="AU71" s="1149"/>
      <c r="AV71" s="1149"/>
      <c r="AW71" s="1149"/>
      <c r="AX71" s="1149"/>
      <c r="AY71" s="1149"/>
      <c r="AZ71" s="1149"/>
      <c r="BA71" s="1149"/>
    </row>
    <row r="72" spans="1:53" ht="13.15" customHeight="1">
      <c r="A72" s="1141" t="s">
        <v>726</v>
      </c>
      <c r="B72" s="1141"/>
      <c r="C72" s="1141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300"/>
    </row>
    <row r="73" spans="1:53" s="305" customFormat="1" ht="6" customHeight="1">
      <c r="A73" s="1149" t="s">
        <v>795</v>
      </c>
      <c r="B73" s="1149"/>
      <c r="C73" s="1149"/>
      <c r="D73" s="1149"/>
      <c r="E73" s="1149"/>
      <c r="F73" s="1149"/>
      <c r="G73" s="1149"/>
      <c r="H73" s="1149"/>
      <c r="I73" s="1149"/>
      <c r="J73" s="1149"/>
      <c r="K73" s="1149"/>
      <c r="L73" s="1149"/>
      <c r="M73" s="1149"/>
      <c r="N73" s="1149"/>
      <c r="O73" s="1149"/>
      <c r="P73" s="1149"/>
      <c r="Q73" s="1149"/>
      <c r="R73" s="1149"/>
      <c r="S73" s="1149"/>
      <c r="T73" s="1149"/>
      <c r="U73" s="1149"/>
      <c r="V73" s="1149"/>
      <c r="W73" s="1149"/>
      <c r="X73" s="1149"/>
      <c r="Y73" s="1149"/>
      <c r="Z73" s="1149"/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</row>
    <row r="74" spans="1:53" ht="12" customHeight="1">
      <c r="A74" s="1132" t="s">
        <v>593</v>
      </c>
      <c r="B74" s="1132"/>
      <c r="C74" s="1132"/>
      <c r="D74" s="1132"/>
      <c r="E74" s="1132"/>
      <c r="F74" s="1132"/>
      <c r="G74" s="1132"/>
      <c r="H74" s="1132"/>
      <c r="I74" s="1132"/>
      <c r="J74" s="1132"/>
      <c r="K74" s="1132"/>
      <c r="L74" s="1132"/>
      <c r="M74" s="1132"/>
      <c r="N74" s="1132"/>
      <c r="O74" s="1132"/>
      <c r="P74" s="1132"/>
      <c r="Q74" s="1132"/>
      <c r="R74" s="1132"/>
      <c r="S74" s="1132"/>
      <c r="T74" s="1132"/>
      <c r="U74" s="1132"/>
      <c r="V74" s="1132"/>
      <c r="W74" s="1132"/>
      <c r="X74" s="1132"/>
      <c r="Y74" s="1132"/>
      <c r="Z74" s="1132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42"/>
      <c r="V75" s="1142"/>
      <c r="W75" s="1142"/>
      <c r="X75" s="1142"/>
      <c r="Y75" s="1142"/>
      <c r="Z75" s="1142"/>
      <c r="AA75" s="1142"/>
      <c r="AB75" s="1142"/>
      <c r="AC75" s="1142"/>
      <c r="AD75" s="1142"/>
      <c r="AE75" s="1142"/>
      <c r="AF75" s="1142"/>
      <c r="AG75" s="1142"/>
      <c r="AH75" s="1142"/>
      <c r="AI75" s="1142"/>
      <c r="AJ75" s="1142"/>
      <c r="AK75" s="1142"/>
      <c r="AL75" s="1142"/>
      <c r="AM75" s="1142"/>
      <c r="AN75" s="1142"/>
      <c r="AO75" s="1142"/>
      <c r="AP75" s="1142"/>
      <c r="AQ75" s="1142"/>
      <c r="AR75" s="1142"/>
      <c r="AS75" s="1142"/>
      <c r="AT75" s="1142"/>
      <c r="AU75" s="1142"/>
      <c r="AV75" s="1142"/>
      <c r="AW75" s="1142"/>
      <c r="AX75" s="1142"/>
      <c r="AY75" s="1142"/>
      <c r="AZ75" s="1142"/>
      <c r="BA75" s="300"/>
    </row>
    <row r="76" spans="1:53" ht="11.25" customHeight="1">
      <c r="A76" s="1129" t="s">
        <v>86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29" t="s">
        <v>90</v>
      </c>
      <c r="B78" s="1129"/>
      <c r="C78" s="1129"/>
      <c r="D78" s="1129"/>
      <c r="E78" s="1129"/>
      <c r="F78" s="1129"/>
      <c r="G78" s="1129"/>
      <c r="H78" s="1129"/>
      <c r="I78" s="1129"/>
      <c r="J78" s="1141">
        <f>ФОРМА!F5</f>
        <v>2</v>
      </c>
      <c r="K78" s="1141"/>
      <c r="L78" s="1141"/>
      <c r="M78" s="1141"/>
      <c r="N78" s="1141"/>
      <c r="O78" s="1141"/>
      <c r="P78" s="1132" t="s">
        <v>796</v>
      </c>
      <c r="Q78" s="1129"/>
      <c r="R78" s="1129"/>
      <c r="S78" s="1129"/>
      <c r="T78" s="1129"/>
      <c r="U78" s="1129"/>
      <c r="V78" s="1129"/>
      <c r="W78" s="1129"/>
      <c r="X78" s="1129"/>
      <c r="Y78" s="1129"/>
      <c r="Z78" s="1129"/>
      <c r="AA78" s="1129"/>
      <c r="AB78" s="1129"/>
      <c r="AC78" s="1129"/>
      <c r="AD78" s="1129"/>
      <c r="AE78" s="1129"/>
      <c r="AF78" s="1129"/>
      <c r="AG78" s="1129"/>
      <c r="AH78" s="1129"/>
      <c r="AI78" s="1129"/>
      <c r="AJ78" s="1129"/>
      <c r="AK78" s="1129"/>
      <c r="AL78" s="1129"/>
      <c r="AM78" s="1129"/>
      <c r="AN78" s="1129"/>
      <c r="AO78" s="1129"/>
      <c r="AP78" s="1129"/>
      <c r="AQ78" s="1129"/>
      <c r="AR78" s="1129"/>
      <c r="AS78" s="1129"/>
      <c r="AT78" s="1129"/>
      <c r="AU78" s="1129"/>
      <c r="AV78" s="1129"/>
      <c r="AW78" s="1129"/>
      <c r="AX78" s="1129"/>
      <c r="AY78" s="1129"/>
      <c r="AZ78" s="1129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40" t="s">
        <v>87</v>
      </c>
      <c r="B80" s="1140"/>
      <c r="C80" s="1140"/>
      <c r="D80" s="1140"/>
      <c r="E80" s="1140"/>
      <c r="F80" s="1140"/>
      <c r="G80" s="1140"/>
      <c r="H80" s="1161" t="str">
        <f>ФОРМА!E18</f>
        <v>План строительства</v>
      </c>
      <c r="I80" s="1161"/>
      <c r="J80" s="1161"/>
      <c r="K80" s="1161"/>
      <c r="L80" s="1161"/>
      <c r="M80" s="1161"/>
      <c r="N80" s="1161"/>
      <c r="O80" s="1161"/>
      <c r="P80" s="1161"/>
      <c r="Q80" s="1161"/>
      <c r="R80" s="1161"/>
      <c r="S80" s="1161"/>
      <c r="T80" s="1161"/>
      <c r="U80" s="1161"/>
      <c r="V80" s="1161"/>
      <c r="W80" s="1161"/>
      <c r="X80" s="1161"/>
      <c r="Y80" s="1161"/>
      <c r="Z80" s="1161"/>
      <c r="AA80" s="1161"/>
      <c r="AB80" s="1161"/>
      <c r="AC80" s="1161"/>
      <c r="AD80" s="1161"/>
      <c r="AE80" s="1161"/>
      <c r="AF80" s="1161"/>
      <c r="AG80" s="1161"/>
      <c r="AH80" s="1161"/>
      <c r="AI80" s="1161"/>
      <c r="AJ80" s="1161"/>
      <c r="AK80" s="1161"/>
      <c r="AL80" s="1161"/>
      <c r="AM80" s="1161"/>
      <c r="AN80" s="1161"/>
      <c r="AO80" s="1161"/>
      <c r="AP80" s="1161"/>
      <c r="AQ80" s="1161"/>
      <c r="AR80" s="1161"/>
      <c r="AS80" s="1161"/>
      <c r="AT80" s="1161"/>
      <c r="AU80" s="1161"/>
      <c r="AV80" s="1161"/>
      <c r="AW80" s="1161"/>
      <c r="AX80" s="1161"/>
      <c r="AY80" s="1161"/>
      <c r="AZ80" s="1161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31" t="s">
        <v>797</v>
      </c>
      <c r="I81" s="1131"/>
      <c r="J81" s="1131"/>
      <c r="K81" s="1131"/>
      <c r="L81" s="1131"/>
      <c r="M81" s="1131"/>
      <c r="N81" s="1131"/>
      <c r="O81" s="1131"/>
      <c r="P81" s="1131"/>
      <c r="Q81" s="1131"/>
      <c r="R81" s="1131"/>
      <c r="S81" s="1131"/>
      <c r="T81" s="1131"/>
      <c r="U81" s="1131"/>
      <c r="V81" s="1131"/>
      <c r="W81" s="1131"/>
      <c r="X81" s="1131"/>
      <c r="Y81" s="1131"/>
      <c r="Z81" s="1131"/>
      <c r="AA81" s="1131"/>
      <c r="AB81" s="1131"/>
      <c r="AC81" s="1131"/>
      <c r="AD81" s="1131"/>
      <c r="AE81" s="1131"/>
      <c r="AF81" s="1131"/>
      <c r="AG81" s="1131"/>
      <c r="AH81" s="1131"/>
      <c r="AI81" s="1131"/>
      <c r="AJ81" s="1131"/>
      <c r="AK81" s="1131"/>
      <c r="AL81" s="1131"/>
      <c r="AM81" s="1131"/>
      <c r="AN81" s="1131"/>
      <c r="AO81" s="1131"/>
      <c r="AP81" s="1131"/>
      <c r="AQ81" s="1131"/>
      <c r="AR81" s="1131"/>
      <c r="AS81" s="1131"/>
      <c r="AT81" s="1131"/>
      <c r="AU81" s="1131"/>
      <c r="AV81" s="1131"/>
      <c r="AW81" s="1131"/>
      <c r="AX81" s="1131"/>
      <c r="AY81" s="1131"/>
      <c r="AZ81" s="1131"/>
      <c r="BA81" s="309"/>
    </row>
    <row r="82" spans="1:53" ht="21" customHeight="1">
      <c r="A82" s="1132" t="s">
        <v>798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1132"/>
      <c r="X82" s="1132"/>
      <c r="Y82" s="1132"/>
      <c r="Z82" s="1132"/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132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300"/>
    </row>
    <row r="83" spans="1:53" ht="30" customHeight="1">
      <c r="A83" s="1158" t="str">
        <f>IF(ПОДПИСИ!B9="",ПОДПИСИ!D7,ПОДПИСИ!D9)</f>
        <v>Филёва Н.О.</v>
      </c>
      <c r="B83" s="1158"/>
      <c r="C83" s="1158"/>
      <c r="D83" s="1158"/>
      <c r="E83" s="1158"/>
      <c r="F83" s="1158"/>
      <c r="G83" s="1158"/>
      <c r="H83" s="1158"/>
      <c r="I83" s="1158"/>
      <c r="J83" s="1158"/>
      <c r="K83" s="1158"/>
      <c r="L83" s="1158"/>
      <c r="M83" s="1158"/>
      <c r="N83" s="1158"/>
      <c r="O83" s="1158"/>
      <c r="P83" s="1158"/>
      <c r="Q83" s="1158"/>
      <c r="R83" s="1158"/>
      <c r="S83" s="1158"/>
      <c r="T83" s="1158"/>
      <c r="U83" s="1158"/>
      <c r="V83" s="1158"/>
      <c r="W83" s="1158"/>
      <c r="X83" s="1158"/>
      <c r="Y83" s="1158"/>
      <c r="Z83" s="1159"/>
      <c r="AA83" s="1159"/>
      <c r="AB83" s="1159"/>
      <c r="AC83" s="1159"/>
      <c r="AD83" s="1159"/>
      <c r="AE83" s="1159"/>
      <c r="AF83" s="1159"/>
      <c r="AG83" s="1159"/>
      <c r="AH83" s="1159"/>
      <c r="AI83" s="1159"/>
      <c r="AJ83" s="1159"/>
      <c r="AK83" s="1159"/>
      <c r="AL83" s="1159"/>
      <c r="AM83" s="1159"/>
      <c r="AN83" s="1159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  <c r="BA83" s="300"/>
    </row>
    <row r="84" spans="1:53" ht="6" customHeight="1">
      <c r="A84" s="1131" t="s">
        <v>799</v>
      </c>
      <c r="B84" s="1131"/>
      <c r="C84" s="1131"/>
      <c r="D84" s="1131"/>
      <c r="E84" s="1131"/>
      <c r="F84" s="1131"/>
      <c r="G84" s="1131"/>
      <c r="H84" s="1131"/>
      <c r="I84" s="1131"/>
      <c r="J84" s="1131"/>
      <c r="K84" s="1131"/>
      <c r="L84" s="1131"/>
      <c r="M84" s="1131"/>
      <c r="N84" s="1131"/>
      <c r="O84" s="1131"/>
      <c r="P84" s="1131"/>
      <c r="Q84" s="1131"/>
      <c r="R84" s="1131"/>
      <c r="S84" s="1131"/>
      <c r="T84" s="1131"/>
      <c r="U84" s="1131"/>
      <c r="V84" s="1131"/>
      <c r="W84" s="1131"/>
      <c r="X84" s="1131"/>
      <c r="Y84" s="113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31" t="s">
        <v>49</v>
      </c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57" t="s">
        <v>783</v>
      </c>
      <c r="B86" s="1157"/>
      <c r="C86" s="1157"/>
      <c r="D86" s="1157"/>
      <c r="E86" s="1157"/>
      <c r="F86" s="1157"/>
      <c r="G86" s="1157"/>
      <c r="H86" s="1157"/>
      <c r="I86" s="1157"/>
      <c r="J86" s="1157"/>
      <c r="K86" s="1157"/>
      <c r="L86" s="1157"/>
      <c r="M86" s="1157"/>
      <c r="N86" s="1157"/>
      <c r="O86" s="1157"/>
      <c r="P86" s="1157"/>
      <c r="Q86" s="1157"/>
      <c r="R86" s="1157"/>
      <c r="S86" s="1157"/>
      <c r="T86" s="1157"/>
      <c r="U86" s="1157"/>
      <c r="V86" s="1157"/>
      <c r="W86" s="1157"/>
      <c r="X86" s="1157"/>
      <c r="Y86" s="1157"/>
      <c r="Z86" s="1157"/>
      <c r="AA86" s="1157"/>
      <c r="AB86" s="1157"/>
      <c r="AC86" s="1157"/>
      <c r="AD86" s="1157"/>
      <c r="AE86" s="1157"/>
      <c r="AF86" s="1157"/>
      <c r="AG86" s="1157"/>
      <c r="AH86" s="1157"/>
      <c r="AI86" s="1157"/>
      <c r="AJ86" s="1157"/>
      <c r="AK86" s="1157"/>
      <c r="AL86" s="1157"/>
      <c r="AM86" s="1157"/>
      <c r="AN86" s="1157"/>
      <c r="AO86" s="1157"/>
      <c r="AP86" s="1157"/>
      <c r="AQ86" s="1157"/>
      <c r="AR86" s="1157"/>
      <c r="AS86" s="1157"/>
      <c r="AT86" s="1157"/>
      <c r="AU86" s="1157"/>
      <c r="AV86" s="1157"/>
      <c r="AW86" s="1157"/>
      <c r="AX86" s="1157"/>
      <c r="AY86" s="1157"/>
      <c r="AZ86" s="1157"/>
      <c r="BA86" s="300"/>
    </row>
    <row r="87" spans="1:53" ht="30" customHeight="1">
      <c r="A87" s="1158" t="str">
        <f>ПОДПИСИ!D15</f>
        <v>Матвеев А.С.</v>
      </c>
      <c r="B87" s="1158"/>
      <c r="C87" s="1158"/>
      <c r="D87" s="1158"/>
      <c r="E87" s="1158"/>
      <c r="F87" s="1158"/>
      <c r="G87" s="1158"/>
      <c r="H87" s="1158"/>
      <c r="I87" s="1158"/>
      <c r="J87" s="1158"/>
      <c r="K87" s="1158"/>
      <c r="L87" s="1158"/>
      <c r="M87" s="1158"/>
      <c r="N87" s="1158"/>
      <c r="O87" s="1158"/>
      <c r="P87" s="1158"/>
      <c r="Q87" s="1158"/>
      <c r="R87" s="1158"/>
      <c r="S87" s="1158"/>
      <c r="T87" s="1158"/>
      <c r="U87" s="1158"/>
      <c r="V87" s="1158"/>
      <c r="W87" s="1158"/>
      <c r="X87" s="1158"/>
      <c r="Y87" s="1158"/>
      <c r="Z87" s="1159"/>
      <c r="AA87" s="1159"/>
      <c r="AB87" s="1159"/>
      <c r="AC87" s="1159"/>
      <c r="AD87" s="1159"/>
      <c r="AE87" s="1159"/>
      <c r="AF87" s="1159"/>
      <c r="AG87" s="1159"/>
      <c r="AH87" s="1159"/>
      <c r="AI87" s="1159"/>
      <c r="AJ87" s="1159"/>
      <c r="AK87" s="1159"/>
      <c r="AL87" s="1159"/>
      <c r="AM87" s="1159"/>
      <c r="AN87" s="1159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300"/>
    </row>
    <row r="88" spans="1:53" ht="6" customHeight="1">
      <c r="A88" s="1131" t="s">
        <v>799</v>
      </c>
      <c r="B88" s="1131"/>
      <c r="C88" s="1131"/>
      <c r="D88" s="1131"/>
      <c r="E88" s="1131"/>
      <c r="F88" s="1131"/>
      <c r="G88" s="1131"/>
      <c r="H88" s="1131"/>
      <c r="I88" s="1131"/>
      <c r="J88" s="1131"/>
      <c r="K88" s="1131"/>
      <c r="L88" s="1131"/>
      <c r="M88" s="1131"/>
      <c r="N88" s="1131"/>
      <c r="O88" s="1131"/>
      <c r="P88" s="1131"/>
      <c r="Q88" s="1131"/>
      <c r="R88" s="1131"/>
      <c r="S88" s="1131"/>
      <c r="T88" s="1131"/>
      <c r="U88" s="1131"/>
      <c r="V88" s="1131"/>
      <c r="W88" s="1131"/>
      <c r="X88" s="1131"/>
      <c r="Y88" s="113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31" t="s">
        <v>49</v>
      </c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32" t="s">
        <v>800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1132"/>
      <c r="X90" s="1132"/>
      <c r="Y90" s="1132"/>
      <c r="Z90" s="1132"/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300"/>
    </row>
    <row r="91" spans="1:53" ht="27" customHeight="1">
      <c r="A91" s="1158" t="str">
        <f>ПОДПИСИ!D17</f>
        <v>Матвеев А.С.</v>
      </c>
      <c r="B91" s="1158"/>
      <c r="C91" s="1158"/>
      <c r="D91" s="1158"/>
      <c r="E91" s="1158"/>
      <c r="F91" s="1158"/>
      <c r="G91" s="1158"/>
      <c r="H91" s="1158"/>
      <c r="I91" s="1158"/>
      <c r="J91" s="1158"/>
      <c r="K91" s="1158"/>
      <c r="L91" s="1158"/>
      <c r="M91" s="1158"/>
      <c r="N91" s="1158"/>
      <c r="O91" s="1158"/>
      <c r="P91" s="1158"/>
      <c r="Q91" s="1158"/>
      <c r="R91" s="1158"/>
      <c r="S91" s="1158"/>
      <c r="T91" s="1158"/>
      <c r="U91" s="1158"/>
      <c r="V91" s="1158"/>
      <c r="W91" s="1158"/>
      <c r="X91" s="1158"/>
      <c r="Y91" s="1158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62" t="s">
        <v>64</v>
      </c>
      <c r="AP91" s="1162"/>
      <c r="AQ91" s="1162"/>
      <c r="AR91" s="1162"/>
      <c r="AS91" s="1162"/>
      <c r="AT91" s="1162"/>
      <c r="AU91" s="1162"/>
      <c r="AV91" s="1162"/>
      <c r="AW91" s="1162"/>
      <c r="AX91" s="1162"/>
      <c r="AY91" s="1162"/>
      <c r="AZ91" s="1162"/>
      <c r="BA91" s="300"/>
    </row>
    <row r="92" spans="1:53" ht="6" customHeight="1">
      <c r="A92" s="1131" t="s">
        <v>799</v>
      </c>
      <c r="B92" s="1131"/>
      <c r="C92" s="1131"/>
      <c r="D92" s="1131"/>
      <c r="E92" s="1131"/>
      <c r="F92" s="1131"/>
      <c r="G92" s="1131"/>
      <c r="H92" s="1131"/>
      <c r="I92" s="1131"/>
      <c r="J92" s="1131"/>
      <c r="K92" s="1131"/>
      <c r="L92" s="1131"/>
      <c r="M92" s="1131"/>
      <c r="N92" s="1131"/>
      <c r="O92" s="1131"/>
      <c r="P92" s="1131"/>
      <c r="Q92" s="1131"/>
      <c r="R92" s="1131"/>
      <c r="S92" s="1131"/>
      <c r="T92" s="1131"/>
      <c r="U92" s="1131"/>
      <c r="V92" s="1131"/>
      <c r="W92" s="1131"/>
      <c r="X92" s="1131"/>
      <c r="Y92" s="113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31" t="s">
        <v>49</v>
      </c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32" t="s">
        <v>801</v>
      </c>
      <c r="B94" s="1129"/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V94" s="1129"/>
      <c r="AW94" s="1129"/>
      <c r="AX94" s="1129"/>
      <c r="AY94" s="1129"/>
      <c r="AZ94" s="1129"/>
      <c r="BA94" s="300"/>
    </row>
    <row r="95" spans="1:53" ht="27.75" customHeight="1">
      <c r="A95" s="1158" t="str">
        <f>ПОДПИСИ!D19</f>
        <v xml:space="preserve"> </v>
      </c>
      <c r="B95" s="1158"/>
      <c r="C95" s="1158"/>
      <c r="D95" s="1158"/>
      <c r="E95" s="1158"/>
      <c r="F95" s="1158"/>
      <c r="G95" s="1158"/>
      <c r="H95" s="1158"/>
      <c r="I95" s="1158"/>
      <c r="J95" s="1158"/>
      <c r="K95" s="1158"/>
      <c r="L95" s="1158"/>
      <c r="M95" s="1158"/>
      <c r="N95" s="1158"/>
      <c r="O95" s="1158"/>
      <c r="P95" s="1158"/>
      <c r="Q95" s="1158"/>
      <c r="R95" s="1158"/>
      <c r="S95" s="1158"/>
      <c r="T95" s="1158"/>
      <c r="U95" s="1158"/>
      <c r="V95" s="1158"/>
      <c r="W95" s="1158"/>
      <c r="X95" s="1158"/>
      <c r="Y95" s="1158"/>
      <c r="Z95" s="1159"/>
      <c r="AA95" s="1159"/>
      <c r="AB95" s="1159"/>
      <c r="AC95" s="1159"/>
      <c r="AD95" s="1159"/>
      <c r="AE95" s="1159"/>
      <c r="AF95" s="1159"/>
      <c r="AG95" s="1159"/>
      <c r="AH95" s="1159"/>
      <c r="AI95" s="1159"/>
      <c r="AJ95" s="1159"/>
      <c r="AK95" s="1159"/>
      <c r="AL95" s="1159"/>
      <c r="AM95" s="1159"/>
      <c r="AN95" s="1159"/>
      <c r="AO95" s="1162" t="s">
        <v>64</v>
      </c>
      <c r="AP95" s="1162"/>
      <c r="AQ95" s="1162"/>
      <c r="AR95" s="1162"/>
      <c r="AS95" s="1162"/>
      <c r="AT95" s="1162"/>
      <c r="AU95" s="1162"/>
      <c r="AV95" s="1162"/>
      <c r="AW95" s="1162"/>
      <c r="AX95" s="1162"/>
      <c r="AY95" s="1162"/>
      <c r="AZ95" s="1162"/>
      <c r="BA95" s="312"/>
    </row>
    <row r="96" spans="1:53" ht="6" customHeight="1">
      <c r="A96" s="1131" t="s">
        <v>799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  <c r="L96" s="1131"/>
      <c r="M96" s="1131"/>
      <c r="N96" s="1131"/>
      <c r="O96" s="1131"/>
      <c r="P96" s="1131"/>
      <c r="Q96" s="1131"/>
      <c r="R96" s="1131"/>
      <c r="S96" s="1131"/>
      <c r="T96" s="1131"/>
      <c r="U96" s="1131"/>
      <c r="V96" s="1131"/>
      <c r="W96" s="1131"/>
      <c r="X96" s="1131"/>
      <c r="Y96" s="113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31" t="s">
        <v>49</v>
      </c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32" t="s">
        <v>789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13"/>
    </row>
    <row r="99" spans="1:55" ht="28.5" customHeight="1">
      <c r="A99" s="1158" t="str">
        <f>ПОДПИСИ!D14</f>
        <v>Алексеенков Д.С.</v>
      </c>
      <c r="B99" s="1158"/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8"/>
      <c r="P99" s="1158"/>
      <c r="Q99" s="1158"/>
      <c r="R99" s="1158"/>
      <c r="S99" s="1158"/>
      <c r="T99" s="1158"/>
      <c r="U99" s="1158"/>
      <c r="V99" s="1158"/>
      <c r="W99" s="1158"/>
      <c r="X99" s="1158"/>
      <c r="Y99" s="1158"/>
      <c r="Z99" s="1159"/>
      <c r="AA99" s="1159"/>
      <c r="AB99" s="1159"/>
      <c r="AC99" s="1159"/>
      <c r="AD99" s="1159"/>
      <c r="AE99" s="1159"/>
      <c r="AF99" s="1159"/>
      <c r="AG99" s="1159"/>
      <c r="AH99" s="1159"/>
      <c r="AI99" s="1159"/>
      <c r="AJ99" s="1159"/>
      <c r="AK99" s="1159"/>
      <c r="AL99" s="1159"/>
      <c r="AM99" s="1159"/>
      <c r="AN99" s="1159"/>
      <c r="AO99" s="1160"/>
      <c r="AP99" s="1160"/>
      <c r="AQ99" s="1160"/>
      <c r="AR99" s="1160"/>
      <c r="AS99" s="1160"/>
      <c r="AT99" s="1160"/>
      <c r="AU99" s="1160"/>
      <c r="AV99" s="1160"/>
      <c r="AW99" s="1160"/>
      <c r="AX99" s="1160"/>
      <c r="AY99" s="1160"/>
      <c r="AZ99" s="1160"/>
      <c r="BA99" s="315"/>
      <c r="BB99" s="316"/>
      <c r="BC99" s="316"/>
    </row>
    <row r="100" spans="1:55" s="305" customFormat="1" ht="6" customHeight="1">
      <c r="A100" s="1131" t="s">
        <v>799</v>
      </c>
      <c r="B100" s="1131"/>
      <c r="C100" s="1131"/>
      <c r="D100" s="1131"/>
      <c r="E100" s="1131"/>
      <c r="F100" s="1131"/>
      <c r="G100" s="1131"/>
      <c r="H100" s="1131"/>
      <c r="I100" s="1131"/>
      <c r="J100" s="1131"/>
      <c r="K100" s="1131"/>
      <c r="L100" s="1131"/>
      <c r="M100" s="1131"/>
      <c r="N100" s="1131"/>
      <c r="O100" s="1131"/>
      <c r="P100" s="1131"/>
      <c r="Q100" s="1131"/>
      <c r="R100" s="1131"/>
      <c r="S100" s="1131"/>
      <c r="T100" s="1131"/>
      <c r="U100" s="1131"/>
      <c r="V100" s="1131"/>
      <c r="W100" s="1131"/>
      <c r="X100" s="1131"/>
      <c r="Y100" s="113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31" t="s">
        <v>49</v>
      </c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304"/>
    </row>
    <row r="101" spans="1:55" ht="16.5" customHeight="1">
      <c r="A101" s="1163" t="s">
        <v>942</v>
      </c>
      <c r="B101" s="1163"/>
      <c r="C101" s="1163"/>
      <c r="D101" s="1163"/>
      <c r="E101" s="1163"/>
      <c r="F101" s="1163"/>
      <c r="G101" s="1163"/>
      <c r="H101" s="1163"/>
      <c r="I101" s="1163"/>
      <c r="J101" s="1163"/>
      <c r="K101" s="1163"/>
      <c r="L101" s="1163"/>
      <c r="M101" s="1163"/>
      <c r="N101" s="1163"/>
      <c r="O101" s="1163"/>
      <c r="P101" s="1163"/>
      <c r="Q101" s="1163"/>
      <c r="R101" s="1163"/>
      <c r="S101" s="1163"/>
      <c r="T101" s="1163"/>
      <c r="U101" s="1163"/>
      <c r="V101" s="1163"/>
      <c r="W101" s="1163"/>
      <c r="X101" s="1163"/>
      <c r="Y101" s="1163"/>
      <c r="Z101" s="1163"/>
      <c r="AA101" s="1163"/>
      <c r="AB101" s="1163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V101" s="1163"/>
      <c r="AW101" s="1163"/>
      <c r="AX101" s="1163"/>
      <c r="AY101" s="1163"/>
      <c r="AZ101" s="1163"/>
    </row>
    <row r="102" spans="1:55" ht="33" customHeight="1">
      <c r="A102" s="1158" t="str">
        <f>IF(ПОДПИСИ!D9="","",ПОДПИСИ!D7)</f>
        <v>Чечин Д.М.</v>
      </c>
      <c r="B102" s="1158"/>
      <c r="C102" s="1158"/>
      <c r="D102" s="1158"/>
      <c r="E102" s="1158"/>
      <c r="F102" s="1158"/>
      <c r="G102" s="1158"/>
      <c r="H102" s="1158"/>
      <c r="I102" s="1158"/>
      <c r="J102" s="1158"/>
      <c r="K102" s="1158"/>
      <c r="L102" s="1158"/>
      <c r="M102" s="1158"/>
      <c r="N102" s="1158"/>
      <c r="O102" s="1158"/>
      <c r="P102" s="1158"/>
      <c r="Q102" s="1158"/>
      <c r="R102" s="1158"/>
      <c r="S102" s="1158"/>
      <c r="T102" s="1158"/>
      <c r="U102" s="1158"/>
      <c r="V102" s="1158"/>
      <c r="W102" s="1158"/>
      <c r="X102" s="1158"/>
      <c r="Y102" s="1158"/>
      <c r="Z102" s="1159"/>
      <c r="AA102" s="1159"/>
      <c r="AB102" s="1159"/>
      <c r="AC102" s="1159"/>
      <c r="AD102" s="1159"/>
      <c r="AE102" s="1159"/>
      <c r="AF102" s="1159"/>
      <c r="AG102" s="1159"/>
      <c r="AH102" s="1159"/>
      <c r="AI102" s="1159"/>
      <c r="AJ102" s="1159"/>
      <c r="AK102" s="1159"/>
      <c r="AL102" s="1159"/>
      <c r="AM102" s="1159"/>
      <c r="AN102" s="1159"/>
      <c r="AO102" s="1160"/>
      <c r="AP102" s="1160"/>
      <c r="AQ102" s="1160"/>
      <c r="AR102" s="1160"/>
      <c r="AS102" s="1160"/>
      <c r="AT102" s="1160"/>
      <c r="AU102" s="1160"/>
      <c r="AV102" s="1160"/>
      <c r="AW102" s="1160"/>
      <c r="AX102" s="1160"/>
      <c r="AY102" s="1160"/>
      <c r="AZ102" s="1160"/>
    </row>
    <row r="103" spans="1:55">
      <c r="A103" s="1131" t="s">
        <v>799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  <c r="L103" s="1131"/>
      <c r="M103" s="1131"/>
      <c r="N103" s="1131"/>
      <c r="O103" s="1131"/>
      <c r="P103" s="1131"/>
      <c r="Q103" s="1131"/>
      <c r="R103" s="1131"/>
      <c r="S103" s="1131"/>
      <c r="T103" s="1131"/>
      <c r="U103" s="1131"/>
      <c r="V103" s="1131"/>
      <c r="W103" s="1131"/>
      <c r="X103" s="1131"/>
      <c r="Y103" s="113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31" t="s">
        <v>49</v>
      </c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4" outlineLevelRow="1"/>
  <cols>
    <col min="1" max="52" width="1.7265625" style="284" customWidth="1"/>
    <col min="53" max="53" width="0.1796875" style="284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28" t="s">
        <v>567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</row>
    <row r="2" spans="1:63" ht="12" customHeight="1">
      <c r="A2" s="1129" t="s">
        <v>72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1" t="s">
        <v>515</v>
      </c>
      <c r="B4" s="1131"/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1131"/>
      <c r="N4" s="1131"/>
      <c r="O4" s="1131"/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131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32" t="s">
        <v>771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1132"/>
      <c r="O5" s="1132"/>
      <c r="P5" s="1132"/>
      <c r="Q5" s="1132"/>
      <c r="R5" s="1132"/>
      <c r="S5" s="1132"/>
      <c r="T5" s="1132"/>
      <c r="U5" s="1132"/>
      <c r="V5" s="1132"/>
      <c r="W5" s="1132"/>
      <c r="X5" s="1132"/>
      <c r="Y5" s="1132"/>
      <c r="Z5" s="1132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132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31" t="s">
        <v>772</v>
      </c>
      <c r="B7" s="1131"/>
      <c r="C7" s="1131"/>
      <c r="D7" s="1131"/>
      <c r="E7" s="1131"/>
      <c r="F7" s="1131"/>
      <c r="G7" s="1131"/>
      <c r="H7" s="1131"/>
      <c r="I7" s="1131"/>
      <c r="J7" s="1131"/>
      <c r="K7" s="1131"/>
      <c r="L7" s="1131"/>
      <c r="M7" s="1131"/>
      <c r="N7" s="1131"/>
      <c r="O7" s="1131"/>
      <c r="P7" s="1131"/>
      <c r="Q7" s="1131"/>
      <c r="R7" s="1131"/>
      <c r="S7" s="1131"/>
      <c r="T7" s="1131"/>
      <c r="U7" s="1131"/>
      <c r="V7" s="1131"/>
      <c r="W7" s="1131"/>
      <c r="X7" s="1131"/>
      <c r="Y7" s="1131"/>
      <c r="Z7" s="1131"/>
      <c r="AA7" s="1131"/>
      <c r="AB7" s="1131"/>
      <c r="AC7" s="1131"/>
      <c r="AD7" s="1131"/>
      <c r="AE7" s="1131"/>
      <c r="AF7" s="1131"/>
      <c r="AG7" s="1131"/>
      <c r="AH7" s="1131"/>
      <c r="AI7" s="1131"/>
      <c r="AJ7" s="1131"/>
      <c r="AK7" s="1131"/>
      <c r="AL7" s="1131"/>
      <c r="AM7" s="1131"/>
      <c r="AN7" s="1131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34" t="s">
        <v>773</v>
      </c>
      <c r="B9" s="1134"/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  <c r="AJ9" s="1134"/>
      <c r="AK9" s="1134"/>
      <c r="AL9" s="1134"/>
      <c r="AM9" s="1134"/>
      <c r="AN9" s="1134"/>
      <c r="AO9" s="1134"/>
      <c r="AP9" s="1134"/>
      <c r="AQ9" s="1134"/>
      <c r="AR9" s="1134"/>
      <c r="AS9" s="1134"/>
      <c r="AT9" s="1134"/>
      <c r="AU9" s="1134"/>
      <c r="AV9" s="1134"/>
      <c r="AW9" s="1134"/>
      <c r="AX9" s="1134"/>
      <c r="AY9" s="1134"/>
      <c r="AZ9" s="11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">
      <c r="A10" s="1137"/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36" t="s">
        <v>774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29" t="s">
        <v>775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33" t="str">
        <f>ФОРМА!B3</f>
        <v>ООО «БЭСК»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</row>
    <row r="14" spans="1:63" s="302" customFormat="1" ht="6" customHeight="1">
      <c r="A14" s="1131" t="s">
        <v>776</v>
      </c>
      <c r="B14" s="1131"/>
      <c r="C14" s="1131"/>
      <c r="D14" s="1131"/>
      <c r="E14" s="1131"/>
      <c r="F14" s="1131"/>
      <c r="G14" s="1131"/>
      <c r="H14" s="1131"/>
      <c r="I14" s="1131"/>
      <c r="J14" s="1131"/>
      <c r="K14" s="1131"/>
      <c r="L14" s="1131"/>
      <c r="M14" s="1131"/>
      <c r="N14" s="1131"/>
      <c r="O14" s="1131"/>
      <c r="P14" s="1131"/>
      <c r="Q14" s="1131"/>
      <c r="R14" s="1131"/>
      <c r="S14" s="1131"/>
      <c r="T14" s="1131"/>
      <c r="U14" s="1131"/>
      <c r="V14" s="1131"/>
      <c r="W14" s="1131"/>
      <c r="X14" s="1131"/>
      <c r="Y14" s="1131"/>
      <c r="Z14" s="1131"/>
      <c r="AA14" s="1131"/>
      <c r="AB14" s="1131"/>
      <c r="AC14" s="1131"/>
      <c r="AD14" s="1131"/>
      <c r="AE14" s="1131"/>
      <c r="AF14" s="1131"/>
      <c r="AG14" s="1131"/>
      <c r="AH14" s="1131"/>
      <c r="AI14" s="1131"/>
      <c r="AJ14" s="1131"/>
      <c r="AK14" s="1131"/>
      <c r="AL14" s="1131"/>
      <c r="AM14" s="1131"/>
      <c r="AN14" s="1131"/>
      <c r="AO14" s="1131"/>
      <c r="AP14" s="1131"/>
      <c r="AQ14" s="1131"/>
      <c r="AR14" s="1131"/>
      <c r="AS14" s="1131"/>
      <c r="AT14" s="1131"/>
      <c r="AU14" s="1131"/>
      <c r="AV14" s="1131"/>
      <c r="AW14" s="1131"/>
      <c r="AX14" s="1131"/>
      <c r="AY14" s="1131"/>
      <c r="AZ14" s="1131"/>
      <c r="BA14" s="301"/>
    </row>
    <row r="15" spans="1:63" ht="23.5" customHeight="1">
      <c r="A15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</row>
    <row r="16" spans="1:63" s="302" customFormat="1" ht="6" customHeight="1">
      <c r="A16" s="1134" t="s">
        <v>777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301"/>
    </row>
    <row r="17" spans="1:53" s="302" customFormat="1" ht="9">
      <c r="A17" s="1135"/>
      <c r="B17" s="1135"/>
      <c r="C17" s="1135"/>
      <c r="D17" s="1135"/>
      <c r="E17" s="1135"/>
      <c r="F17" s="1135"/>
      <c r="G17" s="1135"/>
      <c r="H17" s="1135"/>
      <c r="I17" s="1135"/>
      <c r="J17" s="1135"/>
      <c r="K17" s="1135"/>
      <c r="L17" s="1135"/>
      <c r="M17" s="1135"/>
      <c r="N17" s="1135"/>
      <c r="O17" s="1135"/>
      <c r="P17" s="1135"/>
      <c r="Q17" s="1135"/>
      <c r="R17" s="1135"/>
      <c r="S17" s="1135"/>
      <c r="T17" s="1135"/>
      <c r="U17" s="1135"/>
      <c r="V17" s="1135"/>
      <c r="W17" s="1135"/>
      <c r="X17" s="1135"/>
      <c r="Y17" s="1135"/>
      <c r="Z17" s="1135"/>
      <c r="AA17" s="1135"/>
      <c r="AB17" s="1135"/>
      <c r="AC17" s="1135"/>
      <c r="AD17" s="1135"/>
      <c r="AE17" s="1135"/>
      <c r="AF17" s="1135"/>
      <c r="AG17" s="1135"/>
      <c r="AH17" s="1135"/>
      <c r="AI17" s="1135"/>
      <c r="AJ17" s="1135"/>
      <c r="AK17" s="1135"/>
      <c r="AL17" s="1135"/>
      <c r="AM17" s="1135"/>
      <c r="AN17" s="1135"/>
      <c r="AO17" s="1135"/>
      <c r="AP17" s="1135"/>
      <c r="AQ17" s="1135"/>
      <c r="AR17" s="1135"/>
      <c r="AS17" s="1135"/>
      <c r="AT17" s="1135"/>
      <c r="AU17" s="1135"/>
      <c r="AV17" s="1135"/>
      <c r="AW17" s="1135"/>
      <c r="AX17" s="1135"/>
      <c r="AY17" s="1135"/>
      <c r="AZ17" s="1135"/>
      <c r="BA17" s="301"/>
    </row>
    <row r="18" spans="1:53" s="302" customFormat="1" ht="15" customHeight="1">
      <c r="A18" s="1136" t="s">
        <v>778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01"/>
    </row>
    <row r="19" spans="1:53" ht="12" customHeight="1">
      <c r="A19" s="1129" t="s">
        <v>74</v>
      </c>
      <c r="B19" s="1129"/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1129"/>
      <c r="N19" s="1129"/>
      <c r="O19" s="1129"/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29"/>
      <c r="AM19" s="1129"/>
      <c r="AN19" s="1129"/>
      <c r="AO19" s="1129"/>
      <c r="AP19" s="1129"/>
      <c r="AQ19" s="1129"/>
      <c r="AR19" s="1129"/>
      <c r="AS19" s="1129"/>
      <c r="AT19" s="1129"/>
      <c r="AU19" s="1129"/>
      <c r="AV19" s="1129"/>
      <c r="AW19" s="1129"/>
      <c r="AX19" s="1129"/>
      <c r="AY19" s="1129"/>
      <c r="AZ19" s="1129"/>
      <c r="BA19" s="300"/>
    </row>
    <row r="20" spans="1:53" ht="12" customHeight="1">
      <c r="A20" s="1133" t="str">
        <f>ФОРМА!B8</f>
        <v>ООО «Строительные энергетические технологии»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</row>
    <row r="21" spans="1:53" s="305" customFormat="1" ht="6" customHeight="1">
      <c r="A21" s="1131" t="s">
        <v>776</v>
      </c>
      <c r="B21" s="1131"/>
      <c r="C21" s="1131"/>
      <c r="D21" s="1131"/>
      <c r="E21" s="1131"/>
      <c r="F21" s="1131"/>
      <c r="G21" s="1131"/>
      <c r="H21" s="1131"/>
      <c r="I21" s="1131"/>
      <c r="J21" s="1131"/>
      <c r="K21" s="1131"/>
      <c r="L21" s="1131"/>
      <c r="M21" s="1131"/>
      <c r="N21" s="1131"/>
      <c r="O21" s="1131"/>
      <c r="P21" s="1131"/>
      <c r="Q21" s="1131"/>
      <c r="R21" s="1131"/>
      <c r="S21" s="1131"/>
      <c r="T21" s="1131"/>
      <c r="U21" s="1131"/>
      <c r="V21" s="1131"/>
      <c r="W21" s="1131"/>
      <c r="X21" s="1131"/>
      <c r="Y21" s="1131"/>
      <c r="Z21" s="1131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304"/>
    </row>
    <row r="22" spans="1:53" ht="21.65" customHeight="1">
      <c r="A22" s="11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300"/>
    </row>
    <row r="23" spans="1:53" s="305" customFormat="1" ht="6" customHeight="1">
      <c r="A23" s="1134" t="s">
        <v>773</v>
      </c>
      <c r="B23" s="1134"/>
      <c r="C23" s="1134"/>
      <c r="D23" s="1134"/>
      <c r="E23" s="1134"/>
      <c r="F23" s="1134"/>
      <c r="G23" s="1134"/>
      <c r="H23" s="1134"/>
      <c r="I23" s="1134"/>
      <c r="J23" s="1134"/>
      <c r="K23" s="1134"/>
      <c r="L23" s="1134"/>
      <c r="M23" s="1134"/>
      <c r="N23" s="1134"/>
      <c r="O23" s="1134"/>
      <c r="P23" s="1134"/>
      <c r="Q23" s="1134"/>
      <c r="R23" s="1134"/>
      <c r="S23" s="1134"/>
      <c r="T23" s="1134"/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304"/>
    </row>
    <row r="24" spans="1:53" s="305" customFormat="1" ht="10.5" customHeight="1">
      <c r="A24" s="1135"/>
      <c r="B24" s="1135"/>
      <c r="C24" s="1135"/>
      <c r="D24" s="1135"/>
      <c r="E24" s="1135"/>
      <c r="F24" s="1135"/>
      <c r="G24" s="1135"/>
      <c r="H24" s="1135"/>
      <c r="I24" s="1135"/>
      <c r="J24" s="1135"/>
      <c r="K24" s="1135"/>
      <c r="L24" s="1135"/>
      <c r="M24" s="1135"/>
      <c r="N24" s="1135"/>
      <c r="O24" s="1135"/>
      <c r="P24" s="1135"/>
      <c r="Q24" s="1135"/>
      <c r="R24" s="1135"/>
      <c r="S24" s="1135"/>
      <c r="T24" s="1135"/>
      <c r="U24" s="1135"/>
      <c r="V24" s="1135"/>
      <c r="W24" s="1135"/>
      <c r="X24" s="1135"/>
      <c r="Y24" s="1135"/>
      <c r="Z24" s="1135"/>
      <c r="AA24" s="1135"/>
      <c r="AB24" s="1135"/>
      <c r="AC24" s="1135"/>
      <c r="AD24" s="1135"/>
      <c r="AE24" s="1135"/>
      <c r="AF24" s="1135"/>
      <c r="AG24" s="1135"/>
      <c r="AH24" s="1135"/>
      <c r="AI24" s="1135"/>
      <c r="AJ24" s="1135"/>
      <c r="AK24" s="1135"/>
      <c r="AL24" s="1135"/>
      <c r="AM24" s="1135"/>
      <c r="AN24" s="1135"/>
      <c r="AO24" s="1135"/>
      <c r="AP24" s="1135"/>
      <c r="AQ24" s="1135"/>
      <c r="AR24" s="1135"/>
      <c r="AS24" s="1135"/>
      <c r="AT24" s="1135"/>
      <c r="AU24" s="1135"/>
      <c r="AV24" s="1135"/>
      <c r="AW24" s="1135"/>
      <c r="AX24" s="1135"/>
      <c r="AY24" s="1135"/>
      <c r="AZ24" s="1135"/>
      <c r="BA24" s="304"/>
    </row>
    <row r="25" spans="1:53" s="305" customFormat="1" ht="15" customHeight="1">
      <c r="A25" s="1136" t="s">
        <v>779</v>
      </c>
      <c r="B25" s="1136"/>
      <c r="C25" s="1136"/>
      <c r="D25" s="1136"/>
      <c r="E25" s="1136"/>
      <c r="F25" s="1136"/>
      <c r="G25" s="1136"/>
      <c r="H25" s="1136"/>
      <c r="I25" s="1136"/>
      <c r="J25" s="1136"/>
      <c r="K25" s="1136"/>
      <c r="L25" s="1136"/>
      <c r="M25" s="1136"/>
      <c r="N25" s="1136"/>
      <c r="O25" s="1136"/>
      <c r="P25" s="1136"/>
      <c r="Q25" s="1136"/>
      <c r="R25" s="1136"/>
      <c r="S25" s="1136"/>
      <c r="T25" s="1136"/>
      <c r="U25" s="1136"/>
      <c r="V25" s="1136"/>
      <c r="W25" s="1136"/>
      <c r="X25" s="1136"/>
      <c r="Y25" s="1136"/>
      <c r="Z25" s="1136"/>
      <c r="AA25" s="1136"/>
      <c r="AB25" s="1136"/>
      <c r="AC25" s="1136"/>
      <c r="AD25" s="1136"/>
      <c r="AE25" s="1136"/>
      <c r="AF25" s="1136"/>
      <c r="AG25" s="1136"/>
      <c r="AH25" s="1136"/>
      <c r="AI25" s="1136"/>
      <c r="AJ25" s="1136"/>
      <c r="AK25" s="1136"/>
      <c r="AL25" s="1136"/>
      <c r="AM25" s="1136"/>
      <c r="AN25" s="1136"/>
      <c r="AO25" s="1136"/>
      <c r="AP25" s="1136"/>
      <c r="AQ25" s="1136"/>
      <c r="AR25" s="1136"/>
      <c r="AS25" s="1136"/>
      <c r="AT25" s="1136"/>
      <c r="AU25" s="1136"/>
      <c r="AV25" s="1136"/>
      <c r="AW25" s="1136"/>
      <c r="AX25" s="1136"/>
      <c r="AY25" s="1136"/>
      <c r="AZ25" s="11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38" t="s">
        <v>592</v>
      </c>
      <c r="B27" s="1139"/>
      <c r="C27" s="1139"/>
      <c r="D27" s="1139"/>
      <c r="E27" s="1139"/>
      <c r="F27" s="1139"/>
      <c r="G27" s="1139"/>
      <c r="H27" s="1139"/>
      <c r="I27" s="1139"/>
      <c r="J27" s="1139"/>
      <c r="K27" s="1139"/>
      <c r="L27" s="1139"/>
      <c r="M27" s="1139"/>
      <c r="N27" s="1139"/>
      <c r="O27" s="1139"/>
      <c r="P27" s="1139"/>
      <c r="Q27" s="1139"/>
      <c r="R27" s="1139"/>
      <c r="S27" s="1139"/>
      <c r="T27" s="1139"/>
      <c r="U27" s="1139"/>
      <c r="V27" s="1139"/>
      <c r="W27" s="1139"/>
      <c r="X27" s="1139"/>
      <c r="Y27" s="1139"/>
      <c r="Z27" s="1139"/>
      <c r="AA27" s="1139"/>
      <c r="AB27" s="1139"/>
      <c r="AC27" s="1139"/>
      <c r="AD27" s="1139"/>
      <c r="AE27" s="1139"/>
      <c r="AF27" s="1139"/>
      <c r="AG27" s="1139"/>
      <c r="AH27" s="1139"/>
      <c r="AI27" s="1139"/>
      <c r="AJ27" s="1139"/>
      <c r="AK27" s="1139"/>
      <c r="AL27" s="1139"/>
      <c r="AM27" s="1139"/>
      <c r="AN27" s="1139"/>
      <c r="AO27" s="1139"/>
      <c r="AP27" s="1139"/>
      <c r="AQ27" s="1139"/>
      <c r="AR27" s="1139"/>
      <c r="AS27" s="1139"/>
      <c r="AT27" s="1139"/>
      <c r="AU27" s="1139"/>
      <c r="AV27" s="1139"/>
      <c r="AW27" s="1139"/>
      <c r="AX27" s="1139"/>
      <c r="AY27" s="1139"/>
      <c r="AZ27" s="1139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40" t="s">
        <v>19</v>
      </c>
      <c r="B29" s="1140"/>
      <c r="C29" s="1141">
        <f>ФОРМА!B19</f>
        <v>0</v>
      </c>
      <c r="D29" s="1141"/>
      <c r="E29" s="1141"/>
      <c r="F29" s="1141"/>
      <c r="G29" s="1141"/>
      <c r="H29" s="1141"/>
      <c r="I29" s="1141"/>
      <c r="J29" s="1141"/>
      <c r="K29" s="1141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42"/>
      <c r="AH29" s="1142"/>
      <c r="AI29" s="1142"/>
      <c r="AJ29" s="307"/>
      <c r="AK29" s="307"/>
      <c r="AL29" s="1143">
        <f>ФОРМА!C19</f>
        <v>45354</v>
      </c>
      <c r="AM29" s="1141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2"/>
      <c r="AX29" s="1142"/>
      <c r="AY29" s="1142"/>
      <c r="AZ29" s="1142"/>
      <c r="BA29" s="300"/>
    </row>
    <row r="30" spans="1:53" s="305" customFormat="1" ht="5.15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31" t="s">
        <v>453</v>
      </c>
      <c r="AM30" s="1131"/>
      <c r="AN30" s="1131"/>
      <c r="AO30" s="1131"/>
      <c r="AP30" s="1131"/>
      <c r="AQ30" s="1131"/>
      <c r="AR30" s="1131"/>
      <c r="AS30" s="1131"/>
      <c r="AT30" s="1131"/>
      <c r="AU30" s="1131"/>
      <c r="AV30" s="1131"/>
      <c r="AW30" s="304"/>
      <c r="AX30" s="304"/>
      <c r="AY30" s="304"/>
      <c r="AZ30" s="304"/>
      <c r="BA30" s="304"/>
    </row>
    <row r="31" spans="1:53" ht="21" customHeight="1">
      <c r="A31" s="1132" t="s">
        <v>780</v>
      </c>
      <c r="B31" s="1132"/>
      <c r="C31" s="1132"/>
      <c r="D31" s="1132"/>
      <c r="E31" s="1132"/>
      <c r="F31" s="1132"/>
      <c r="G31" s="1132"/>
      <c r="H31" s="1132"/>
      <c r="I31" s="1132"/>
      <c r="J31" s="1132"/>
      <c r="K31" s="1132"/>
      <c r="L31" s="1132"/>
      <c r="M31" s="1132"/>
      <c r="N31" s="1132"/>
      <c r="O31" s="1132"/>
      <c r="P31" s="1132"/>
      <c r="Q31" s="1132"/>
      <c r="R31" s="1132"/>
      <c r="S31" s="1132"/>
      <c r="T31" s="1132"/>
      <c r="U31" s="1132"/>
      <c r="V31" s="1132"/>
      <c r="W31" s="1132"/>
      <c r="X31" s="1132"/>
      <c r="Y31" s="1132"/>
      <c r="Z31" s="1132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132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300"/>
    </row>
    <row r="32" spans="1:53" ht="12" customHeight="1">
      <c r="A32" s="1146" t="str">
        <f>IF(ПОДПИСИ!B9="",ПОДПИСИ!B6,ПОДПИСИ!B9)</f>
        <v>Ведущий инженер-геодезист АО "ЛЭСР"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300"/>
    </row>
    <row r="33" spans="1:53" ht="12" customHeight="1">
      <c r="A33" s="1144" t="str">
        <f>IF(ПОДПИСИ!C9="",ПОДПИСИ!C6,CONCATENATE(ПОДПИСИ!C9,", ",ПОДПИСИ!F9))</f>
        <v xml:space="preserve">Филёва Н.О.,  </v>
      </c>
      <c r="B33" s="1144"/>
      <c r="C33" s="1144"/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44"/>
      <c r="AF33" s="1144"/>
      <c r="AG33" s="1144"/>
      <c r="AH33" s="1144"/>
      <c r="AI33" s="1144"/>
      <c r="AJ33" s="1144"/>
      <c r="AK33" s="1144"/>
      <c r="AL33" s="1144"/>
      <c r="AM33" s="1144"/>
      <c r="AN33" s="1144"/>
      <c r="AO33" s="1144"/>
      <c r="AP33" s="1144"/>
      <c r="AQ33" s="1144"/>
      <c r="AR33" s="1144"/>
      <c r="AS33" s="1144"/>
      <c r="AT33" s="1144"/>
      <c r="AU33" s="1144"/>
      <c r="AV33" s="1144"/>
      <c r="AW33" s="1144"/>
      <c r="AX33" s="1144"/>
      <c r="AY33" s="1144"/>
      <c r="AZ33" s="1144"/>
      <c r="BA33" s="300"/>
    </row>
    <row r="34" spans="1:53" ht="15" customHeight="1">
      <c r="A34" s="1134" t="s">
        <v>781</v>
      </c>
      <c r="B34" s="1134"/>
      <c r="C34" s="1134"/>
      <c r="D34" s="1134"/>
      <c r="E34" s="1134"/>
      <c r="F34" s="1134"/>
      <c r="G34" s="1134"/>
      <c r="H34" s="1134"/>
      <c r="I34" s="1134"/>
      <c r="J34" s="1134"/>
      <c r="K34" s="1134"/>
      <c r="L34" s="1134"/>
      <c r="M34" s="1134"/>
      <c r="N34" s="1134"/>
      <c r="O34" s="1134"/>
      <c r="P34" s="1134"/>
      <c r="Q34" s="1134"/>
      <c r="R34" s="1134"/>
      <c r="S34" s="1134"/>
      <c r="T34" s="1134"/>
      <c r="U34" s="1134"/>
      <c r="V34" s="1134"/>
      <c r="W34" s="1134"/>
      <c r="X34" s="1134"/>
      <c r="Y34" s="1134"/>
      <c r="Z34" s="1134"/>
      <c r="AA34" s="1134"/>
      <c r="AB34" s="1134"/>
      <c r="AC34" s="1134"/>
      <c r="AD34" s="1134"/>
      <c r="AE34" s="1134"/>
      <c r="AF34" s="1134"/>
      <c r="AG34" s="1134"/>
      <c r="AH34" s="1134"/>
      <c r="AI34" s="1134"/>
      <c r="AJ34" s="1134"/>
      <c r="AK34" s="1134"/>
      <c r="AL34" s="1134"/>
      <c r="AM34" s="1134"/>
      <c r="AN34" s="1134"/>
      <c r="AO34" s="1134"/>
      <c r="AP34" s="1134"/>
      <c r="AQ34" s="1134"/>
      <c r="AR34" s="1134"/>
      <c r="AS34" s="1134"/>
      <c r="AT34" s="1134"/>
      <c r="AU34" s="1134"/>
      <c r="AV34" s="1134"/>
      <c r="AW34" s="1134"/>
      <c r="AX34" s="1134"/>
      <c r="AY34" s="1134"/>
      <c r="AZ34" s="1134"/>
      <c r="BA34" s="300"/>
    </row>
    <row r="35" spans="1:53" ht="12" customHeight="1">
      <c r="A35" s="1135"/>
      <c r="B35" s="1135"/>
      <c r="C35" s="1135"/>
      <c r="D35" s="1135"/>
      <c r="E35" s="1135"/>
      <c r="F35" s="1135"/>
      <c r="G35" s="1135"/>
      <c r="H35" s="1135"/>
      <c r="I35" s="1135"/>
      <c r="J35" s="1135"/>
      <c r="K35" s="1135"/>
      <c r="L35" s="1135"/>
      <c r="M35" s="1135"/>
      <c r="N35" s="1135"/>
      <c r="O35" s="1135"/>
      <c r="P35" s="1135"/>
      <c r="Q35" s="1135"/>
      <c r="R35" s="1135"/>
      <c r="S35" s="1135"/>
      <c r="T35" s="1135"/>
      <c r="U35" s="1135"/>
      <c r="V35" s="1135"/>
      <c r="W35" s="1135"/>
      <c r="X35" s="1135"/>
      <c r="Y35" s="1135"/>
      <c r="Z35" s="1135"/>
      <c r="AA35" s="1135"/>
      <c r="AB35" s="1135"/>
      <c r="AC35" s="1135"/>
      <c r="AD35" s="1135"/>
      <c r="AE35" s="1135"/>
      <c r="AF35" s="1135"/>
      <c r="AG35" s="1135"/>
      <c r="AH35" s="1135"/>
      <c r="AI35" s="1135"/>
      <c r="AJ35" s="1135"/>
      <c r="AK35" s="1135"/>
      <c r="AL35" s="1135"/>
      <c r="AM35" s="1135"/>
      <c r="AN35" s="1135"/>
      <c r="AO35" s="1135"/>
      <c r="AP35" s="1135"/>
      <c r="AQ35" s="1135"/>
      <c r="AR35" s="1135"/>
      <c r="AS35" s="1135"/>
      <c r="AT35" s="1135"/>
      <c r="AU35" s="1135"/>
      <c r="AV35" s="1135"/>
      <c r="AW35" s="1135"/>
      <c r="AX35" s="1135"/>
      <c r="AY35" s="1135"/>
      <c r="AZ35" s="1135"/>
      <c r="BA35" s="300"/>
    </row>
    <row r="36" spans="1:53" ht="21" customHeight="1">
      <c r="A36" s="1136" t="s">
        <v>782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136"/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/>
      <c r="AY36" s="1136"/>
      <c r="AZ36" s="1136"/>
      <c r="BA36" s="300"/>
    </row>
    <row r="37" spans="1:53" ht="12" customHeight="1">
      <c r="A37" s="1129" t="s">
        <v>783</v>
      </c>
      <c r="B37" s="1129"/>
      <c r="C37" s="1129"/>
      <c r="D37" s="1129"/>
      <c r="E37" s="1129"/>
      <c r="F37" s="1129"/>
      <c r="G37" s="1129"/>
      <c r="H37" s="1129"/>
      <c r="I37" s="1129"/>
      <c r="J37" s="1129"/>
      <c r="K37" s="1129"/>
      <c r="L37" s="1129"/>
      <c r="M37" s="1129"/>
      <c r="N37" s="1129"/>
      <c r="O37" s="1129"/>
      <c r="P37" s="1129"/>
      <c r="Q37" s="1129"/>
      <c r="R37" s="1129"/>
      <c r="S37" s="1129"/>
      <c r="T37" s="1129"/>
      <c r="U37" s="1129"/>
      <c r="V37" s="1129"/>
      <c r="W37" s="1129"/>
      <c r="X37" s="1129"/>
      <c r="Y37" s="1129"/>
      <c r="Z37" s="1129"/>
      <c r="AA37" s="1129"/>
      <c r="AB37" s="1129"/>
      <c r="AC37" s="1129"/>
      <c r="AD37" s="1129"/>
      <c r="AE37" s="1129"/>
      <c r="AF37" s="1129"/>
      <c r="AG37" s="1129"/>
      <c r="AH37" s="1129"/>
      <c r="AI37" s="1129"/>
      <c r="AJ37" s="1129"/>
      <c r="AK37" s="1129"/>
      <c r="AL37" s="1129"/>
      <c r="AM37" s="1129"/>
      <c r="AN37" s="1129"/>
      <c r="AO37" s="1129"/>
      <c r="AP37" s="1129"/>
      <c r="AQ37" s="1129"/>
      <c r="AR37" s="1129"/>
      <c r="AS37" s="1129"/>
      <c r="AT37" s="1129"/>
      <c r="AU37" s="1129"/>
      <c r="AV37" s="1129"/>
      <c r="AW37" s="1129"/>
      <c r="AX37" s="1129"/>
      <c r="AY37" s="1129"/>
      <c r="AZ37" s="1129"/>
      <c r="BA37" s="300"/>
    </row>
    <row r="38" spans="1:53" ht="12" customHeight="1">
      <c r="A38" s="1144" t="str">
        <f>ПОДПИСИ!B15</f>
        <v xml:space="preserve">Заместитель генерального директора ООО «БЭСК» </v>
      </c>
      <c r="B38" s="1144"/>
      <c r="C38" s="1144"/>
      <c r="D38" s="1144"/>
      <c r="E38" s="1144"/>
      <c r="F38" s="1144"/>
      <c r="G38" s="1144"/>
      <c r="H38" s="1144"/>
      <c r="I38" s="1144"/>
      <c r="J38" s="1144"/>
      <c r="K38" s="1144"/>
      <c r="L38" s="1144"/>
      <c r="M38" s="1144"/>
      <c r="N38" s="1144"/>
      <c r="O38" s="1144"/>
      <c r="P38" s="1144"/>
      <c r="Q38" s="1144"/>
      <c r="R38" s="1144"/>
      <c r="S38" s="1144"/>
      <c r="T38" s="1144"/>
      <c r="U38" s="1144"/>
      <c r="V38" s="1144"/>
      <c r="W38" s="1144"/>
      <c r="X38" s="1144"/>
      <c r="Y38" s="1144"/>
      <c r="Z38" s="1144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144"/>
      <c r="AO38" s="1144"/>
      <c r="AP38" s="1144"/>
      <c r="AQ38" s="1144"/>
      <c r="AR38" s="1144"/>
      <c r="AS38" s="1144"/>
      <c r="AT38" s="1144"/>
      <c r="AU38" s="1144"/>
      <c r="AV38" s="1144"/>
      <c r="AW38" s="1144"/>
      <c r="AX38" s="1144"/>
      <c r="AY38" s="1144"/>
      <c r="AZ38" s="1144"/>
      <c r="BA38" s="300"/>
    </row>
    <row r="39" spans="1:53" ht="12" customHeight="1">
      <c r="A39" s="1144" t="str">
        <f>CONCATENATE(ПОДПИСИ!C15," ",ПОДПИСИ!F15)</f>
        <v xml:space="preserve">Матвеев А.С. </v>
      </c>
      <c r="B39" s="1144"/>
      <c r="C39" s="1144"/>
      <c r="D39" s="1144"/>
      <c r="E39" s="1144"/>
      <c r="F39" s="1144"/>
      <c r="G39" s="1144"/>
      <c r="H39" s="1144"/>
      <c r="I39" s="1144"/>
      <c r="J39" s="1144"/>
      <c r="K39" s="1144"/>
      <c r="L39" s="1144"/>
      <c r="M39" s="1144"/>
      <c r="N39" s="1144"/>
      <c r="O39" s="1144"/>
      <c r="P39" s="1144"/>
      <c r="Q39" s="1144"/>
      <c r="R39" s="1144"/>
      <c r="S39" s="1144"/>
      <c r="T39" s="1144"/>
      <c r="U39" s="1144"/>
      <c r="V39" s="1144"/>
      <c r="W39" s="1144"/>
      <c r="X39" s="1144"/>
      <c r="Y39" s="1144"/>
      <c r="Z39" s="1144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144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300"/>
    </row>
    <row r="40" spans="1:53" ht="15" customHeight="1">
      <c r="A40" s="1134" t="s">
        <v>784</v>
      </c>
      <c r="B40" s="1134"/>
      <c r="C40" s="1134"/>
      <c r="D40" s="1134"/>
      <c r="E40" s="1134"/>
      <c r="F40" s="1134"/>
      <c r="G40" s="1134"/>
      <c r="H40" s="1134"/>
      <c r="I40" s="1134"/>
      <c r="J40" s="1134"/>
      <c r="K40" s="1134"/>
      <c r="L40" s="1134"/>
      <c r="M40" s="1134"/>
      <c r="N40" s="1134"/>
      <c r="O40" s="1134"/>
      <c r="P40" s="1134"/>
      <c r="Q40" s="1134"/>
      <c r="R40" s="1134"/>
      <c r="S40" s="1134"/>
      <c r="T40" s="1134"/>
      <c r="U40" s="1134"/>
      <c r="V40" s="1134"/>
      <c r="W40" s="1134"/>
      <c r="X40" s="1134"/>
      <c r="Y40" s="1134"/>
      <c r="Z40" s="1134"/>
      <c r="AA40" s="1134"/>
      <c r="AB40" s="1134"/>
      <c r="AC40" s="1134"/>
      <c r="AD40" s="1134"/>
      <c r="AE40" s="1134"/>
      <c r="AF40" s="1134"/>
      <c r="AG40" s="1134"/>
      <c r="AH40" s="1134"/>
      <c r="AI40" s="1134"/>
      <c r="AJ40" s="1134"/>
      <c r="AK40" s="1134"/>
      <c r="AL40" s="1134"/>
      <c r="AM40" s="1134"/>
      <c r="AN40" s="1134"/>
      <c r="AO40" s="1134"/>
      <c r="AP40" s="1134"/>
      <c r="AQ40" s="1134"/>
      <c r="AR40" s="1134"/>
      <c r="AS40" s="1134"/>
      <c r="AT40" s="1134"/>
      <c r="AU40" s="1134"/>
      <c r="AV40" s="1134"/>
      <c r="AW40" s="1134"/>
      <c r="AX40" s="1134"/>
      <c r="AY40" s="1134"/>
      <c r="AZ40" s="1134"/>
      <c r="BA40" s="300"/>
    </row>
    <row r="41" spans="1:53" ht="8.25" customHeight="1">
      <c r="A41" s="1145"/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300"/>
    </row>
    <row r="42" spans="1:53" ht="15" customHeight="1">
      <c r="A42" s="1136" t="s">
        <v>785</v>
      </c>
      <c r="B42" s="1136"/>
      <c r="C42" s="1136"/>
      <c r="D42" s="1136"/>
      <c r="E42" s="1136"/>
      <c r="F42" s="1136"/>
      <c r="G42" s="1136"/>
      <c r="H42" s="1136"/>
      <c r="I42" s="1136"/>
      <c r="J42" s="1136"/>
      <c r="K42" s="1136"/>
      <c r="L42" s="1136"/>
      <c r="M42" s="1136"/>
      <c r="N42" s="1136"/>
      <c r="O42" s="1136"/>
      <c r="P42" s="1136"/>
      <c r="Q42" s="1136"/>
      <c r="R42" s="1136"/>
      <c r="S42" s="1136"/>
      <c r="T42" s="1136"/>
      <c r="U42" s="1136"/>
      <c r="V42" s="1136"/>
      <c r="W42" s="1136"/>
      <c r="X42" s="1136"/>
      <c r="Y42" s="1136"/>
      <c r="Z42" s="1136"/>
      <c r="AA42" s="1136"/>
      <c r="AB42" s="1136"/>
      <c r="AC42" s="1136"/>
      <c r="AD42" s="1136"/>
      <c r="AE42" s="1136"/>
      <c r="AF42" s="1136"/>
      <c r="AG42" s="1136"/>
      <c r="AH42" s="1136"/>
      <c r="AI42" s="1136"/>
      <c r="AJ42" s="1136"/>
      <c r="AK42" s="1136"/>
      <c r="AL42" s="1136"/>
      <c r="AM42" s="1136"/>
      <c r="AN42" s="1136"/>
      <c r="AO42" s="1136"/>
      <c r="AP42" s="1136"/>
      <c r="AQ42" s="1136"/>
      <c r="AR42" s="1136"/>
      <c r="AS42" s="1136"/>
      <c r="AT42" s="1136"/>
      <c r="AU42" s="1136"/>
      <c r="AV42" s="1136"/>
      <c r="AW42" s="1136"/>
      <c r="AX42" s="1136"/>
      <c r="AY42" s="1136"/>
      <c r="AZ42" s="1136"/>
      <c r="BA42" s="300"/>
    </row>
    <row r="43" spans="1:53" ht="21" customHeight="1">
      <c r="A43" s="1153" t="s">
        <v>811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300"/>
    </row>
    <row r="44" spans="1:53" ht="12" customHeight="1">
      <c r="A44" s="1154" t="str">
        <f>ПОДПИСИ!B17</f>
        <v xml:space="preserve">Заместитель генерального директора ООО «БЭСК»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300"/>
    </row>
    <row r="45" spans="1:53" ht="12" customHeight="1">
      <c r="A45" s="1154" t="str">
        <f>CONCATENATE(ПОДПИСИ!C17," ",ПОДПИСИ!F17)</f>
        <v xml:space="preserve">Матвеев А.С.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00"/>
    </row>
    <row r="46" spans="1:53" ht="15" customHeight="1">
      <c r="A46" s="1151" t="s">
        <v>781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300"/>
    </row>
    <row r="47" spans="1:53" ht="15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  <c r="BA47" s="300"/>
    </row>
    <row r="48" spans="1:53" ht="9" customHeight="1">
      <c r="A48" s="1151" t="s">
        <v>812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300"/>
    </row>
    <row r="49" spans="1:54" ht="39" customHeight="1">
      <c r="A49" s="1132" t="s">
        <v>786</v>
      </c>
      <c r="B49" s="1132"/>
      <c r="C49" s="1132"/>
      <c r="D49" s="1132"/>
      <c r="E49" s="1132"/>
      <c r="F49" s="1132"/>
      <c r="G49" s="1132"/>
      <c r="H49" s="1132"/>
      <c r="I49" s="1132"/>
      <c r="J49" s="1132"/>
      <c r="K49" s="1132"/>
      <c r="L49" s="1132"/>
      <c r="M49" s="1132"/>
      <c r="N49" s="1132"/>
      <c r="O49" s="1132"/>
      <c r="P49" s="1132"/>
      <c r="Q49" s="1132"/>
      <c r="R49" s="1132"/>
      <c r="S49" s="1132"/>
      <c r="T49" s="1132"/>
      <c r="U49" s="1132"/>
      <c r="V49" s="1132"/>
      <c r="W49" s="1132"/>
      <c r="X49" s="1132"/>
      <c r="Y49" s="1132"/>
      <c r="Z49" s="1132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300"/>
    </row>
    <row r="50" spans="1:54" ht="12" customHeight="1">
      <c r="A50" s="1145" t="str">
        <f>ПОДПИСИ!B19</f>
        <v xml:space="preserve"> </v>
      </c>
      <c r="B50" s="1145"/>
      <c r="C50" s="1145"/>
      <c r="D50" s="1145"/>
      <c r="E50" s="1145"/>
      <c r="F50" s="1145"/>
      <c r="G50" s="1145"/>
      <c r="H50" s="1145"/>
      <c r="I50" s="1145"/>
      <c r="J50" s="1145"/>
      <c r="K50" s="1145"/>
      <c r="L50" s="1145"/>
      <c r="M50" s="1145"/>
      <c r="N50" s="1145"/>
      <c r="O50" s="1145"/>
      <c r="P50" s="1145"/>
      <c r="Q50" s="1145"/>
      <c r="R50" s="1145"/>
      <c r="S50" s="1145"/>
      <c r="T50" s="1145"/>
      <c r="U50" s="1145"/>
      <c r="V50" s="1145"/>
      <c r="W50" s="1145"/>
      <c r="X50" s="1145"/>
      <c r="Y50" s="1145"/>
      <c r="Z50" s="1145"/>
      <c r="AA50" s="1145"/>
      <c r="AB50" s="1145"/>
      <c r="AC50" s="1145"/>
      <c r="AD50" s="1145"/>
      <c r="AE50" s="1145"/>
      <c r="AF50" s="1145"/>
      <c r="AG50" s="1145"/>
      <c r="AH50" s="1145"/>
      <c r="AI50" s="1145"/>
      <c r="AJ50" s="1145"/>
      <c r="AK50" s="1145"/>
      <c r="AL50" s="1145"/>
      <c r="AM50" s="1145"/>
      <c r="AN50" s="1145"/>
      <c r="AO50" s="1145"/>
      <c r="AP50" s="1145"/>
      <c r="AQ50" s="1145"/>
      <c r="AR50" s="1145"/>
      <c r="AS50" s="1145"/>
      <c r="AT50" s="1145"/>
      <c r="AU50" s="1145"/>
      <c r="AV50" s="1145"/>
      <c r="AW50" s="1145"/>
      <c r="AX50" s="1145"/>
      <c r="AY50" s="1145"/>
      <c r="AZ50" s="1145"/>
      <c r="BA50" s="300"/>
    </row>
    <row r="51" spans="1:54" ht="12" customHeight="1">
      <c r="A51" s="1148" t="str">
        <f>CONCATENATE(ПОДПИСИ!C19," ",ПОДПИСИ!F19)</f>
        <v xml:space="preserve">  </v>
      </c>
      <c r="B51" s="1148"/>
      <c r="C51" s="1148"/>
      <c r="D51" s="1148"/>
      <c r="E51" s="1148"/>
      <c r="F51" s="1148"/>
      <c r="G51" s="1148"/>
      <c r="H51" s="1148"/>
      <c r="I51" s="1148"/>
      <c r="J51" s="1148"/>
      <c r="K51" s="1148"/>
      <c r="L51" s="1148"/>
      <c r="M51" s="1148"/>
      <c r="N51" s="1148"/>
      <c r="O51" s="1148"/>
      <c r="P51" s="1148"/>
      <c r="Q51" s="1148"/>
      <c r="R51" s="1148"/>
      <c r="S51" s="1148"/>
      <c r="T51" s="1148"/>
      <c r="U51" s="1148"/>
      <c r="V51" s="1148"/>
      <c r="W51" s="1148"/>
      <c r="X51" s="1148"/>
      <c r="Y51" s="1148"/>
      <c r="Z51" s="1148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300"/>
    </row>
    <row r="52" spans="1:54" ht="6" customHeight="1">
      <c r="A52" s="1149" t="s">
        <v>787</v>
      </c>
      <c r="B52" s="1149"/>
      <c r="C52" s="1149"/>
      <c r="D52" s="1149"/>
      <c r="E52" s="1149"/>
      <c r="F52" s="1149"/>
      <c r="G52" s="1149"/>
      <c r="H52" s="1149"/>
      <c r="I52" s="1149"/>
      <c r="J52" s="1149"/>
      <c r="K52" s="1149"/>
      <c r="L52" s="1149"/>
      <c r="M52" s="1149"/>
      <c r="N52" s="1149"/>
      <c r="O52" s="1149"/>
      <c r="P52" s="1149"/>
      <c r="Q52" s="1149"/>
      <c r="R52" s="1149"/>
      <c r="S52" s="1149"/>
      <c r="T52" s="1149"/>
      <c r="U52" s="1149"/>
      <c r="V52" s="1149"/>
      <c r="W52" s="1149"/>
      <c r="X52" s="1149"/>
      <c r="Y52" s="1149"/>
      <c r="Z52" s="1149"/>
      <c r="AA52" s="1149"/>
      <c r="AB52" s="1149"/>
      <c r="AC52" s="1149"/>
      <c r="AD52" s="1149"/>
      <c r="AE52" s="1149"/>
      <c r="AF52" s="1149"/>
      <c r="AG52" s="1149"/>
      <c r="AH52" s="1149"/>
      <c r="AI52" s="1149"/>
      <c r="AJ52" s="1149"/>
      <c r="AK52" s="1149"/>
      <c r="AL52" s="1149"/>
      <c r="AM52" s="1149"/>
      <c r="AN52" s="1149"/>
      <c r="AO52" s="1149"/>
      <c r="AP52" s="1149"/>
      <c r="AQ52" s="1149"/>
      <c r="AR52" s="1149"/>
      <c r="AS52" s="1149"/>
      <c r="AT52" s="1149"/>
      <c r="AU52" s="1149"/>
      <c r="AV52" s="1149"/>
      <c r="AW52" s="1149"/>
      <c r="AX52" s="1149"/>
      <c r="AY52" s="1149"/>
      <c r="AZ52" s="1149"/>
      <c r="BA52" s="300"/>
    </row>
    <row r="53" spans="1:54" ht="10.5" customHeight="1">
      <c r="A53" s="1150"/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300"/>
    </row>
    <row r="54" spans="1:54" ht="15" customHeight="1">
      <c r="A54" s="1136" t="s">
        <v>788</v>
      </c>
      <c r="B54" s="1136"/>
      <c r="C54" s="1136"/>
      <c r="D54" s="1136"/>
      <c r="E54" s="1136"/>
      <c r="F54" s="1136"/>
      <c r="G54" s="1136"/>
      <c r="H54" s="1136"/>
      <c r="I54" s="1136"/>
      <c r="J54" s="1136"/>
      <c r="K54" s="1136"/>
      <c r="L54" s="1136"/>
      <c r="M54" s="1136"/>
      <c r="N54" s="1136"/>
      <c r="O54" s="1136"/>
      <c r="P54" s="1136"/>
      <c r="Q54" s="1136"/>
      <c r="R54" s="1136"/>
      <c r="S54" s="1136"/>
      <c r="T54" s="1136"/>
      <c r="U54" s="1136"/>
      <c r="V54" s="1136"/>
      <c r="W54" s="1136"/>
      <c r="X54" s="1136"/>
      <c r="Y54" s="1136"/>
      <c r="Z54" s="1136"/>
      <c r="AA54" s="1136"/>
      <c r="AB54" s="1136"/>
      <c r="AC54" s="1136"/>
      <c r="AD54" s="1136"/>
      <c r="AE54" s="1136"/>
      <c r="AF54" s="1136"/>
      <c r="AG54" s="1136"/>
      <c r="AH54" s="1136"/>
      <c r="AI54" s="1136"/>
      <c r="AJ54" s="1136"/>
      <c r="AK54" s="1136"/>
      <c r="AL54" s="1136"/>
      <c r="AM54" s="1136"/>
      <c r="AN54" s="1136"/>
      <c r="AO54" s="1136"/>
      <c r="AP54" s="1136"/>
      <c r="AQ54" s="1136"/>
      <c r="AR54" s="1136"/>
      <c r="AS54" s="1136"/>
      <c r="AT54" s="1136"/>
      <c r="AU54" s="1136"/>
      <c r="AV54" s="1136"/>
      <c r="AW54" s="1136"/>
      <c r="AX54" s="1136"/>
      <c r="AY54" s="1136"/>
      <c r="AZ54" s="1136"/>
      <c r="BA54" s="300"/>
    </row>
    <row r="55" spans="1:54" ht="21" customHeight="1">
      <c r="A55" s="1132" t="s">
        <v>789</v>
      </c>
      <c r="B55" s="1132"/>
      <c r="C55" s="1132"/>
      <c r="D55" s="1132"/>
      <c r="E55" s="1132"/>
      <c r="F55" s="1132"/>
      <c r="G55" s="1132"/>
      <c r="H55" s="1132"/>
      <c r="I55" s="1132"/>
      <c r="J55" s="1132"/>
      <c r="K55" s="1132"/>
      <c r="L55" s="1132"/>
      <c r="M55" s="1132"/>
      <c r="N55" s="1132"/>
      <c r="O55" s="1132"/>
      <c r="P55" s="1132"/>
      <c r="Q55" s="1132"/>
      <c r="R55" s="1132"/>
      <c r="S55" s="1132"/>
      <c r="T55" s="1132"/>
      <c r="U55" s="1132"/>
      <c r="V55" s="1132"/>
      <c r="W55" s="1132"/>
      <c r="X55" s="1132"/>
      <c r="Y55" s="1132"/>
      <c r="Z55" s="1132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132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300"/>
    </row>
    <row r="56" spans="1:54" ht="12" customHeight="1">
      <c r="A56" s="1147" t="str">
        <f>ПОДПИСИ!B14</f>
        <v>Инженер-геодезист ООО «БЭСК»</v>
      </c>
      <c r="B56" s="1147"/>
      <c r="C56" s="1147"/>
      <c r="D56" s="1147"/>
      <c r="E56" s="1147"/>
      <c r="F56" s="1147"/>
      <c r="G56" s="1147"/>
      <c r="H56" s="1147"/>
      <c r="I56" s="1147"/>
      <c r="J56" s="1147"/>
      <c r="K56" s="1147"/>
      <c r="L56" s="1147"/>
      <c r="M56" s="1147"/>
      <c r="N56" s="1147"/>
      <c r="O56" s="1147"/>
      <c r="P56" s="1147"/>
      <c r="Q56" s="1147"/>
      <c r="R56" s="1147"/>
      <c r="S56" s="1147"/>
      <c r="T56" s="1147"/>
      <c r="U56" s="1147"/>
      <c r="V56" s="1147"/>
      <c r="W56" s="1147"/>
      <c r="X56" s="1147"/>
      <c r="Y56" s="1147"/>
      <c r="Z56" s="1147"/>
      <c r="AA56" s="1147"/>
      <c r="AB56" s="1147"/>
      <c r="AC56" s="1147"/>
      <c r="AD56" s="1147"/>
      <c r="AE56" s="1147"/>
      <c r="AF56" s="1147"/>
      <c r="AG56" s="1147"/>
      <c r="AH56" s="1147"/>
      <c r="AI56" s="1147"/>
      <c r="AJ56" s="1147"/>
      <c r="AK56" s="1147"/>
      <c r="AL56" s="1147"/>
      <c r="AM56" s="1147"/>
      <c r="AN56" s="1147"/>
      <c r="AO56" s="1147"/>
      <c r="AP56" s="1147"/>
      <c r="AQ56" s="1147"/>
      <c r="AR56" s="1147"/>
      <c r="AS56" s="1147"/>
      <c r="AT56" s="1147"/>
      <c r="AU56" s="1147"/>
      <c r="AV56" s="1147"/>
      <c r="AW56" s="1147"/>
      <c r="AX56" s="1147"/>
      <c r="AY56" s="1147"/>
      <c r="AZ56" s="1147"/>
      <c r="BA56" s="308"/>
      <c r="BB56" s="294"/>
    </row>
    <row r="57" spans="1:54" ht="12" customHeight="1">
      <c r="A57" s="1144" t="str">
        <f>CONCATENATE(ПОДПИСИ!C14," ",ПОДПИСИ!F14)</f>
        <v xml:space="preserve">Алексеенков Д.С. </v>
      </c>
      <c r="B57" s="1144"/>
      <c r="C57" s="1144"/>
      <c r="D57" s="1144"/>
      <c r="E57" s="1144"/>
      <c r="F57" s="1144"/>
      <c r="G57" s="1144"/>
      <c r="H57" s="1144"/>
      <c r="I57" s="1144"/>
      <c r="J57" s="1144"/>
      <c r="K57" s="1144"/>
      <c r="L57" s="1144"/>
      <c r="M57" s="1144"/>
      <c r="N57" s="1144"/>
      <c r="O57" s="1144"/>
      <c r="P57" s="1144"/>
      <c r="Q57" s="1144"/>
      <c r="R57" s="1144"/>
      <c r="S57" s="1144"/>
      <c r="T57" s="1144"/>
      <c r="U57" s="1144"/>
      <c r="V57" s="1144"/>
      <c r="W57" s="1144"/>
      <c r="X57" s="1144"/>
      <c r="Y57" s="1144"/>
      <c r="Z57" s="1144"/>
      <c r="AA57" s="1144"/>
      <c r="AB57" s="1144"/>
      <c r="AC57" s="1144"/>
      <c r="AD57" s="1144"/>
      <c r="AE57" s="1144"/>
      <c r="AF57" s="1144"/>
      <c r="AG57" s="1144"/>
      <c r="AH57" s="1144"/>
      <c r="AI57" s="1144"/>
      <c r="AJ57" s="1144"/>
      <c r="AK57" s="1144"/>
      <c r="AL57" s="1144"/>
      <c r="AM57" s="1144"/>
      <c r="AN57" s="1144"/>
      <c r="AO57" s="1144"/>
      <c r="AP57" s="1144"/>
      <c r="AQ57" s="1144"/>
      <c r="AR57" s="1144"/>
      <c r="AS57" s="1144"/>
      <c r="AT57" s="1144"/>
      <c r="AU57" s="1144"/>
      <c r="AV57" s="1144"/>
      <c r="AW57" s="1144"/>
      <c r="AX57" s="1144"/>
      <c r="AY57" s="1144"/>
      <c r="AZ57" s="1144"/>
      <c r="BA57" s="300"/>
    </row>
    <row r="58" spans="1:54" ht="6" customHeight="1">
      <c r="A58" s="1134" t="s">
        <v>787</v>
      </c>
      <c r="B58" s="1134"/>
      <c r="C58" s="1134"/>
      <c r="D58" s="1134"/>
      <c r="E58" s="1134"/>
      <c r="F58" s="1134"/>
      <c r="G58" s="1134"/>
      <c r="H58" s="1134"/>
      <c r="I58" s="1134"/>
      <c r="J58" s="1134"/>
      <c r="K58" s="1134"/>
      <c r="L58" s="1134"/>
      <c r="M58" s="1134"/>
      <c r="N58" s="1134"/>
      <c r="O58" s="1134"/>
      <c r="P58" s="1134"/>
      <c r="Q58" s="1134"/>
      <c r="R58" s="1134"/>
      <c r="S58" s="1134"/>
      <c r="T58" s="1134"/>
      <c r="U58" s="1134"/>
      <c r="V58" s="1134"/>
      <c r="W58" s="1134"/>
      <c r="X58" s="1134"/>
      <c r="Y58" s="1134"/>
      <c r="Z58" s="1134"/>
      <c r="AA58" s="1134"/>
      <c r="AB58" s="1134"/>
      <c r="AC58" s="1134"/>
      <c r="AD58" s="1134"/>
      <c r="AE58" s="1134"/>
      <c r="AF58" s="1134"/>
      <c r="AG58" s="1134"/>
      <c r="AH58" s="1134"/>
      <c r="AI58" s="1134"/>
      <c r="AJ58" s="1134"/>
      <c r="AK58" s="1134"/>
      <c r="AL58" s="1134"/>
      <c r="AM58" s="1134"/>
      <c r="AN58" s="1134"/>
      <c r="AO58" s="1134"/>
      <c r="AP58" s="1134"/>
      <c r="AQ58" s="1134"/>
      <c r="AR58" s="1134"/>
      <c r="AS58" s="1134"/>
      <c r="AT58" s="1134"/>
      <c r="AU58" s="1134"/>
      <c r="AV58" s="1134"/>
      <c r="AW58" s="1134"/>
      <c r="AX58" s="1134"/>
      <c r="AY58" s="1134"/>
      <c r="AZ58" s="1134"/>
      <c r="BA58" s="300"/>
    </row>
    <row r="59" spans="1:54">
      <c r="A59" s="1135"/>
      <c r="B59" s="1135"/>
      <c r="C59" s="1135"/>
      <c r="D59" s="1135"/>
      <c r="E59" s="1135"/>
      <c r="F59" s="1135"/>
      <c r="G59" s="1135"/>
      <c r="H59" s="1135"/>
      <c r="I59" s="1135"/>
      <c r="J59" s="1135"/>
      <c r="K59" s="1135"/>
      <c r="L59" s="1135"/>
      <c r="M59" s="1135"/>
      <c r="N59" s="1135"/>
      <c r="O59" s="1135"/>
      <c r="P59" s="1135"/>
      <c r="Q59" s="1135"/>
      <c r="R59" s="1135"/>
      <c r="S59" s="1135"/>
      <c r="T59" s="1135"/>
      <c r="U59" s="1135"/>
      <c r="V59" s="1135"/>
      <c r="W59" s="1135"/>
      <c r="X59" s="1135"/>
      <c r="Y59" s="1135"/>
      <c r="Z59" s="1135"/>
      <c r="AA59" s="1135"/>
      <c r="AB59" s="1135"/>
      <c r="AC59" s="1135"/>
      <c r="AD59" s="1135"/>
      <c r="AE59" s="1135"/>
      <c r="AF59" s="1135"/>
      <c r="AG59" s="1135"/>
      <c r="AH59" s="1135"/>
      <c r="AI59" s="1135"/>
      <c r="AJ59" s="1135"/>
      <c r="AK59" s="1135"/>
      <c r="AL59" s="1135"/>
      <c r="AM59" s="1135"/>
      <c r="AN59" s="1135"/>
      <c r="AO59" s="1135"/>
      <c r="AP59" s="1135"/>
      <c r="AQ59" s="1135"/>
      <c r="AR59" s="1135"/>
      <c r="AS59" s="1135"/>
      <c r="AT59" s="1135"/>
      <c r="AU59" s="1135"/>
      <c r="AV59" s="1135"/>
      <c r="AW59" s="1135"/>
      <c r="AX59" s="1135"/>
      <c r="AY59" s="1135"/>
      <c r="AZ59" s="1135"/>
      <c r="BA59" s="300"/>
    </row>
    <row r="60" spans="1:54" ht="15" customHeight="1">
      <c r="A60" s="1136" t="s">
        <v>790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  <c r="BA60" s="300"/>
    </row>
    <row r="61" spans="1:54" ht="15" customHeight="1" outlineLevel="1">
      <c r="A61" s="1100" t="s">
        <v>79</v>
      </c>
      <c r="B61" s="1100"/>
      <c r="C61" s="1100"/>
      <c r="D61" s="1100"/>
      <c r="E61" s="1100"/>
      <c r="F61" s="1100"/>
      <c r="G61" s="1100"/>
      <c r="H61" s="1100"/>
      <c r="I61" s="1100"/>
      <c r="J61" s="1100"/>
      <c r="K61" s="1100"/>
      <c r="L61" s="1100"/>
      <c r="M61" s="1100"/>
      <c r="N61" s="1100"/>
      <c r="O61" s="1100"/>
      <c r="P61" s="1100"/>
      <c r="Q61" s="1100"/>
      <c r="R61" s="1100"/>
      <c r="S61" s="1100"/>
      <c r="T61" s="1100"/>
      <c r="U61" s="1100"/>
      <c r="V61" s="1100"/>
      <c r="W61" s="1100"/>
      <c r="X61" s="1100"/>
      <c r="Y61" s="1100"/>
      <c r="Z61" s="1100"/>
      <c r="AA61" s="1100"/>
      <c r="AB61" s="1100"/>
      <c r="AC61" s="1100"/>
      <c r="AD61" s="1100"/>
      <c r="AE61" s="1100"/>
      <c r="AF61" s="1100"/>
      <c r="AG61" s="1100"/>
      <c r="AH61" s="1100"/>
      <c r="AI61" s="1100"/>
      <c r="AJ61" s="1100"/>
      <c r="AK61" s="1100"/>
      <c r="BA61" s="300"/>
    </row>
    <row r="62" spans="1:54" ht="23.25" customHeight="1" outlineLevel="1">
      <c r="A62" s="1106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300"/>
    </row>
    <row r="63" spans="1:54" ht="8.25" customHeight="1" outlineLevel="1">
      <c r="A63" s="1105" t="s">
        <v>523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300"/>
    </row>
    <row r="64" spans="1:54" ht="21" customHeight="1">
      <c r="A64" s="1132" t="s">
        <v>791</v>
      </c>
      <c r="B64" s="1132"/>
      <c r="C64" s="1132"/>
      <c r="D64" s="1132"/>
      <c r="E64" s="1132"/>
      <c r="F64" s="1132"/>
      <c r="G64" s="1132"/>
      <c r="H64" s="1132"/>
      <c r="I64" s="1132"/>
      <c r="J64" s="1132"/>
      <c r="K64" s="1132"/>
      <c r="L64" s="1132"/>
      <c r="M64" s="1132"/>
      <c r="N64" s="1132"/>
      <c r="O64" s="1132"/>
      <c r="P64" s="1132"/>
      <c r="Q64" s="1132"/>
      <c r="R64" s="1132"/>
      <c r="S64" s="1132"/>
      <c r="T64" s="1132"/>
      <c r="U64" s="1132"/>
      <c r="V64" s="1132"/>
      <c r="W64" s="1132"/>
      <c r="X64" s="1132"/>
      <c r="Y64" s="1132"/>
      <c r="Z64" s="1132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300"/>
    </row>
    <row r="65" spans="1:53" ht="12" customHeight="1">
      <c r="A65" s="1141" t="str">
        <f>ФОРМА!D19</f>
        <v>воздушной линии 10кВ</v>
      </c>
      <c r="B65" s="1141"/>
      <c r="C65" s="1141"/>
      <c r="D65" s="1141"/>
      <c r="E65" s="1141"/>
      <c r="F65" s="1141"/>
      <c r="G65" s="1141"/>
      <c r="H65" s="1141"/>
      <c r="I65" s="1141"/>
      <c r="J65" s="1141"/>
      <c r="K65" s="1141"/>
      <c r="L65" s="1141"/>
      <c r="M65" s="1141"/>
      <c r="N65" s="1141"/>
      <c r="O65" s="1141"/>
      <c r="P65" s="1141"/>
      <c r="Q65" s="1141"/>
      <c r="R65" s="1141"/>
      <c r="S65" s="1141"/>
      <c r="T65" s="1141"/>
      <c r="U65" s="1141"/>
      <c r="V65" s="1141"/>
      <c r="W65" s="1141"/>
      <c r="X65" s="1141"/>
      <c r="Y65" s="1141"/>
      <c r="Z65" s="1141"/>
      <c r="AA65" s="1141"/>
      <c r="AB65" s="1141"/>
      <c r="AC65" s="1141"/>
      <c r="AD65" s="1141"/>
      <c r="AE65" s="1141"/>
      <c r="AF65" s="1141"/>
      <c r="AG65" s="1141"/>
      <c r="AH65" s="1141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300"/>
    </row>
    <row r="66" spans="1:53" s="305" customFormat="1" ht="6" customHeight="1">
      <c r="A66" s="1131" t="s">
        <v>431</v>
      </c>
      <c r="B66" s="1131"/>
      <c r="C66" s="1131"/>
      <c r="D66" s="1131"/>
      <c r="E66" s="1131"/>
      <c r="F66" s="1131"/>
      <c r="G66" s="1131"/>
      <c r="H66" s="1131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304"/>
    </row>
    <row r="67" spans="1:53" ht="48" customHeight="1">
      <c r="A67" s="1155" t="s">
        <v>792</v>
      </c>
      <c r="B67" s="1155"/>
      <c r="C67" s="1155"/>
      <c r="D67" s="1155"/>
      <c r="E67" s="1155"/>
      <c r="F67" s="1155"/>
      <c r="G67" s="1155"/>
      <c r="H67" s="1155"/>
      <c r="I67" s="1155"/>
      <c r="J67" s="1155"/>
      <c r="K67" s="1155"/>
      <c r="L67" s="1155"/>
      <c r="M67" s="1155"/>
      <c r="N67" s="1155"/>
      <c r="O67" s="1155"/>
      <c r="P67" s="1155"/>
      <c r="Q67" s="1155"/>
      <c r="R67" s="1155"/>
      <c r="S67" s="1155"/>
      <c r="T67" s="1155"/>
      <c r="U67" s="1155"/>
      <c r="V67" s="1155"/>
      <c r="W67" s="1155"/>
      <c r="X67" s="1155"/>
      <c r="Y67" s="1155"/>
      <c r="Z67" s="1155"/>
      <c r="AA67" s="1155"/>
      <c r="AB67" s="1155"/>
      <c r="AC67" s="1155"/>
      <c r="AD67" s="1155"/>
      <c r="AE67" s="1155"/>
      <c r="AF67" s="1155"/>
      <c r="AG67" s="1155"/>
      <c r="AH67" s="1155"/>
      <c r="AI67" s="1155"/>
      <c r="AJ67" s="1155"/>
      <c r="AK67" s="1155"/>
      <c r="AL67" s="1155"/>
      <c r="AM67" s="1155"/>
      <c r="AN67" s="1155"/>
      <c r="AO67" s="1155"/>
      <c r="AP67" s="1155"/>
      <c r="AQ67" s="1155"/>
      <c r="AR67" s="1155"/>
      <c r="AS67" s="1155"/>
      <c r="AT67" s="1155"/>
      <c r="AU67" s="1155"/>
      <c r="AV67" s="1155"/>
      <c r="AW67" s="1155"/>
      <c r="AX67" s="1155"/>
      <c r="AY67" s="1155"/>
      <c r="AZ67" s="1155"/>
      <c r="BA67" s="300"/>
    </row>
    <row r="68" spans="1:53" ht="11.25" customHeight="1">
      <c r="A68" s="1141" t="str">
        <f>ФОРМА!B9</f>
        <v>СЭС-23-32939-ЭС-ТКР2</v>
      </c>
      <c r="B68" s="1141"/>
      <c r="C68" s="1141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300"/>
    </row>
    <row r="69" spans="1:53" s="305" customFormat="1" ht="6" customHeight="1">
      <c r="A69" s="1149" t="s">
        <v>793</v>
      </c>
      <c r="B69" s="1149"/>
      <c r="C69" s="1149"/>
      <c r="D69" s="1149"/>
      <c r="E69" s="1149"/>
      <c r="F69" s="1149"/>
      <c r="G69" s="1149"/>
      <c r="H69" s="1149"/>
      <c r="I69" s="1149"/>
      <c r="J69" s="1149"/>
      <c r="K69" s="1149"/>
      <c r="L69" s="1149"/>
      <c r="M69" s="1149"/>
      <c r="N69" s="1149"/>
      <c r="O69" s="1149"/>
      <c r="P69" s="1149"/>
      <c r="Q69" s="1149"/>
      <c r="R69" s="1149"/>
      <c r="S69" s="1149"/>
      <c r="T69" s="1149"/>
      <c r="U69" s="1149"/>
      <c r="V69" s="1149"/>
      <c r="W69" s="1149"/>
      <c r="X69" s="1149"/>
      <c r="Y69" s="1149"/>
      <c r="Z69" s="1149"/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304"/>
    </row>
    <row r="70" spans="1:53" ht="13.15" customHeight="1">
      <c r="A70" s="1141" t="str">
        <f>ФОРМА!B8</f>
        <v>ООО «Строительные энергетические технологии»</v>
      </c>
      <c r="B70" s="1141"/>
      <c r="C70" s="1141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300"/>
    </row>
    <row r="71" spans="1:53" s="305" customFormat="1" ht="6" customHeight="1">
      <c r="A71" s="1149" t="s">
        <v>794</v>
      </c>
      <c r="B71" s="1149"/>
      <c r="C71" s="1149"/>
      <c r="D71" s="1149"/>
      <c r="E71" s="1149"/>
      <c r="F71" s="1149"/>
      <c r="G71" s="1149"/>
      <c r="H71" s="1149"/>
      <c r="I71" s="1149"/>
      <c r="J71" s="1149"/>
      <c r="K71" s="1149"/>
      <c r="L71" s="1149"/>
      <c r="M71" s="1149"/>
      <c r="N71" s="1149"/>
      <c r="O71" s="1149"/>
      <c r="P71" s="1149"/>
      <c r="Q71" s="1149"/>
      <c r="R71" s="1149"/>
      <c r="S71" s="1149"/>
      <c r="T71" s="1149"/>
      <c r="U71" s="1149"/>
      <c r="V71" s="1149"/>
      <c r="W71" s="1149"/>
      <c r="X71" s="1149"/>
      <c r="Y71" s="1149"/>
      <c r="Z71" s="1149"/>
      <c r="AA71" s="1149"/>
      <c r="AB71" s="1149"/>
      <c r="AC71" s="1149"/>
      <c r="AD71" s="1149"/>
      <c r="AE71" s="1149"/>
      <c r="AF71" s="1149"/>
      <c r="AG71" s="1149"/>
      <c r="AH71" s="1149"/>
      <c r="AI71" s="1149"/>
      <c r="AJ71" s="1149"/>
      <c r="AK71" s="1149"/>
      <c r="AL71" s="1149"/>
      <c r="AM71" s="1149"/>
      <c r="AN71" s="1149"/>
      <c r="AO71" s="1149"/>
      <c r="AP71" s="1149"/>
      <c r="AQ71" s="1149"/>
      <c r="AR71" s="1149"/>
      <c r="AS71" s="1149"/>
      <c r="AT71" s="1149"/>
      <c r="AU71" s="1149"/>
      <c r="AV71" s="1149"/>
      <c r="AW71" s="1149"/>
      <c r="AX71" s="1149"/>
      <c r="AY71" s="1149"/>
      <c r="AZ71" s="1149"/>
      <c r="BA71" s="1149"/>
    </row>
    <row r="72" spans="1:53" ht="13.15" customHeight="1">
      <c r="A72" s="1141" t="s">
        <v>726</v>
      </c>
      <c r="B72" s="1141"/>
      <c r="C72" s="1141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300"/>
    </row>
    <row r="73" spans="1:53" s="305" customFormat="1" ht="6" customHeight="1">
      <c r="A73" s="1149" t="s">
        <v>795</v>
      </c>
      <c r="B73" s="1149"/>
      <c r="C73" s="1149"/>
      <c r="D73" s="1149"/>
      <c r="E73" s="1149"/>
      <c r="F73" s="1149"/>
      <c r="G73" s="1149"/>
      <c r="H73" s="1149"/>
      <c r="I73" s="1149"/>
      <c r="J73" s="1149"/>
      <c r="K73" s="1149"/>
      <c r="L73" s="1149"/>
      <c r="M73" s="1149"/>
      <c r="N73" s="1149"/>
      <c r="O73" s="1149"/>
      <c r="P73" s="1149"/>
      <c r="Q73" s="1149"/>
      <c r="R73" s="1149"/>
      <c r="S73" s="1149"/>
      <c r="T73" s="1149"/>
      <c r="U73" s="1149"/>
      <c r="V73" s="1149"/>
      <c r="W73" s="1149"/>
      <c r="X73" s="1149"/>
      <c r="Y73" s="1149"/>
      <c r="Z73" s="1149"/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</row>
    <row r="74" spans="1:53" ht="12" customHeight="1">
      <c r="A74" s="1132" t="s">
        <v>593</v>
      </c>
      <c r="B74" s="1132"/>
      <c r="C74" s="1132"/>
      <c r="D74" s="1132"/>
      <c r="E74" s="1132"/>
      <c r="F74" s="1132"/>
      <c r="G74" s="1132"/>
      <c r="H74" s="1132"/>
      <c r="I74" s="1132"/>
      <c r="J74" s="1132"/>
      <c r="K74" s="1132"/>
      <c r="L74" s="1132"/>
      <c r="M74" s="1132"/>
      <c r="N74" s="1132"/>
      <c r="O74" s="1132"/>
      <c r="P74" s="1132"/>
      <c r="Q74" s="1132"/>
      <c r="R74" s="1132"/>
      <c r="S74" s="1132"/>
      <c r="T74" s="1132"/>
      <c r="U74" s="1132"/>
      <c r="V74" s="1132"/>
      <c r="W74" s="1132"/>
      <c r="X74" s="1132"/>
      <c r="Y74" s="1132"/>
      <c r="Z74" s="1132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42"/>
      <c r="V75" s="1142"/>
      <c r="W75" s="1142"/>
      <c r="X75" s="1142"/>
      <c r="Y75" s="1142"/>
      <c r="Z75" s="1142"/>
      <c r="AA75" s="1142"/>
      <c r="AB75" s="1142"/>
      <c r="AC75" s="1142"/>
      <c r="AD75" s="1142"/>
      <c r="AE75" s="1142"/>
      <c r="AF75" s="1142"/>
      <c r="AG75" s="1142"/>
      <c r="AH75" s="1142"/>
      <c r="AI75" s="1142"/>
      <c r="AJ75" s="1142"/>
      <c r="AK75" s="1142"/>
      <c r="AL75" s="1142"/>
      <c r="AM75" s="1142"/>
      <c r="AN75" s="1142"/>
      <c r="AO75" s="1142"/>
      <c r="AP75" s="1142"/>
      <c r="AQ75" s="1142"/>
      <c r="AR75" s="1142"/>
      <c r="AS75" s="1142"/>
      <c r="AT75" s="1142"/>
      <c r="AU75" s="1142"/>
      <c r="AV75" s="1142"/>
      <c r="AW75" s="1142"/>
      <c r="AX75" s="1142"/>
      <c r="AY75" s="1142"/>
      <c r="AZ75" s="1142"/>
      <c r="BA75" s="300"/>
    </row>
    <row r="76" spans="1:53" ht="11.25" customHeight="1">
      <c r="A76" s="1129" t="s">
        <v>86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29" t="s">
        <v>90</v>
      </c>
      <c r="B78" s="1129"/>
      <c r="C78" s="1129"/>
      <c r="D78" s="1129"/>
      <c r="E78" s="1129"/>
      <c r="F78" s="1129"/>
      <c r="G78" s="1129"/>
      <c r="H78" s="1129"/>
      <c r="I78" s="1129"/>
      <c r="J78" s="1141">
        <f>ФОРМА!F5</f>
        <v>2</v>
      </c>
      <c r="K78" s="1141"/>
      <c r="L78" s="1141"/>
      <c r="M78" s="1141"/>
      <c r="N78" s="1141"/>
      <c r="O78" s="1141"/>
      <c r="P78" s="1132" t="s">
        <v>796</v>
      </c>
      <c r="Q78" s="1129"/>
      <c r="R78" s="1129"/>
      <c r="S78" s="1129"/>
      <c r="T78" s="1129"/>
      <c r="U78" s="1129"/>
      <c r="V78" s="1129"/>
      <c r="W78" s="1129"/>
      <c r="X78" s="1129"/>
      <c r="Y78" s="1129"/>
      <c r="Z78" s="1129"/>
      <c r="AA78" s="1129"/>
      <c r="AB78" s="1129"/>
      <c r="AC78" s="1129"/>
      <c r="AD78" s="1129"/>
      <c r="AE78" s="1129"/>
      <c r="AF78" s="1129"/>
      <c r="AG78" s="1129"/>
      <c r="AH78" s="1129"/>
      <c r="AI78" s="1129"/>
      <c r="AJ78" s="1129"/>
      <c r="AK78" s="1129"/>
      <c r="AL78" s="1129"/>
      <c r="AM78" s="1129"/>
      <c r="AN78" s="1129"/>
      <c r="AO78" s="1129"/>
      <c r="AP78" s="1129"/>
      <c r="AQ78" s="1129"/>
      <c r="AR78" s="1129"/>
      <c r="AS78" s="1129"/>
      <c r="AT78" s="1129"/>
      <c r="AU78" s="1129"/>
      <c r="AV78" s="1129"/>
      <c r="AW78" s="1129"/>
      <c r="AX78" s="1129"/>
      <c r="AY78" s="1129"/>
      <c r="AZ78" s="1129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40" t="s">
        <v>87</v>
      </c>
      <c r="B80" s="1140"/>
      <c r="C80" s="1140"/>
      <c r="D80" s="1140"/>
      <c r="E80" s="1140"/>
      <c r="F80" s="1140"/>
      <c r="G80" s="1140"/>
      <c r="H80" s="1161" t="str">
        <f>ФОРМА!E19</f>
        <v>План строительства</v>
      </c>
      <c r="I80" s="1161"/>
      <c r="J80" s="1161"/>
      <c r="K80" s="1161"/>
      <c r="L80" s="1161"/>
      <c r="M80" s="1161"/>
      <c r="N80" s="1161"/>
      <c r="O80" s="1161"/>
      <c r="P80" s="1161"/>
      <c r="Q80" s="1161"/>
      <c r="R80" s="1161"/>
      <c r="S80" s="1161"/>
      <c r="T80" s="1161"/>
      <c r="U80" s="1161"/>
      <c r="V80" s="1161"/>
      <c r="W80" s="1161"/>
      <c r="X80" s="1161"/>
      <c r="Y80" s="1161"/>
      <c r="Z80" s="1161"/>
      <c r="AA80" s="1161"/>
      <c r="AB80" s="1161"/>
      <c r="AC80" s="1161"/>
      <c r="AD80" s="1161"/>
      <c r="AE80" s="1161"/>
      <c r="AF80" s="1161"/>
      <c r="AG80" s="1161"/>
      <c r="AH80" s="1161"/>
      <c r="AI80" s="1161"/>
      <c r="AJ80" s="1161"/>
      <c r="AK80" s="1161"/>
      <c r="AL80" s="1161"/>
      <c r="AM80" s="1161"/>
      <c r="AN80" s="1161"/>
      <c r="AO80" s="1161"/>
      <c r="AP80" s="1161"/>
      <c r="AQ80" s="1161"/>
      <c r="AR80" s="1161"/>
      <c r="AS80" s="1161"/>
      <c r="AT80" s="1161"/>
      <c r="AU80" s="1161"/>
      <c r="AV80" s="1161"/>
      <c r="AW80" s="1161"/>
      <c r="AX80" s="1161"/>
      <c r="AY80" s="1161"/>
      <c r="AZ80" s="1161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31" t="s">
        <v>797</v>
      </c>
      <c r="I81" s="1131"/>
      <c r="J81" s="1131"/>
      <c r="K81" s="1131"/>
      <c r="L81" s="1131"/>
      <c r="M81" s="1131"/>
      <c r="N81" s="1131"/>
      <c r="O81" s="1131"/>
      <c r="P81" s="1131"/>
      <c r="Q81" s="1131"/>
      <c r="R81" s="1131"/>
      <c r="S81" s="1131"/>
      <c r="T81" s="1131"/>
      <c r="U81" s="1131"/>
      <c r="V81" s="1131"/>
      <c r="W81" s="1131"/>
      <c r="X81" s="1131"/>
      <c r="Y81" s="1131"/>
      <c r="Z81" s="1131"/>
      <c r="AA81" s="1131"/>
      <c r="AB81" s="1131"/>
      <c r="AC81" s="1131"/>
      <c r="AD81" s="1131"/>
      <c r="AE81" s="1131"/>
      <c r="AF81" s="1131"/>
      <c r="AG81" s="1131"/>
      <c r="AH81" s="1131"/>
      <c r="AI81" s="1131"/>
      <c r="AJ81" s="1131"/>
      <c r="AK81" s="1131"/>
      <c r="AL81" s="1131"/>
      <c r="AM81" s="1131"/>
      <c r="AN81" s="1131"/>
      <c r="AO81" s="1131"/>
      <c r="AP81" s="1131"/>
      <c r="AQ81" s="1131"/>
      <c r="AR81" s="1131"/>
      <c r="AS81" s="1131"/>
      <c r="AT81" s="1131"/>
      <c r="AU81" s="1131"/>
      <c r="AV81" s="1131"/>
      <c r="AW81" s="1131"/>
      <c r="AX81" s="1131"/>
      <c r="AY81" s="1131"/>
      <c r="AZ81" s="1131"/>
      <c r="BA81" s="309"/>
    </row>
    <row r="82" spans="1:53" ht="21" customHeight="1">
      <c r="A82" s="1132" t="s">
        <v>798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1132"/>
      <c r="X82" s="1132"/>
      <c r="Y82" s="1132"/>
      <c r="Z82" s="1132"/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132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300"/>
    </row>
    <row r="83" spans="1:53" ht="30" customHeight="1">
      <c r="A83" s="1158" t="str">
        <f>IF(ПОДПИСИ!B9="",ПОДПИСИ!D6,ПОДПИСИ!D9)</f>
        <v>Филёва Н.О.</v>
      </c>
      <c r="B83" s="1158"/>
      <c r="C83" s="1158"/>
      <c r="D83" s="1158"/>
      <c r="E83" s="1158"/>
      <c r="F83" s="1158"/>
      <c r="G83" s="1158"/>
      <c r="H83" s="1158"/>
      <c r="I83" s="1158"/>
      <c r="J83" s="1158"/>
      <c r="K83" s="1158"/>
      <c r="L83" s="1158"/>
      <c r="M83" s="1158"/>
      <c r="N83" s="1158"/>
      <c r="O83" s="1158"/>
      <c r="P83" s="1158"/>
      <c r="Q83" s="1158"/>
      <c r="R83" s="1158"/>
      <c r="S83" s="1158"/>
      <c r="T83" s="1158"/>
      <c r="U83" s="1158"/>
      <c r="V83" s="1158"/>
      <c r="W83" s="1158"/>
      <c r="X83" s="1158"/>
      <c r="Y83" s="1158"/>
      <c r="Z83" s="1159"/>
      <c r="AA83" s="1159"/>
      <c r="AB83" s="1159"/>
      <c r="AC83" s="1159"/>
      <c r="AD83" s="1159"/>
      <c r="AE83" s="1159"/>
      <c r="AF83" s="1159"/>
      <c r="AG83" s="1159"/>
      <c r="AH83" s="1159"/>
      <c r="AI83" s="1159"/>
      <c r="AJ83" s="1159"/>
      <c r="AK83" s="1159"/>
      <c r="AL83" s="1159"/>
      <c r="AM83" s="1159"/>
      <c r="AN83" s="1159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  <c r="BA83" s="300"/>
    </row>
    <row r="84" spans="1:53" ht="6" customHeight="1">
      <c r="A84" s="1131" t="s">
        <v>799</v>
      </c>
      <c r="B84" s="1131"/>
      <c r="C84" s="1131"/>
      <c r="D84" s="1131"/>
      <c r="E84" s="1131"/>
      <c r="F84" s="1131"/>
      <c r="G84" s="1131"/>
      <c r="H84" s="1131"/>
      <c r="I84" s="1131"/>
      <c r="J84" s="1131"/>
      <c r="K84" s="1131"/>
      <c r="L84" s="1131"/>
      <c r="M84" s="1131"/>
      <c r="N84" s="1131"/>
      <c r="O84" s="1131"/>
      <c r="P84" s="1131"/>
      <c r="Q84" s="1131"/>
      <c r="R84" s="1131"/>
      <c r="S84" s="1131"/>
      <c r="T84" s="1131"/>
      <c r="U84" s="1131"/>
      <c r="V84" s="1131"/>
      <c r="W84" s="1131"/>
      <c r="X84" s="1131"/>
      <c r="Y84" s="113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31" t="s">
        <v>49</v>
      </c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57" t="s">
        <v>783</v>
      </c>
      <c r="B86" s="1157"/>
      <c r="C86" s="1157"/>
      <c r="D86" s="1157"/>
      <c r="E86" s="1157"/>
      <c r="F86" s="1157"/>
      <c r="G86" s="1157"/>
      <c r="H86" s="1157"/>
      <c r="I86" s="1157"/>
      <c r="J86" s="1157"/>
      <c r="K86" s="1157"/>
      <c r="L86" s="1157"/>
      <c r="M86" s="1157"/>
      <c r="N86" s="1157"/>
      <c r="O86" s="1157"/>
      <c r="P86" s="1157"/>
      <c r="Q86" s="1157"/>
      <c r="R86" s="1157"/>
      <c r="S86" s="1157"/>
      <c r="T86" s="1157"/>
      <c r="U86" s="1157"/>
      <c r="V86" s="1157"/>
      <c r="W86" s="1157"/>
      <c r="X86" s="1157"/>
      <c r="Y86" s="1157"/>
      <c r="Z86" s="1157"/>
      <c r="AA86" s="1157"/>
      <c r="AB86" s="1157"/>
      <c r="AC86" s="1157"/>
      <c r="AD86" s="1157"/>
      <c r="AE86" s="1157"/>
      <c r="AF86" s="1157"/>
      <c r="AG86" s="1157"/>
      <c r="AH86" s="1157"/>
      <c r="AI86" s="1157"/>
      <c r="AJ86" s="1157"/>
      <c r="AK86" s="1157"/>
      <c r="AL86" s="1157"/>
      <c r="AM86" s="1157"/>
      <c r="AN86" s="1157"/>
      <c r="AO86" s="1157"/>
      <c r="AP86" s="1157"/>
      <c r="AQ86" s="1157"/>
      <c r="AR86" s="1157"/>
      <c r="AS86" s="1157"/>
      <c r="AT86" s="1157"/>
      <c r="AU86" s="1157"/>
      <c r="AV86" s="1157"/>
      <c r="AW86" s="1157"/>
      <c r="AX86" s="1157"/>
      <c r="AY86" s="1157"/>
      <c r="AZ86" s="1157"/>
      <c r="BA86" s="300"/>
    </row>
    <row r="87" spans="1:53" ht="39" customHeight="1">
      <c r="A87" s="1158" t="str">
        <f>ПОДПИСИ!D15</f>
        <v>Матвеев А.С.</v>
      </c>
      <c r="B87" s="1158"/>
      <c r="C87" s="1158"/>
      <c r="D87" s="1158"/>
      <c r="E87" s="1158"/>
      <c r="F87" s="1158"/>
      <c r="G87" s="1158"/>
      <c r="H87" s="1158"/>
      <c r="I87" s="1158"/>
      <c r="J87" s="1158"/>
      <c r="K87" s="1158"/>
      <c r="L87" s="1158"/>
      <c r="M87" s="1158"/>
      <c r="N87" s="1158"/>
      <c r="O87" s="1158"/>
      <c r="P87" s="1158"/>
      <c r="Q87" s="1158"/>
      <c r="R87" s="1158"/>
      <c r="S87" s="1158"/>
      <c r="T87" s="1158"/>
      <c r="U87" s="1158"/>
      <c r="V87" s="1158"/>
      <c r="W87" s="1158"/>
      <c r="X87" s="1158"/>
      <c r="Y87" s="1158"/>
      <c r="Z87" s="1159"/>
      <c r="AA87" s="1159"/>
      <c r="AB87" s="1159"/>
      <c r="AC87" s="1159"/>
      <c r="AD87" s="1159"/>
      <c r="AE87" s="1159"/>
      <c r="AF87" s="1159"/>
      <c r="AG87" s="1159"/>
      <c r="AH87" s="1159"/>
      <c r="AI87" s="1159"/>
      <c r="AJ87" s="1159"/>
      <c r="AK87" s="1159"/>
      <c r="AL87" s="1159"/>
      <c r="AM87" s="1159"/>
      <c r="AN87" s="1159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300"/>
    </row>
    <row r="88" spans="1:53" ht="6" customHeight="1">
      <c r="A88" s="1131" t="s">
        <v>799</v>
      </c>
      <c r="B88" s="1131"/>
      <c r="C88" s="1131"/>
      <c r="D88" s="1131"/>
      <c r="E88" s="1131"/>
      <c r="F88" s="1131"/>
      <c r="G88" s="1131"/>
      <c r="H88" s="1131"/>
      <c r="I88" s="1131"/>
      <c r="J88" s="1131"/>
      <c r="K88" s="1131"/>
      <c r="L88" s="1131"/>
      <c r="M88" s="1131"/>
      <c r="N88" s="1131"/>
      <c r="O88" s="1131"/>
      <c r="P88" s="1131"/>
      <c r="Q88" s="1131"/>
      <c r="R88" s="1131"/>
      <c r="S88" s="1131"/>
      <c r="T88" s="1131"/>
      <c r="U88" s="1131"/>
      <c r="V88" s="1131"/>
      <c r="W88" s="1131"/>
      <c r="X88" s="1131"/>
      <c r="Y88" s="113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31" t="s">
        <v>49</v>
      </c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32" t="s">
        <v>800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1132"/>
      <c r="X90" s="1132"/>
      <c r="Y90" s="1132"/>
      <c r="Z90" s="1132"/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300"/>
    </row>
    <row r="91" spans="1:53" ht="39" customHeight="1">
      <c r="A91" s="1158" t="str">
        <f>ПОДПИСИ!D17</f>
        <v>Матвеев А.С.</v>
      </c>
      <c r="B91" s="1158"/>
      <c r="C91" s="1158"/>
      <c r="D91" s="1158"/>
      <c r="E91" s="1158"/>
      <c r="F91" s="1158"/>
      <c r="G91" s="1158"/>
      <c r="H91" s="1158"/>
      <c r="I91" s="1158"/>
      <c r="J91" s="1158"/>
      <c r="K91" s="1158"/>
      <c r="L91" s="1158"/>
      <c r="M91" s="1158"/>
      <c r="N91" s="1158"/>
      <c r="O91" s="1158"/>
      <c r="P91" s="1158"/>
      <c r="Q91" s="1158"/>
      <c r="R91" s="1158"/>
      <c r="S91" s="1158"/>
      <c r="T91" s="1158"/>
      <c r="U91" s="1158"/>
      <c r="V91" s="1158"/>
      <c r="W91" s="1158"/>
      <c r="X91" s="1158"/>
      <c r="Y91" s="1158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62" t="s">
        <v>64</v>
      </c>
      <c r="AP91" s="1162"/>
      <c r="AQ91" s="1162"/>
      <c r="AR91" s="1162"/>
      <c r="AS91" s="1162"/>
      <c r="AT91" s="1162"/>
      <c r="AU91" s="1162"/>
      <c r="AV91" s="1162"/>
      <c r="AW91" s="1162"/>
      <c r="AX91" s="1162"/>
      <c r="AY91" s="1162"/>
      <c r="AZ91" s="1162"/>
      <c r="BA91" s="300"/>
    </row>
    <row r="92" spans="1:53" ht="6" customHeight="1">
      <c r="A92" s="1131" t="s">
        <v>799</v>
      </c>
      <c r="B92" s="1131"/>
      <c r="C92" s="1131"/>
      <c r="D92" s="1131"/>
      <c r="E92" s="1131"/>
      <c r="F92" s="1131"/>
      <c r="G92" s="1131"/>
      <c r="H92" s="1131"/>
      <c r="I92" s="1131"/>
      <c r="J92" s="1131"/>
      <c r="K92" s="1131"/>
      <c r="L92" s="1131"/>
      <c r="M92" s="1131"/>
      <c r="N92" s="1131"/>
      <c r="O92" s="1131"/>
      <c r="P92" s="1131"/>
      <c r="Q92" s="1131"/>
      <c r="R92" s="1131"/>
      <c r="S92" s="1131"/>
      <c r="T92" s="1131"/>
      <c r="U92" s="1131"/>
      <c r="V92" s="1131"/>
      <c r="W92" s="1131"/>
      <c r="X92" s="1131"/>
      <c r="Y92" s="113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31" t="s">
        <v>49</v>
      </c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32" t="s">
        <v>801</v>
      </c>
      <c r="B94" s="1129"/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V94" s="1129"/>
      <c r="AW94" s="1129"/>
      <c r="AX94" s="1129"/>
      <c r="AY94" s="1129"/>
      <c r="AZ94" s="1129"/>
      <c r="BA94" s="300"/>
    </row>
    <row r="95" spans="1:53" ht="39" customHeight="1">
      <c r="A95" s="1158" t="str">
        <f>ПОДПИСИ!D19</f>
        <v xml:space="preserve"> </v>
      </c>
      <c r="B95" s="1158"/>
      <c r="C95" s="1158"/>
      <c r="D95" s="1158"/>
      <c r="E95" s="1158"/>
      <c r="F95" s="1158"/>
      <c r="G95" s="1158"/>
      <c r="H95" s="1158"/>
      <c r="I95" s="1158"/>
      <c r="J95" s="1158"/>
      <c r="K95" s="1158"/>
      <c r="L95" s="1158"/>
      <c r="M95" s="1158"/>
      <c r="N95" s="1158"/>
      <c r="O95" s="1158"/>
      <c r="P95" s="1158"/>
      <c r="Q95" s="1158"/>
      <c r="R95" s="1158"/>
      <c r="S95" s="1158"/>
      <c r="T95" s="1158"/>
      <c r="U95" s="1158"/>
      <c r="V95" s="1158"/>
      <c r="W95" s="1158"/>
      <c r="X95" s="1158"/>
      <c r="Y95" s="1158"/>
      <c r="Z95" s="1159"/>
      <c r="AA95" s="1159"/>
      <c r="AB95" s="1159"/>
      <c r="AC95" s="1159"/>
      <c r="AD95" s="1159"/>
      <c r="AE95" s="1159"/>
      <c r="AF95" s="1159"/>
      <c r="AG95" s="1159"/>
      <c r="AH95" s="1159"/>
      <c r="AI95" s="1159"/>
      <c r="AJ95" s="1159"/>
      <c r="AK95" s="1159"/>
      <c r="AL95" s="1159"/>
      <c r="AM95" s="1159"/>
      <c r="AN95" s="1159"/>
      <c r="AO95" s="1162" t="s">
        <v>64</v>
      </c>
      <c r="AP95" s="1162"/>
      <c r="AQ95" s="1162"/>
      <c r="AR95" s="1162"/>
      <c r="AS95" s="1162"/>
      <c r="AT95" s="1162"/>
      <c r="AU95" s="1162"/>
      <c r="AV95" s="1162"/>
      <c r="AW95" s="1162"/>
      <c r="AX95" s="1162"/>
      <c r="AY95" s="1162"/>
      <c r="AZ95" s="1162"/>
      <c r="BA95" s="312"/>
    </row>
    <row r="96" spans="1:53" ht="6" customHeight="1">
      <c r="A96" s="1131" t="s">
        <v>799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  <c r="L96" s="1131"/>
      <c r="M96" s="1131"/>
      <c r="N96" s="1131"/>
      <c r="O96" s="1131"/>
      <c r="P96" s="1131"/>
      <c r="Q96" s="1131"/>
      <c r="R96" s="1131"/>
      <c r="S96" s="1131"/>
      <c r="T96" s="1131"/>
      <c r="U96" s="1131"/>
      <c r="V96" s="1131"/>
      <c r="W96" s="1131"/>
      <c r="X96" s="1131"/>
      <c r="Y96" s="113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31" t="s">
        <v>49</v>
      </c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32" t="s">
        <v>789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13"/>
    </row>
    <row r="99" spans="1:55" ht="39" customHeight="1">
      <c r="A99" s="1158" t="str">
        <f>ПОДПИСИ!D14</f>
        <v>Алексеенков Д.С.</v>
      </c>
      <c r="B99" s="1158"/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8"/>
      <c r="P99" s="1158"/>
      <c r="Q99" s="1158"/>
      <c r="R99" s="1158"/>
      <c r="S99" s="1158"/>
      <c r="T99" s="1158"/>
      <c r="U99" s="1158"/>
      <c r="V99" s="1158"/>
      <c r="W99" s="1158"/>
      <c r="X99" s="1158"/>
      <c r="Y99" s="1158"/>
      <c r="Z99" s="1159"/>
      <c r="AA99" s="1159"/>
      <c r="AB99" s="1159"/>
      <c r="AC99" s="1159"/>
      <c r="AD99" s="1159"/>
      <c r="AE99" s="1159"/>
      <c r="AF99" s="1159"/>
      <c r="AG99" s="1159"/>
      <c r="AH99" s="1159"/>
      <c r="AI99" s="1159"/>
      <c r="AJ99" s="1159"/>
      <c r="AK99" s="1159"/>
      <c r="AL99" s="1159"/>
      <c r="AM99" s="1159"/>
      <c r="AN99" s="1159"/>
      <c r="AO99" s="1160"/>
      <c r="AP99" s="1160"/>
      <c r="AQ99" s="1160"/>
      <c r="AR99" s="1160"/>
      <c r="AS99" s="1160"/>
      <c r="AT99" s="1160"/>
      <c r="AU99" s="1160"/>
      <c r="AV99" s="1160"/>
      <c r="AW99" s="1160"/>
      <c r="AX99" s="1160"/>
      <c r="AY99" s="1160"/>
      <c r="AZ99" s="1160"/>
      <c r="BA99" s="315"/>
      <c r="BB99" s="316"/>
      <c r="BC99" s="316"/>
    </row>
    <row r="100" spans="1:55" s="305" customFormat="1" ht="6" customHeight="1">
      <c r="A100" s="1131" t="s">
        <v>799</v>
      </c>
      <c r="B100" s="1131"/>
      <c r="C100" s="1131"/>
      <c r="D100" s="1131"/>
      <c r="E100" s="1131"/>
      <c r="F100" s="1131"/>
      <c r="G100" s="1131"/>
      <c r="H100" s="1131"/>
      <c r="I100" s="1131"/>
      <c r="J100" s="1131"/>
      <c r="K100" s="1131"/>
      <c r="L100" s="1131"/>
      <c r="M100" s="1131"/>
      <c r="N100" s="1131"/>
      <c r="O100" s="1131"/>
      <c r="P100" s="1131"/>
      <c r="Q100" s="1131"/>
      <c r="R100" s="1131"/>
      <c r="S100" s="1131"/>
      <c r="T100" s="1131"/>
      <c r="U100" s="1131"/>
      <c r="V100" s="1131"/>
      <c r="W100" s="1131"/>
      <c r="X100" s="1131"/>
      <c r="Y100" s="113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31" t="s">
        <v>49</v>
      </c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304"/>
    </row>
    <row r="101" spans="1:55">
      <c r="A101" s="1163" t="s">
        <v>942</v>
      </c>
      <c r="B101" s="1163"/>
      <c r="C101" s="1163"/>
      <c r="D101" s="1163"/>
      <c r="E101" s="1163"/>
      <c r="F101" s="1163"/>
      <c r="G101" s="1163"/>
      <c r="H101" s="1163"/>
      <c r="I101" s="1163"/>
      <c r="J101" s="1163"/>
      <c r="K101" s="1163"/>
      <c r="L101" s="1163"/>
      <c r="M101" s="1163"/>
      <c r="N101" s="1163"/>
      <c r="O101" s="1163"/>
      <c r="P101" s="1163"/>
      <c r="Q101" s="1163"/>
      <c r="R101" s="1163"/>
      <c r="S101" s="1163"/>
      <c r="T101" s="1163"/>
      <c r="U101" s="1163"/>
      <c r="V101" s="1163"/>
      <c r="W101" s="1163"/>
      <c r="X101" s="1163"/>
      <c r="Y101" s="1163"/>
      <c r="Z101" s="1163"/>
      <c r="AA101" s="1163"/>
      <c r="AB101" s="1163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V101" s="1163"/>
      <c r="AW101" s="1163"/>
      <c r="AX101" s="1163"/>
      <c r="AY101" s="1163"/>
      <c r="AZ101" s="1163"/>
    </row>
    <row r="102" spans="1:55" ht="39" customHeight="1">
      <c r="A102" s="1158" t="str">
        <f>IF(ПОДПИСИ!D9="","",ПОДПИСИ!D6)</f>
        <v>Чечин Д.М.</v>
      </c>
      <c r="B102" s="1158"/>
      <c r="C102" s="1158"/>
      <c r="D102" s="1158"/>
      <c r="E102" s="1158"/>
      <c r="F102" s="1158"/>
      <c r="G102" s="1158"/>
      <c r="H102" s="1158"/>
      <c r="I102" s="1158"/>
      <c r="J102" s="1158"/>
      <c r="K102" s="1158"/>
      <c r="L102" s="1158"/>
      <c r="M102" s="1158"/>
      <c r="N102" s="1158"/>
      <c r="O102" s="1158"/>
      <c r="P102" s="1158"/>
      <c r="Q102" s="1158"/>
      <c r="R102" s="1158"/>
      <c r="S102" s="1158"/>
      <c r="T102" s="1158"/>
      <c r="U102" s="1158"/>
      <c r="V102" s="1158"/>
      <c r="W102" s="1158"/>
      <c r="X102" s="1158"/>
      <c r="Y102" s="1158"/>
      <c r="Z102" s="1159"/>
      <c r="AA102" s="1159"/>
      <c r="AB102" s="1159"/>
      <c r="AC102" s="1159"/>
      <c r="AD102" s="1159"/>
      <c r="AE102" s="1159"/>
      <c r="AF102" s="1159"/>
      <c r="AG102" s="1159"/>
      <c r="AH102" s="1159"/>
      <c r="AI102" s="1159"/>
      <c r="AJ102" s="1159"/>
      <c r="AK102" s="1159"/>
      <c r="AL102" s="1159"/>
      <c r="AM102" s="1159"/>
      <c r="AN102" s="1159"/>
      <c r="AO102" s="1160"/>
      <c r="AP102" s="1160"/>
      <c r="AQ102" s="1160"/>
      <c r="AR102" s="1160"/>
      <c r="AS102" s="1160"/>
      <c r="AT102" s="1160"/>
      <c r="AU102" s="1160"/>
      <c r="AV102" s="1160"/>
      <c r="AW102" s="1160"/>
      <c r="AX102" s="1160"/>
      <c r="AY102" s="1160"/>
      <c r="AZ102" s="1160"/>
    </row>
    <row r="103" spans="1:55" ht="6" customHeight="1">
      <c r="A103" s="1131" t="s">
        <v>799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  <c r="L103" s="1131"/>
      <c r="M103" s="1131"/>
      <c r="N103" s="1131"/>
      <c r="O103" s="1131"/>
      <c r="P103" s="1131"/>
      <c r="Q103" s="1131"/>
      <c r="R103" s="1131"/>
      <c r="S103" s="1131"/>
      <c r="T103" s="1131"/>
      <c r="U103" s="1131"/>
      <c r="V103" s="1131"/>
      <c r="W103" s="1131"/>
      <c r="X103" s="1131"/>
      <c r="Y103" s="113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31" t="s">
        <v>49</v>
      </c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  <pageSetUpPr fitToPage="1"/>
  </sheetPr>
  <dimension ref="A1:BK103"/>
  <sheetViews>
    <sheetView view="pageBreakPreview" topLeftCell="A55" zoomScale="60" zoomScaleNormal="100" workbookViewId="0">
      <selection sqref="A1:AZ1"/>
    </sheetView>
  </sheetViews>
  <sheetFormatPr defaultRowHeight="14" outlineLevelRow="1"/>
  <cols>
    <col min="1" max="52" width="1.7265625" style="284" customWidth="1"/>
    <col min="53" max="53" width="0.1796875" style="284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28" t="s">
        <v>567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</row>
    <row r="2" spans="1:63" ht="12" customHeight="1">
      <c r="A2" s="1129" t="s">
        <v>72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1" t="s">
        <v>515</v>
      </c>
      <c r="B4" s="1131"/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1131"/>
      <c r="N4" s="1131"/>
      <c r="O4" s="1131"/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131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32" t="s">
        <v>771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1132"/>
      <c r="O5" s="1132"/>
      <c r="P5" s="1132"/>
      <c r="Q5" s="1132"/>
      <c r="R5" s="1132"/>
      <c r="S5" s="1132"/>
      <c r="T5" s="1132"/>
      <c r="U5" s="1132"/>
      <c r="V5" s="1132"/>
      <c r="W5" s="1132"/>
      <c r="X5" s="1132"/>
      <c r="Y5" s="1132"/>
      <c r="Z5" s="1132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132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31" t="s">
        <v>772</v>
      </c>
      <c r="B7" s="1131"/>
      <c r="C7" s="1131"/>
      <c r="D7" s="1131"/>
      <c r="E7" s="1131"/>
      <c r="F7" s="1131"/>
      <c r="G7" s="1131"/>
      <c r="H7" s="1131"/>
      <c r="I7" s="1131"/>
      <c r="J7" s="1131"/>
      <c r="K7" s="1131"/>
      <c r="L7" s="1131"/>
      <c r="M7" s="1131"/>
      <c r="N7" s="1131"/>
      <c r="O7" s="1131"/>
      <c r="P7" s="1131"/>
      <c r="Q7" s="1131"/>
      <c r="R7" s="1131"/>
      <c r="S7" s="1131"/>
      <c r="T7" s="1131"/>
      <c r="U7" s="1131"/>
      <c r="V7" s="1131"/>
      <c r="W7" s="1131"/>
      <c r="X7" s="1131"/>
      <c r="Y7" s="1131"/>
      <c r="Z7" s="1131"/>
      <c r="AA7" s="1131"/>
      <c r="AB7" s="1131"/>
      <c r="AC7" s="1131"/>
      <c r="AD7" s="1131"/>
      <c r="AE7" s="1131"/>
      <c r="AF7" s="1131"/>
      <c r="AG7" s="1131"/>
      <c r="AH7" s="1131"/>
      <c r="AI7" s="1131"/>
      <c r="AJ7" s="1131"/>
      <c r="AK7" s="1131"/>
      <c r="AL7" s="1131"/>
      <c r="AM7" s="1131"/>
      <c r="AN7" s="1131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34" t="s">
        <v>773</v>
      </c>
      <c r="B9" s="1134"/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  <c r="AJ9" s="1134"/>
      <c r="AK9" s="1134"/>
      <c r="AL9" s="1134"/>
      <c r="AM9" s="1134"/>
      <c r="AN9" s="1134"/>
      <c r="AO9" s="1134"/>
      <c r="AP9" s="1134"/>
      <c r="AQ9" s="1134"/>
      <c r="AR9" s="1134"/>
      <c r="AS9" s="1134"/>
      <c r="AT9" s="1134"/>
      <c r="AU9" s="1134"/>
      <c r="AV9" s="1134"/>
      <c r="AW9" s="1134"/>
      <c r="AX9" s="1134"/>
      <c r="AY9" s="1134"/>
      <c r="AZ9" s="11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">
      <c r="A10" s="1137"/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36" t="s">
        <v>774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29" t="s">
        <v>775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33" t="str">
        <f>ФОРМА!B3</f>
        <v>ООО «БЭСК»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</row>
    <row r="14" spans="1:63" s="302" customFormat="1" ht="6" customHeight="1">
      <c r="A14" s="1131" t="s">
        <v>776</v>
      </c>
      <c r="B14" s="1131"/>
      <c r="C14" s="1131"/>
      <c r="D14" s="1131"/>
      <c r="E14" s="1131"/>
      <c r="F14" s="1131"/>
      <c r="G14" s="1131"/>
      <c r="H14" s="1131"/>
      <c r="I14" s="1131"/>
      <c r="J14" s="1131"/>
      <c r="K14" s="1131"/>
      <c r="L14" s="1131"/>
      <c r="M14" s="1131"/>
      <c r="N14" s="1131"/>
      <c r="O14" s="1131"/>
      <c r="P14" s="1131"/>
      <c r="Q14" s="1131"/>
      <c r="R14" s="1131"/>
      <c r="S14" s="1131"/>
      <c r="T14" s="1131"/>
      <c r="U14" s="1131"/>
      <c r="V14" s="1131"/>
      <c r="W14" s="1131"/>
      <c r="X14" s="1131"/>
      <c r="Y14" s="1131"/>
      <c r="Z14" s="1131"/>
      <c r="AA14" s="1131"/>
      <c r="AB14" s="1131"/>
      <c r="AC14" s="1131"/>
      <c r="AD14" s="1131"/>
      <c r="AE14" s="1131"/>
      <c r="AF14" s="1131"/>
      <c r="AG14" s="1131"/>
      <c r="AH14" s="1131"/>
      <c r="AI14" s="1131"/>
      <c r="AJ14" s="1131"/>
      <c r="AK14" s="1131"/>
      <c r="AL14" s="1131"/>
      <c r="AM14" s="1131"/>
      <c r="AN14" s="1131"/>
      <c r="AO14" s="1131"/>
      <c r="AP14" s="1131"/>
      <c r="AQ14" s="1131"/>
      <c r="AR14" s="1131"/>
      <c r="AS14" s="1131"/>
      <c r="AT14" s="1131"/>
      <c r="AU14" s="1131"/>
      <c r="AV14" s="1131"/>
      <c r="AW14" s="1131"/>
      <c r="AX14" s="1131"/>
      <c r="AY14" s="1131"/>
      <c r="AZ14" s="1131"/>
      <c r="BA14" s="301"/>
    </row>
    <row r="15" spans="1:63" ht="23.5" customHeight="1">
      <c r="A15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</row>
    <row r="16" spans="1:63" s="302" customFormat="1" ht="6" customHeight="1">
      <c r="A16" s="1134" t="s">
        <v>777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301"/>
    </row>
    <row r="17" spans="1:53" s="302" customFormat="1" ht="9">
      <c r="A17" s="1135"/>
      <c r="B17" s="1135"/>
      <c r="C17" s="1135"/>
      <c r="D17" s="1135"/>
      <c r="E17" s="1135"/>
      <c r="F17" s="1135"/>
      <c r="G17" s="1135"/>
      <c r="H17" s="1135"/>
      <c r="I17" s="1135"/>
      <c r="J17" s="1135"/>
      <c r="K17" s="1135"/>
      <c r="L17" s="1135"/>
      <c r="M17" s="1135"/>
      <c r="N17" s="1135"/>
      <c r="O17" s="1135"/>
      <c r="P17" s="1135"/>
      <c r="Q17" s="1135"/>
      <c r="R17" s="1135"/>
      <c r="S17" s="1135"/>
      <c r="T17" s="1135"/>
      <c r="U17" s="1135"/>
      <c r="V17" s="1135"/>
      <c r="W17" s="1135"/>
      <c r="X17" s="1135"/>
      <c r="Y17" s="1135"/>
      <c r="Z17" s="1135"/>
      <c r="AA17" s="1135"/>
      <c r="AB17" s="1135"/>
      <c r="AC17" s="1135"/>
      <c r="AD17" s="1135"/>
      <c r="AE17" s="1135"/>
      <c r="AF17" s="1135"/>
      <c r="AG17" s="1135"/>
      <c r="AH17" s="1135"/>
      <c r="AI17" s="1135"/>
      <c r="AJ17" s="1135"/>
      <c r="AK17" s="1135"/>
      <c r="AL17" s="1135"/>
      <c r="AM17" s="1135"/>
      <c r="AN17" s="1135"/>
      <c r="AO17" s="1135"/>
      <c r="AP17" s="1135"/>
      <c r="AQ17" s="1135"/>
      <c r="AR17" s="1135"/>
      <c r="AS17" s="1135"/>
      <c r="AT17" s="1135"/>
      <c r="AU17" s="1135"/>
      <c r="AV17" s="1135"/>
      <c r="AW17" s="1135"/>
      <c r="AX17" s="1135"/>
      <c r="AY17" s="1135"/>
      <c r="AZ17" s="1135"/>
      <c r="BA17" s="301"/>
    </row>
    <row r="18" spans="1:53" s="302" customFormat="1" ht="15" customHeight="1">
      <c r="A18" s="1136" t="s">
        <v>778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01"/>
    </row>
    <row r="19" spans="1:53" ht="12" customHeight="1">
      <c r="A19" s="1129" t="s">
        <v>74</v>
      </c>
      <c r="B19" s="1129"/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1129"/>
      <c r="N19" s="1129"/>
      <c r="O19" s="1129"/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29"/>
      <c r="AM19" s="1129"/>
      <c r="AN19" s="1129"/>
      <c r="AO19" s="1129"/>
      <c r="AP19" s="1129"/>
      <c r="AQ19" s="1129"/>
      <c r="AR19" s="1129"/>
      <c r="AS19" s="1129"/>
      <c r="AT19" s="1129"/>
      <c r="AU19" s="1129"/>
      <c r="AV19" s="1129"/>
      <c r="AW19" s="1129"/>
      <c r="AX19" s="1129"/>
      <c r="AY19" s="1129"/>
      <c r="AZ19" s="1129"/>
      <c r="BA19" s="300"/>
    </row>
    <row r="20" spans="1:53" ht="12" customHeight="1">
      <c r="A20" s="1133" t="str">
        <f>ФОРМА!B8</f>
        <v>ООО «Строительные энергетические технологии»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</row>
    <row r="21" spans="1:53" s="305" customFormat="1" ht="6" customHeight="1">
      <c r="A21" s="1131" t="s">
        <v>776</v>
      </c>
      <c r="B21" s="1131"/>
      <c r="C21" s="1131"/>
      <c r="D21" s="1131"/>
      <c r="E21" s="1131"/>
      <c r="F21" s="1131"/>
      <c r="G21" s="1131"/>
      <c r="H21" s="1131"/>
      <c r="I21" s="1131"/>
      <c r="J21" s="1131"/>
      <c r="K21" s="1131"/>
      <c r="L21" s="1131"/>
      <c r="M21" s="1131"/>
      <c r="N21" s="1131"/>
      <c r="O21" s="1131"/>
      <c r="P21" s="1131"/>
      <c r="Q21" s="1131"/>
      <c r="R21" s="1131"/>
      <c r="S21" s="1131"/>
      <c r="T21" s="1131"/>
      <c r="U21" s="1131"/>
      <c r="V21" s="1131"/>
      <c r="W21" s="1131"/>
      <c r="X21" s="1131"/>
      <c r="Y21" s="1131"/>
      <c r="Z21" s="1131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304"/>
    </row>
    <row r="22" spans="1:53" ht="21.65" customHeight="1">
      <c r="A22" s="11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300"/>
    </row>
    <row r="23" spans="1:53" s="305" customFormat="1" ht="9">
      <c r="A23" s="1134" t="s">
        <v>773</v>
      </c>
      <c r="B23" s="1134"/>
      <c r="C23" s="1134"/>
      <c r="D23" s="1134"/>
      <c r="E23" s="1134"/>
      <c r="F23" s="1134"/>
      <c r="G23" s="1134"/>
      <c r="H23" s="1134"/>
      <c r="I23" s="1134"/>
      <c r="J23" s="1134"/>
      <c r="K23" s="1134"/>
      <c r="L23" s="1134"/>
      <c r="M23" s="1134"/>
      <c r="N23" s="1134"/>
      <c r="O23" s="1134"/>
      <c r="P23" s="1134"/>
      <c r="Q23" s="1134"/>
      <c r="R23" s="1134"/>
      <c r="S23" s="1134"/>
      <c r="T23" s="1134"/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304"/>
    </row>
    <row r="24" spans="1:53" s="305" customFormat="1" ht="10.5" customHeight="1">
      <c r="A24" s="1135"/>
      <c r="B24" s="1135"/>
      <c r="C24" s="1135"/>
      <c r="D24" s="1135"/>
      <c r="E24" s="1135"/>
      <c r="F24" s="1135"/>
      <c r="G24" s="1135"/>
      <c r="H24" s="1135"/>
      <c r="I24" s="1135"/>
      <c r="J24" s="1135"/>
      <c r="K24" s="1135"/>
      <c r="L24" s="1135"/>
      <c r="M24" s="1135"/>
      <c r="N24" s="1135"/>
      <c r="O24" s="1135"/>
      <c r="P24" s="1135"/>
      <c r="Q24" s="1135"/>
      <c r="R24" s="1135"/>
      <c r="S24" s="1135"/>
      <c r="T24" s="1135"/>
      <c r="U24" s="1135"/>
      <c r="V24" s="1135"/>
      <c r="W24" s="1135"/>
      <c r="X24" s="1135"/>
      <c r="Y24" s="1135"/>
      <c r="Z24" s="1135"/>
      <c r="AA24" s="1135"/>
      <c r="AB24" s="1135"/>
      <c r="AC24" s="1135"/>
      <c r="AD24" s="1135"/>
      <c r="AE24" s="1135"/>
      <c r="AF24" s="1135"/>
      <c r="AG24" s="1135"/>
      <c r="AH24" s="1135"/>
      <c r="AI24" s="1135"/>
      <c r="AJ24" s="1135"/>
      <c r="AK24" s="1135"/>
      <c r="AL24" s="1135"/>
      <c r="AM24" s="1135"/>
      <c r="AN24" s="1135"/>
      <c r="AO24" s="1135"/>
      <c r="AP24" s="1135"/>
      <c r="AQ24" s="1135"/>
      <c r="AR24" s="1135"/>
      <c r="AS24" s="1135"/>
      <c r="AT24" s="1135"/>
      <c r="AU24" s="1135"/>
      <c r="AV24" s="1135"/>
      <c r="AW24" s="1135"/>
      <c r="AX24" s="1135"/>
      <c r="AY24" s="1135"/>
      <c r="AZ24" s="1135"/>
      <c r="BA24" s="304"/>
    </row>
    <row r="25" spans="1:53" s="305" customFormat="1" ht="15" customHeight="1">
      <c r="A25" s="1136" t="s">
        <v>779</v>
      </c>
      <c r="B25" s="1136"/>
      <c r="C25" s="1136"/>
      <c r="D25" s="1136"/>
      <c r="E25" s="1136"/>
      <c r="F25" s="1136"/>
      <c r="G25" s="1136"/>
      <c r="H25" s="1136"/>
      <c r="I25" s="1136"/>
      <c r="J25" s="1136"/>
      <c r="K25" s="1136"/>
      <c r="L25" s="1136"/>
      <c r="M25" s="1136"/>
      <c r="N25" s="1136"/>
      <c r="O25" s="1136"/>
      <c r="P25" s="1136"/>
      <c r="Q25" s="1136"/>
      <c r="R25" s="1136"/>
      <c r="S25" s="1136"/>
      <c r="T25" s="1136"/>
      <c r="U25" s="1136"/>
      <c r="V25" s="1136"/>
      <c r="W25" s="1136"/>
      <c r="X25" s="1136"/>
      <c r="Y25" s="1136"/>
      <c r="Z25" s="1136"/>
      <c r="AA25" s="1136"/>
      <c r="AB25" s="1136"/>
      <c r="AC25" s="1136"/>
      <c r="AD25" s="1136"/>
      <c r="AE25" s="1136"/>
      <c r="AF25" s="1136"/>
      <c r="AG25" s="1136"/>
      <c r="AH25" s="1136"/>
      <c r="AI25" s="1136"/>
      <c r="AJ25" s="1136"/>
      <c r="AK25" s="1136"/>
      <c r="AL25" s="1136"/>
      <c r="AM25" s="1136"/>
      <c r="AN25" s="1136"/>
      <c r="AO25" s="1136"/>
      <c r="AP25" s="1136"/>
      <c r="AQ25" s="1136"/>
      <c r="AR25" s="1136"/>
      <c r="AS25" s="1136"/>
      <c r="AT25" s="1136"/>
      <c r="AU25" s="1136"/>
      <c r="AV25" s="1136"/>
      <c r="AW25" s="1136"/>
      <c r="AX25" s="1136"/>
      <c r="AY25" s="1136"/>
      <c r="AZ25" s="11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38" t="s">
        <v>592</v>
      </c>
      <c r="B27" s="1139"/>
      <c r="C27" s="1139"/>
      <c r="D27" s="1139"/>
      <c r="E27" s="1139"/>
      <c r="F27" s="1139"/>
      <c r="G27" s="1139"/>
      <c r="H27" s="1139"/>
      <c r="I27" s="1139"/>
      <c r="J27" s="1139"/>
      <c r="K27" s="1139"/>
      <c r="L27" s="1139"/>
      <c r="M27" s="1139"/>
      <c r="N27" s="1139"/>
      <c r="O27" s="1139"/>
      <c r="P27" s="1139"/>
      <c r="Q27" s="1139"/>
      <c r="R27" s="1139"/>
      <c r="S27" s="1139"/>
      <c r="T27" s="1139"/>
      <c r="U27" s="1139"/>
      <c r="V27" s="1139"/>
      <c r="W27" s="1139"/>
      <c r="X27" s="1139"/>
      <c r="Y27" s="1139"/>
      <c r="Z27" s="1139"/>
      <c r="AA27" s="1139"/>
      <c r="AB27" s="1139"/>
      <c r="AC27" s="1139"/>
      <c r="AD27" s="1139"/>
      <c r="AE27" s="1139"/>
      <c r="AF27" s="1139"/>
      <c r="AG27" s="1139"/>
      <c r="AH27" s="1139"/>
      <c r="AI27" s="1139"/>
      <c r="AJ27" s="1139"/>
      <c r="AK27" s="1139"/>
      <c r="AL27" s="1139"/>
      <c r="AM27" s="1139"/>
      <c r="AN27" s="1139"/>
      <c r="AO27" s="1139"/>
      <c r="AP27" s="1139"/>
      <c r="AQ27" s="1139"/>
      <c r="AR27" s="1139"/>
      <c r="AS27" s="1139"/>
      <c r="AT27" s="1139"/>
      <c r="AU27" s="1139"/>
      <c r="AV27" s="1139"/>
      <c r="AW27" s="1139"/>
      <c r="AX27" s="1139"/>
      <c r="AY27" s="1139"/>
      <c r="AZ27" s="1139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40" t="s">
        <v>19</v>
      </c>
      <c r="B29" s="1140"/>
      <c r="C29" s="1141">
        <f>ФОРМА!B20</f>
        <v>1</v>
      </c>
      <c r="D29" s="1141"/>
      <c r="E29" s="1141"/>
      <c r="F29" s="1141"/>
      <c r="G29" s="1141"/>
      <c r="H29" s="1141"/>
      <c r="I29" s="1141"/>
      <c r="J29" s="1141"/>
      <c r="K29" s="1141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42"/>
      <c r="AH29" s="1142"/>
      <c r="AI29" s="1142"/>
      <c r="AJ29" s="307"/>
      <c r="AK29" s="307"/>
      <c r="AL29" s="1143">
        <f>ФОРМА!C20</f>
        <v>45551</v>
      </c>
      <c r="AM29" s="1141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2"/>
      <c r="AX29" s="1142"/>
      <c r="AY29" s="1142"/>
      <c r="AZ29" s="1142"/>
      <c r="BA29" s="300"/>
    </row>
    <row r="30" spans="1:53" s="305" customFormat="1" ht="5.15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31" t="s">
        <v>453</v>
      </c>
      <c r="AM30" s="1131"/>
      <c r="AN30" s="1131"/>
      <c r="AO30" s="1131"/>
      <c r="AP30" s="1131"/>
      <c r="AQ30" s="1131"/>
      <c r="AR30" s="1131"/>
      <c r="AS30" s="1131"/>
      <c r="AT30" s="1131"/>
      <c r="AU30" s="1131"/>
      <c r="AV30" s="1131"/>
      <c r="AW30" s="304"/>
      <c r="AX30" s="304"/>
      <c r="AY30" s="304"/>
      <c r="AZ30" s="304"/>
      <c r="BA30" s="304"/>
    </row>
    <row r="31" spans="1:53" ht="21" customHeight="1">
      <c r="A31" s="1132" t="s">
        <v>780</v>
      </c>
      <c r="B31" s="1132"/>
      <c r="C31" s="1132"/>
      <c r="D31" s="1132"/>
      <c r="E31" s="1132"/>
      <c r="F31" s="1132"/>
      <c r="G31" s="1132"/>
      <c r="H31" s="1132"/>
      <c r="I31" s="1132"/>
      <c r="J31" s="1132"/>
      <c r="K31" s="1132"/>
      <c r="L31" s="1132"/>
      <c r="M31" s="1132"/>
      <c r="N31" s="1132"/>
      <c r="O31" s="1132"/>
      <c r="P31" s="1132"/>
      <c r="Q31" s="1132"/>
      <c r="R31" s="1132"/>
      <c r="S31" s="1132"/>
      <c r="T31" s="1132"/>
      <c r="U31" s="1132"/>
      <c r="V31" s="1132"/>
      <c r="W31" s="1132"/>
      <c r="X31" s="1132"/>
      <c r="Y31" s="1132"/>
      <c r="Z31" s="1132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132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300"/>
    </row>
    <row r="32" spans="1:53" ht="12" customHeight="1">
      <c r="A32" s="1146" t="str">
        <f>IF(ПОДПИСИ!B9="",ПОДПИСИ!B7,ПОДПИСИ!B9)</f>
        <v>Ведущий инженер-геодезист АО "ЛЭСР"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300"/>
    </row>
    <row r="33" spans="1:53" ht="12" customHeight="1">
      <c r="A33" s="1144" t="str">
        <f>IF(ПОДПИСИ!C9="",ПОДПИСИ!C7,CONCATENATE(ПОДПИСИ!C9,", ",ПОДПИСИ!F9))</f>
        <v xml:space="preserve">Филёва Н.О.,  </v>
      </c>
      <c r="B33" s="1144"/>
      <c r="C33" s="1144"/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44"/>
      <c r="AF33" s="1144"/>
      <c r="AG33" s="1144"/>
      <c r="AH33" s="1144"/>
      <c r="AI33" s="1144"/>
      <c r="AJ33" s="1144"/>
      <c r="AK33" s="1144"/>
      <c r="AL33" s="1144"/>
      <c r="AM33" s="1144"/>
      <c r="AN33" s="1144"/>
      <c r="AO33" s="1144"/>
      <c r="AP33" s="1144"/>
      <c r="AQ33" s="1144"/>
      <c r="AR33" s="1144"/>
      <c r="AS33" s="1144"/>
      <c r="AT33" s="1144"/>
      <c r="AU33" s="1144"/>
      <c r="AV33" s="1144"/>
      <c r="AW33" s="1144"/>
      <c r="AX33" s="1144"/>
      <c r="AY33" s="1144"/>
      <c r="AZ33" s="1144"/>
      <c r="BA33" s="300"/>
    </row>
    <row r="34" spans="1:53" ht="15" customHeight="1">
      <c r="A34" s="1134" t="s">
        <v>781</v>
      </c>
      <c r="B34" s="1134"/>
      <c r="C34" s="1134"/>
      <c r="D34" s="1134"/>
      <c r="E34" s="1134"/>
      <c r="F34" s="1134"/>
      <c r="G34" s="1134"/>
      <c r="H34" s="1134"/>
      <c r="I34" s="1134"/>
      <c r="J34" s="1134"/>
      <c r="K34" s="1134"/>
      <c r="L34" s="1134"/>
      <c r="M34" s="1134"/>
      <c r="N34" s="1134"/>
      <c r="O34" s="1134"/>
      <c r="P34" s="1134"/>
      <c r="Q34" s="1134"/>
      <c r="R34" s="1134"/>
      <c r="S34" s="1134"/>
      <c r="T34" s="1134"/>
      <c r="U34" s="1134"/>
      <c r="V34" s="1134"/>
      <c r="W34" s="1134"/>
      <c r="X34" s="1134"/>
      <c r="Y34" s="1134"/>
      <c r="Z34" s="1134"/>
      <c r="AA34" s="1134"/>
      <c r="AB34" s="1134"/>
      <c r="AC34" s="1134"/>
      <c r="AD34" s="1134"/>
      <c r="AE34" s="1134"/>
      <c r="AF34" s="1134"/>
      <c r="AG34" s="1134"/>
      <c r="AH34" s="1134"/>
      <c r="AI34" s="1134"/>
      <c r="AJ34" s="1134"/>
      <c r="AK34" s="1134"/>
      <c r="AL34" s="1134"/>
      <c r="AM34" s="1134"/>
      <c r="AN34" s="1134"/>
      <c r="AO34" s="1134"/>
      <c r="AP34" s="1134"/>
      <c r="AQ34" s="1134"/>
      <c r="AR34" s="1134"/>
      <c r="AS34" s="1134"/>
      <c r="AT34" s="1134"/>
      <c r="AU34" s="1134"/>
      <c r="AV34" s="1134"/>
      <c r="AW34" s="1134"/>
      <c r="AX34" s="1134"/>
      <c r="AY34" s="1134"/>
      <c r="AZ34" s="1134"/>
      <c r="BA34" s="300"/>
    </row>
    <row r="35" spans="1:53" ht="15" customHeight="1">
      <c r="A35" s="1135"/>
      <c r="B35" s="1135"/>
      <c r="C35" s="1135"/>
      <c r="D35" s="1135"/>
      <c r="E35" s="1135"/>
      <c r="F35" s="1135"/>
      <c r="G35" s="1135"/>
      <c r="H35" s="1135"/>
      <c r="I35" s="1135"/>
      <c r="J35" s="1135"/>
      <c r="K35" s="1135"/>
      <c r="L35" s="1135"/>
      <c r="M35" s="1135"/>
      <c r="N35" s="1135"/>
      <c r="O35" s="1135"/>
      <c r="P35" s="1135"/>
      <c r="Q35" s="1135"/>
      <c r="R35" s="1135"/>
      <c r="S35" s="1135"/>
      <c r="T35" s="1135"/>
      <c r="U35" s="1135"/>
      <c r="V35" s="1135"/>
      <c r="W35" s="1135"/>
      <c r="X35" s="1135"/>
      <c r="Y35" s="1135"/>
      <c r="Z35" s="1135"/>
      <c r="AA35" s="1135"/>
      <c r="AB35" s="1135"/>
      <c r="AC35" s="1135"/>
      <c r="AD35" s="1135"/>
      <c r="AE35" s="1135"/>
      <c r="AF35" s="1135"/>
      <c r="AG35" s="1135"/>
      <c r="AH35" s="1135"/>
      <c r="AI35" s="1135"/>
      <c r="AJ35" s="1135"/>
      <c r="AK35" s="1135"/>
      <c r="AL35" s="1135"/>
      <c r="AM35" s="1135"/>
      <c r="AN35" s="1135"/>
      <c r="AO35" s="1135"/>
      <c r="AP35" s="1135"/>
      <c r="AQ35" s="1135"/>
      <c r="AR35" s="1135"/>
      <c r="AS35" s="1135"/>
      <c r="AT35" s="1135"/>
      <c r="AU35" s="1135"/>
      <c r="AV35" s="1135"/>
      <c r="AW35" s="1135"/>
      <c r="AX35" s="1135"/>
      <c r="AY35" s="1135"/>
      <c r="AZ35" s="1135"/>
      <c r="BA35" s="300"/>
    </row>
    <row r="36" spans="1:53" ht="21" customHeight="1">
      <c r="A36" s="1136" t="s">
        <v>782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136"/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/>
      <c r="AY36" s="1136"/>
      <c r="AZ36" s="1136"/>
      <c r="BA36" s="300"/>
    </row>
    <row r="37" spans="1:53" ht="12" customHeight="1">
      <c r="A37" s="1129" t="s">
        <v>783</v>
      </c>
      <c r="B37" s="1129"/>
      <c r="C37" s="1129"/>
      <c r="D37" s="1129"/>
      <c r="E37" s="1129"/>
      <c r="F37" s="1129"/>
      <c r="G37" s="1129"/>
      <c r="H37" s="1129"/>
      <c r="I37" s="1129"/>
      <c r="J37" s="1129"/>
      <c r="K37" s="1129"/>
      <c r="L37" s="1129"/>
      <c r="M37" s="1129"/>
      <c r="N37" s="1129"/>
      <c r="O37" s="1129"/>
      <c r="P37" s="1129"/>
      <c r="Q37" s="1129"/>
      <c r="R37" s="1129"/>
      <c r="S37" s="1129"/>
      <c r="T37" s="1129"/>
      <c r="U37" s="1129"/>
      <c r="V37" s="1129"/>
      <c r="W37" s="1129"/>
      <c r="X37" s="1129"/>
      <c r="Y37" s="1129"/>
      <c r="Z37" s="1129"/>
      <c r="AA37" s="1129"/>
      <c r="AB37" s="1129"/>
      <c r="AC37" s="1129"/>
      <c r="AD37" s="1129"/>
      <c r="AE37" s="1129"/>
      <c r="AF37" s="1129"/>
      <c r="AG37" s="1129"/>
      <c r="AH37" s="1129"/>
      <c r="AI37" s="1129"/>
      <c r="AJ37" s="1129"/>
      <c r="AK37" s="1129"/>
      <c r="AL37" s="1129"/>
      <c r="AM37" s="1129"/>
      <c r="AN37" s="1129"/>
      <c r="AO37" s="1129"/>
      <c r="AP37" s="1129"/>
      <c r="AQ37" s="1129"/>
      <c r="AR37" s="1129"/>
      <c r="AS37" s="1129"/>
      <c r="AT37" s="1129"/>
      <c r="AU37" s="1129"/>
      <c r="AV37" s="1129"/>
      <c r="AW37" s="1129"/>
      <c r="AX37" s="1129"/>
      <c r="AY37" s="1129"/>
      <c r="AZ37" s="1129"/>
      <c r="BA37" s="300"/>
    </row>
    <row r="38" spans="1:53" ht="12" customHeight="1">
      <c r="A38" s="1144" t="str">
        <f>ПОДПИСИ!B15</f>
        <v xml:space="preserve">Заместитель генерального директора ООО «БЭСК» </v>
      </c>
      <c r="B38" s="1144"/>
      <c r="C38" s="1144"/>
      <c r="D38" s="1144"/>
      <c r="E38" s="1144"/>
      <c r="F38" s="1144"/>
      <c r="G38" s="1144"/>
      <c r="H38" s="1144"/>
      <c r="I38" s="1144"/>
      <c r="J38" s="1144"/>
      <c r="K38" s="1144"/>
      <c r="L38" s="1144"/>
      <c r="M38" s="1144"/>
      <c r="N38" s="1144"/>
      <c r="O38" s="1144"/>
      <c r="P38" s="1144"/>
      <c r="Q38" s="1144"/>
      <c r="R38" s="1144"/>
      <c r="S38" s="1144"/>
      <c r="T38" s="1144"/>
      <c r="U38" s="1144"/>
      <c r="V38" s="1144"/>
      <c r="W38" s="1144"/>
      <c r="X38" s="1144"/>
      <c r="Y38" s="1144"/>
      <c r="Z38" s="1144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144"/>
      <c r="AO38" s="1144"/>
      <c r="AP38" s="1144"/>
      <c r="AQ38" s="1144"/>
      <c r="AR38" s="1144"/>
      <c r="AS38" s="1144"/>
      <c r="AT38" s="1144"/>
      <c r="AU38" s="1144"/>
      <c r="AV38" s="1144"/>
      <c r="AW38" s="1144"/>
      <c r="AX38" s="1144"/>
      <c r="AY38" s="1144"/>
      <c r="AZ38" s="1144"/>
      <c r="BA38" s="300"/>
    </row>
    <row r="39" spans="1:53" ht="12" customHeight="1">
      <c r="A39" s="1144" t="str">
        <f>CONCATENATE(ПОДПИСИ!C15,", ",ПОДПИСИ!F15)</f>
        <v xml:space="preserve">Матвеев А.С., </v>
      </c>
      <c r="B39" s="1144"/>
      <c r="C39" s="1144"/>
      <c r="D39" s="1144"/>
      <c r="E39" s="1144"/>
      <c r="F39" s="1144"/>
      <c r="G39" s="1144"/>
      <c r="H39" s="1144"/>
      <c r="I39" s="1144"/>
      <c r="J39" s="1144"/>
      <c r="K39" s="1144"/>
      <c r="L39" s="1144"/>
      <c r="M39" s="1144"/>
      <c r="N39" s="1144"/>
      <c r="O39" s="1144"/>
      <c r="P39" s="1144"/>
      <c r="Q39" s="1144"/>
      <c r="R39" s="1144"/>
      <c r="S39" s="1144"/>
      <c r="T39" s="1144"/>
      <c r="U39" s="1144"/>
      <c r="V39" s="1144"/>
      <c r="W39" s="1144"/>
      <c r="X39" s="1144"/>
      <c r="Y39" s="1144"/>
      <c r="Z39" s="1144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144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300"/>
    </row>
    <row r="40" spans="1:53" ht="15" customHeight="1">
      <c r="A40" s="1134" t="s">
        <v>784</v>
      </c>
      <c r="B40" s="1134"/>
      <c r="C40" s="1134"/>
      <c r="D40" s="1134"/>
      <c r="E40" s="1134"/>
      <c r="F40" s="1134"/>
      <c r="G40" s="1134"/>
      <c r="H40" s="1134"/>
      <c r="I40" s="1134"/>
      <c r="J40" s="1134"/>
      <c r="K40" s="1134"/>
      <c r="L40" s="1134"/>
      <c r="M40" s="1134"/>
      <c r="N40" s="1134"/>
      <c r="O40" s="1134"/>
      <c r="P40" s="1134"/>
      <c r="Q40" s="1134"/>
      <c r="R40" s="1134"/>
      <c r="S40" s="1134"/>
      <c r="T40" s="1134"/>
      <c r="U40" s="1134"/>
      <c r="V40" s="1134"/>
      <c r="W40" s="1134"/>
      <c r="X40" s="1134"/>
      <c r="Y40" s="1134"/>
      <c r="Z40" s="1134"/>
      <c r="AA40" s="1134"/>
      <c r="AB40" s="1134"/>
      <c r="AC40" s="1134"/>
      <c r="AD40" s="1134"/>
      <c r="AE40" s="1134"/>
      <c r="AF40" s="1134"/>
      <c r="AG40" s="1134"/>
      <c r="AH40" s="1134"/>
      <c r="AI40" s="1134"/>
      <c r="AJ40" s="1134"/>
      <c r="AK40" s="1134"/>
      <c r="AL40" s="1134"/>
      <c r="AM40" s="1134"/>
      <c r="AN40" s="1134"/>
      <c r="AO40" s="1134"/>
      <c r="AP40" s="1134"/>
      <c r="AQ40" s="1134"/>
      <c r="AR40" s="1134"/>
      <c r="AS40" s="1134"/>
      <c r="AT40" s="1134"/>
      <c r="AU40" s="1134"/>
      <c r="AV40" s="1134"/>
      <c r="AW40" s="1134"/>
      <c r="AX40" s="1134"/>
      <c r="AY40" s="1134"/>
      <c r="AZ40" s="1134"/>
      <c r="BA40" s="300"/>
    </row>
    <row r="41" spans="1:53" ht="11.25" customHeight="1">
      <c r="A41" s="1145"/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300"/>
    </row>
    <row r="42" spans="1:53" ht="15" customHeight="1">
      <c r="A42" s="1136" t="s">
        <v>785</v>
      </c>
      <c r="B42" s="1136"/>
      <c r="C42" s="1136"/>
      <c r="D42" s="1136"/>
      <c r="E42" s="1136"/>
      <c r="F42" s="1136"/>
      <c r="G42" s="1136"/>
      <c r="H42" s="1136"/>
      <c r="I42" s="1136"/>
      <c r="J42" s="1136"/>
      <c r="K42" s="1136"/>
      <c r="L42" s="1136"/>
      <c r="M42" s="1136"/>
      <c r="N42" s="1136"/>
      <c r="O42" s="1136"/>
      <c r="P42" s="1136"/>
      <c r="Q42" s="1136"/>
      <c r="R42" s="1136"/>
      <c r="S42" s="1136"/>
      <c r="T42" s="1136"/>
      <c r="U42" s="1136"/>
      <c r="V42" s="1136"/>
      <c r="W42" s="1136"/>
      <c r="X42" s="1136"/>
      <c r="Y42" s="1136"/>
      <c r="Z42" s="1136"/>
      <c r="AA42" s="1136"/>
      <c r="AB42" s="1136"/>
      <c r="AC42" s="1136"/>
      <c r="AD42" s="1136"/>
      <c r="AE42" s="1136"/>
      <c r="AF42" s="1136"/>
      <c r="AG42" s="1136"/>
      <c r="AH42" s="1136"/>
      <c r="AI42" s="1136"/>
      <c r="AJ42" s="1136"/>
      <c r="AK42" s="1136"/>
      <c r="AL42" s="1136"/>
      <c r="AM42" s="1136"/>
      <c r="AN42" s="1136"/>
      <c r="AO42" s="1136"/>
      <c r="AP42" s="1136"/>
      <c r="AQ42" s="1136"/>
      <c r="AR42" s="1136"/>
      <c r="AS42" s="1136"/>
      <c r="AT42" s="1136"/>
      <c r="AU42" s="1136"/>
      <c r="AV42" s="1136"/>
      <c r="AW42" s="1136"/>
      <c r="AX42" s="1136"/>
      <c r="AY42" s="1136"/>
      <c r="AZ42" s="1136"/>
      <c r="BA42" s="300"/>
    </row>
    <row r="43" spans="1:53" ht="22.5" customHeight="1">
      <c r="A43" s="1153" t="s">
        <v>811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300"/>
    </row>
    <row r="44" spans="1:53" ht="13.5" customHeight="1">
      <c r="A44" s="1154" t="str">
        <f>ПОДПИСИ!B17</f>
        <v xml:space="preserve">Заместитель генерального директора ООО «БЭСК»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300"/>
    </row>
    <row r="45" spans="1:53" ht="15" customHeight="1">
      <c r="A45" s="1154" t="str">
        <f>CONCATENATE(ПОДПИСИ!C17,", ",ПОДПИСИ!F17)</f>
        <v xml:space="preserve">Матвеев А.С.,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00"/>
    </row>
    <row r="46" spans="1:53" ht="15" customHeight="1">
      <c r="A46" s="1151" t="s">
        <v>781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300"/>
    </row>
    <row r="47" spans="1:53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  <c r="BA47" s="300"/>
    </row>
    <row r="48" spans="1:53" ht="7.5" customHeight="1">
      <c r="A48" s="1151" t="s">
        <v>812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300"/>
    </row>
    <row r="49" spans="1:54" ht="39" customHeight="1">
      <c r="A49" s="1132" t="s">
        <v>786</v>
      </c>
      <c r="B49" s="1132"/>
      <c r="C49" s="1132"/>
      <c r="D49" s="1132"/>
      <c r="E49" s="1132"/>
      <c r="F49" s="1132"/>
      <c r="G49" s="1132"/>
      <c r="H49" s="1132"/>
      <c r="I49" s="1132"/>
      <c r="J49" s="1132"/>
      <c r="K49" s="1132"/>
      <c r="L49" s="1132"/>
      <c r="M49" s="1132"/>
      <c r="N49" s="1132"/>
      <c r="O49" s="1132"/>
      <c r="P49" s="1132"/>
      <c r="Q49" s="1132"/>
      <c r="R49" s="1132"/>
      <c r="S49" s="1132"/>
      <c r="T49" s="1132"/>
      <c r="U49" s="1132"/>
      <c r="V49" s="1132"/>
      <c r="W49" s="1132"/>
      <c r="X49" s="1132"/>
      <c r="Y49" s="1132"/>
      <c r="Z49" s="1132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300"/>
    </row>
    <row r="50" spans="1:54" ht="12" customHeight="1">
      <c r="A50" s="1145" t="str">
        <f>ПОДПИСИ!B19</f>
        <v xml:space="preserve"> </v>
      </c>
      <c r="B50" s="1145"/>
      <c r="C50" s="1145"/>
      <c r="D50" s="1145"/>
      <c r="E50" s="1145"/>
      <c r="F50" s="1145"/>
      <c r="G50" s="1145"/>
      <c r="H50" s="1145"/>
      <c r="I50" s="1145"/>
      <c r="J50" s="1145"/>
      <c r="K50" s="1145"/>
      <c r="L50" s="1145"/>
      <c r="M50" s="1145"/>
      <c r="N50" s="1145"/>
      <c r="O50" s="1145"/>
      <c r="P50" s="1145"/>
      <c r="Q50" s="1145"/>
      <c r="R50" s="1145"/>
      <c r="S50" s="1145"/>
      <c r="T50" s="1145"/>
      <c r="U50" s="1145"/>
      <c r="V50" s="1145"/>
      <c r="W50" s="1145"/>
      <c r="X50" s="1145"/>
      <c r="Y50" s="1145"/>
      <c r="Z50" s="1145"/>
      <c r="AA50" s="1145"/>
      <c r="AB50" s="1145"/>
      <c r="AC50" s="1145"/>
      <c r="AD50" s="1145"/>
      <c r="AE50" s="1145"/>
      <c r="AF50" s="1145"/>
      <c r="AG50" s="1145"/>
      <c r="AH50" s="1145"/>
      <c r="AI50" s="1145"/>
      <c r="AJ50" s="1145"/>
      <c r="AK50" s="1145"/>
      <c r="AL50" s="1145"/>
      <c r="AM50" s="1145"/>
      <c r="AN50" s="1145"/>
      <c r="AO50" s="1145"/>
      <c r="AP50" s="1145"/>
      <c r="AQ50" s="1145"/>
      <c r="AR50" s="1145"/>
      <c r="AS50" s="1145"/>
      <c r="AT50" s="1145"/>
      <c r="AU50" s="1145"/>
      <c r="AV50" s="1145"/>
      <c r="AW50" s="1145"/>
      <c r="AX50" s="1145"/>
      <c r="AY50" s="1145"/>
      <c r="AZ50" s="1145"/>
      <c r="BA50" s="300"/>
    </row>
    <row r="51" spans="1:54" ht="14.25" customHeight="1">
      <c r="A51" s="1148" t="str">
        <f>CONCATENATE(ПОДПИСИ!C19," ",ПОДПИСИ!F19)</f>
        <v xml:space="preserve">  </v>
      </c>
      <c r="B51" s="1148"/>
      <c r="C51" s="1148"/>
      <c r="D51" s="1148"/>
      <c r="E51" s="1148"/>
      <c r="F51" s="1148"/>
      <c r="G51" s="1148"/>
      <c r="H51" s="1148"/>
      <c r="I51" s="1148"/>
      <c r="J51" s="1148"/>
      <c r="K51" s="1148"/>
      <c r="L51" s="1148"/>
      <c r="M51" s="1148"/>
      <c r="N51" s="1148"/>
      <c r="O51" s="1148"/>
      <c r="P51" s="1148"/>
      <c r="Q51" s="1148"/>
      <c r="R51" s="1148"/>
      <c r="S51" s="1148"/>
      <c r="T51" s="1148"/>
      <c r="U51" s="1148"/>
      <c r="V51" s="1148"/>
      <c r="W51" s="1148"/>
      <c r="X51" s="1148"/>
      <c r="Y51" s="1148"/>
      <c r="Z51" s="1148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300"/>
    </row>
    <row r="52" spans="1:54" ht="6" customHeight="1">
      <c r="A52" s="1149" t="s">
        <v>787</v>
      </c>
      <c r="B52" s="1149"/>
      <c r="C52" s="1149"/>
      <c r="D52" s="1149"/>
      <c r="E52" s="1149"/>
      <c r="F52" s="1149"/>
      <c r="G52" s="1149"/>
      <c r="H52" s="1149"/>
      <c r="I52" s="1149"/>
      <c r="J52" s="1149"/>
      <c r="K52" s="1149"/>
      <c r="L52" s="1149"/>
      <c r="M52" s="1149"/>
      <c r="N52" s="1149"/>
      <c r="O52" s="1149"/>
      <c r="P52" s="1149"/>
      <c r="Q52" s="1149"/>
      <c r="R52" s="1149"/>
      <c r="S52" s="1149"/>
      <c r="T52" s="1149"/>
      <c r="U52" s="1149"/>
      <c r="V52" s="1149"/>
      <c r="W52" s="1149"/>
      <c r="X52" s="1149"/>
      <c r="Y52" s="1149"/>
      <c r="Z52" s="1149"/>
      <c r="AA52" s="1149"/>
      <c r="AB52" s="1149"/>
      <c r="AC52" s="1149"/>
      <c r="AD52" s="1149"/>
      <c r="AE52" s="1149"/>
      <c r="AF52" s="1149"/>
      <c r="AG52" s="1149"/>
      <c r="AH52" s="1149"/>
      <c r="AI52" s="1149"/>
      <c r="AJ52" s="1149"/>
      <c r="AK52" s="1149"/>
      <c r="AL52" s="1149"/>
      <c r="AM52" s="1149"/>
      <c r="AN52" s="1149"/>
      <c r="AO52" s="1149"/>
      <c r="AP52" s="1149"/>
      <c r="AQ52" s="1149"/>
      <c r="AR52" s="1149"/>
      <c r="AS52" s="1149"/>
      <c r="AT52" s="1149"/>
      <c r="AU52" s="1149"/>
      <c r="AV52" s="1149"/>
      <c r="AW52" s="1149"/>
      <c r="AX52" s="1149"/>
      <c r="AY52" s="1149"/>
      <c r="AZ52" s="1149"/>
      <c r="BA52" s="300"/>
    </row>
    <row r="53" spans="1:54" ht="11.25" customHeight="1">
      <c r="A53" s="1150"/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300"/>
    </row>
    <row r="54" spans="1:54" ht="15" customHeight="1">
      <c r="A54" s="1136" t="s">
        <v>788</v>
      </c>
      <c r="B54" s="1136"/>
      <c r="C54" s="1136"/>
      <c r="D54" s="1136"/>
      <c r="E54" s="1136"/>
      <c r="F54" s="1136"/>
      <c r="G54" s="1136"/>
      <c r="H54" s="1136"/>
      <c r="I54" s="1136"/>
      <c r="J54" s="1136"/>
      <c r="K54" s="1136"/>
      <c r="L54" s="1136"/>
      <c r="M54" s="1136"/>
      <c r="N54" s="1136"/>
      <c r="O54" s="1136"/>
      <c r="P54" s="1136"/>
      <c r="Q54" s="1136"/>
      <c r="R54" s="1136"/>
      <c r="S54" s="1136"/>
      <c r="T54" s="1136"/>
      <c r="U54" s="1136"/>
      <c r="V54" s="1136"/>
      <c r="W54" s="1136"/>
      <c r="X54" s="1136"/>
      <c r="Y54" s="1136"/>
      <c r="Z54" s="1136"/>
      <c r="AA54" s="1136"/>
      <c r="AB54" s="1136"/>
      <c r="AC54" s="1136"/>
      <c r="AD54" s="1136"/>
      <c r="AE54" s="1136"/>
      <c r="AF54" s="1136"/>
      <c r="AG54" s="1136"/>
      <c r="AH54" s="1136"/>
      <c r="AI54" s="1136"/>
      <c r="AJ54" s="1136"/>
      <c r="AK54" s="1136"/>
      <c r="AL54" s="1136"/>
      <c r="AM54" s="1136"/>
      <c r="AN54" s="1136"/>
      <c r="AO54" s="1136"/>
      <c r="AP54" s="1136"/>
      <c r="AQ54" s="1136"/>
      <c r="AR54" s="1136"/>
      <c r="AS54" s="1136"/>
      <c r="AT54" s="1136"/>
      <c r="AU54" s="1136"/>
      <c r="AV54" s="1136"/>
      <c r="AW54" s="1136"/>
      <c r="AX54" s="1136"/>
      <c r="AY54" s="1136"/>
      <c r="AZ54" s="1136"/>
      <c r="BA54" s="300"/>
    </row>
    <row r="55" spans="1:54" ht="21" customHeight="1">
      <c r="A55" s="1132" t="s">
        <v>789</v>
      </c>
      <c r="B55" s="1132"/>
      <c r="C55" s="1132"/>
      <c r="D55" s="1132"/>
      <c r="E55" s="1132"/>
      <c r="F55" s="1132"/>
      <c r="G55" s="1132"/>
      <c r="H55" s="1132"/>
      <c r="I55" s="1132"/>
      <c r="J55" s="1132"/>
      <c r="K55" s="1132"/>
      <c r="L55" s="1132"/>
      <c r="M55" s="1132"/>
      <c r="N55" s="1132"/>
      <c r="O55" s="1132"/>
      <c r="P55" s="1132"/>
      <c r="Q55" s="1132"/>
      <c r="R55" s="1132"/>
      <c r="S55" s="1132"/>
      <c r="T55" s="1132"/>
      <c r="U55" s="1132"/>
      <c r="V55" s="1132"/>
      <c r="W55" s="1132"/>
      <c r="X55" s="1132"/>
      <c r="Y55" s="1132"/>
      <c r="Z55" s="1132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132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300"/>
    </row>
    <row r="56" spans="1:54" ht="12" customHeight="1">
      <c r="A56" s="1147" t="str">
        <f>ПОДПИСИ!B14</f>
        <v>Инженер-геодезист ООО «БЭСК»</v>
      </c>
      <c r="B56" s="1147"/>
      <c r="C56" s="1147"/>
      <c r="D56" s="1147"/>
      <c r="E56" s="1147"/>
      <c r="F56" s="1147"/>
      <c r="G56" s="1147"/>
      <c r="H56" s="1147"/>
      <c r="I56" s="1147"/>
      <c r="J56" s="1147"/>
      <c r="K56" s="1147"/>
      <c r="L56" s="1147"/>
      <c r="M56" s="1147"/>
      <c r="N56" s="1147"/>
      <c r="O56" s="1147"/>
      <c r="P56" s="1147"/>
      <c r="Q56" s="1147"/>
      <c r="R56" s="1147"/>
      <c r="S56" s="1147"/>
      <c r="T56" s="1147"/>
      <c r="U56" s="1147"/>
      <c r="V56" s="1147"/>
      <c r="W56" s="1147"/>
      <c r="X56" s="1147"/>
      <c r="Y56" s="1147"/>
      <c r="Z56" s="1147"/>
      <c r="AA56" s="1147"/>
      <c r="AB56" s="1147"/>
      <c r="AC56" s="1147"/>
      <c r="AD56" s="1147"/>
      <c r="AE56" s="1147"/>
      <c r="AF56" s="1147"/>
      <c r="AG56" s="1147"/>
      <c r="AH56" s="1147"/>
      <c r="AI56" s="1147"/>
      <c r="AJ56" s="1147"/>
      <c r="AK56" s="1147"/>
      <c r="AL56" s="1147"/>
      <c r="AM56" s="1147"/>
      <c r="AN56" s="1147"/>
      <c r="AO56" s="1147"/>
      <c r="AP56" s="1147"/>
      <c r="AQ56" s="1147"/>
      <c r="AR56" s="1147"/>
      <c r="AS56" s="1147"/>
      <c r="AT56" s="1147"/>
      <c r="AU56" s="1147"/>
      <c r="AV56" s="1147"/>
      <c r="AW56" s="1147"/>
      <c r="AX56" s="1147"/>
      <c r="AY56" s="1147"/>
      <c r="AZ56" s="1147"/>
      <c r="BA56" s="308"/>
      <c r="BB56" s="294"/>
    </row>
    <row r="57" spans="1:54" ht="12" customHeight="1">
      <c r="A57" s="1144" t="str">
        <f>CONCATENATE(ПОДПИСИ!C14,", ",ПОДПИСИ!F14)</f>
        <v xml:space="preserve">Алексеенков Д.С., </v>
      </c>
      <c r="B57" s="1144"/>
      <c r="C57" s="1144"/>
      <c r="D57" s="1144"/>
      <c r="E57" s="1144"/>
      <c r="F57" s="1144"/>
      <c r="G57" s="1144"/>
      <c r="H57" s="1144"/>
      <c r="I57" s="1144"/>
      <c r="J57" s="1144"/>
      <c r="K57" s="1144"/>
      <c r="L57" s="1144"/>
      <c r="M57" s="1144"/>
      <c r="N57" s="1144"/>
      <c r="O57" s="1144"/>
      <c r="P57" s="1144"/>
      <c r="Q57" s="1144"/>
      <c r="R57" s="1144"/>
      <c r="S57" s="1144"/>
      <c r="T57" s="1144"/>
      <c r="U57" s="1144"/>
      <c r="V57" s="1144"/>
      <c r="W57" s="1144"/>
      <c r="X57" s="1144"/>
      <c r="Y57" s="1144"/>
      <c r="Z57" s="1144"/>
      <c r="AA57" s="1144"/>
      <c r="AB57" s="1144"/>
      <c r="AC57" s="1144"/>
      <c r="AD57" s="1144"/>
      <c r="AE57" s="1144"/>
      <c r="AF57" s="1144"/>
      <c r="AG57" s="1144"/>
      <c r="AH57" s="1144"/>
      <c r="AI57" s="1144"/>
      <c r="AJ57" s="1144"/>
      <c r="AK57" s="1144"/>
      <c r="AL57" s="1144"/>
      <c r="AM57" s="1144"/>
      <c r="AN57" s="1144"/>
      <c r="AO57" s="1144"/>
      <c r="AP57" s="1144"/>
      <c r="AQ57" s="1144"/>
      <c r="AR57" s="1144"/>
      <c r="AS57" s="1144"/>
      <c r="AT57" s="1144"/>
      <c r="AU57" s="1144"/>
      <c r="AV57" s="1144"/>
      <c r="AW57" s="1144"/>
      <c r="AX57" s="1144"/>
      <c r="AY57" s="1144"/>
      <c r="AZ57" s="1144"/>
      <c r="BA57" s="300"/>
    </row>
    <row r="58" spans="1:54" ht="6" customHeight="1">
      <c r="A58" s="1134" t="s">
        <v>787</v>
      </c>
      <c r="B58" s="1134"/>
      <c r="C58" s="1134"/>
      <c r="D58" s="1134"/>
      <c r="E58" s="1134"/>
      <c r="F58" s="1134"/>
      <c r="G58" s="1134"/>
      <c r="H58" s="1134"/>
      <c r="I58" s="1134"/>
      <c r="J58" s="1134"/>
      <c r="K58" s="1134"/>
      <c r="L58" s="1134"/>
      <c r="M58" s="1134"/>
      <c r="N58" s="1134"/>
      <c r="O58" s="1134"/>
      <c r="P58" s="1134"/>
      <c r="Q58" s="1134"/>
      <c r="R58" s="1134"/>
      <c r="S58" s="1134"/>
      <c r="T58" s="1134"/>
      <c r="U58" s="1134"/>
      <c r="V58" s="1134"/>
      <c r="W58" s="1134"/>
      <c r="X58" s="1134"/>
      <c r="Y58" s="1134"/>
      <c r="Z58" s="1134"/>
      <c r="AA58" s="1134"/>
      <c r="AB58" s="1134"/>
      <c r="AC58" s="1134"/>
      <c r="AD58" s="1134"/>
      <c r="AE58" s="1134"/>
      <c r="AF58" s="1134"/>
      <c r="AG58" s="1134"/>
      <c r="AH58" s="1134"/>
      <c r="AI58" s="1134"/>
      <c r="AJ58" s="1134"/>
      <c r="AK58" s="1134"/>
      <c r="AL58" s="1134"/>
      <c r="AM58" s="1134"/>
      <c r="AN58" s="1134"/>
      <c r="AO58" s="1134"/>
      <c r="AP58" s="1134"/>
      <c r="AQ58" s="1134"/>
      <c r="AR58" s="1134"/>
      <c r="AS58" s="1134"/>
      <c r="AT58" s="1134"/>
      <c r="AU58" s="1134"/>
      <c r="AV58" s="1134"/>
      <c r="AW58" s="1134"/>
      <c r="AX58" s="1134"/>
      <c r="AY58" s="1134"/>
      <c r="AZ58" s="1134"/>
      <c r="BA58" s="300"/>
    </row>
    <row r="59" spans="1:54" ht="10.5" customHeight="1">
      <c r="A59" s="1135"/>
      <c r="B59" s="1135"/>
      <c r="C59" s="1135"/>
      <c r="D59" s="1135"/>
      <c r="E59" s="1135"/>
      <c r="F59" s="1135"/>
      <c r="G59" s="1135"/>
      <c r="H59" s="1135"/>
      <c r="I59" s="1135"/>
      <c r="J59" s="1135"/>
      <c r="K59" s="1135"/>
      <c r="L59" s="1135"/>
      <c r="M59" s="1135"/>
      <c r="N59" s="1135"/>
      <c r="O59" s="1135"/>
      <c r="P59" s="1135"/>
      <c r="Q59" s="1135"/>
      <c r="R59" s="1135"/>
      <c r="S59" s="1135"/>
      <c r="T59" s="1135"/>
      <c r="U59" s="1135"/>
      <c r="V59" s="1135"/>
      <c r="W59" s="1135"/>
      <c r="X59" s="1135"/>
      <c r="Y59" s="1135"/>
      <c r="Z59" s="1135"/>
      <c r="AA59" s="1135"/>
      <c r="AB59" s="1135"/>
      <c r="AC59" s="1135"/>
      <c r="AD59" s="1135"/>
      <c r="AE59" s="1135"/>
      <c r="AF59" s="1135"/>
      <c r="AG59" s="1135"/>
      <c r="AH59" s="1135"/>
      <c r="AI59" s="1135"/>
      <c r="AJ59" s="1135"/>
      <c r="AK59" s="1135"/>
      <c r="AL59" s="1135"/>
      <c r="AM59" s="1135"/>
      <c r="AN59" s="1135"/>
      <c r="AO59" s="1135"/>
      <c r="AP59" s="1135"/>
      <c r="AQ59" s="1135"/>
      <c r="AR59" s="1135"/>
      <c r="AS59" s="1135"/>
      <c r="AT59" s="1135"/>
      <c r="AU59" s="1135"/>
      <c r="AV59" s="1135"/>
      <c r="AW59" s="1135"/>
      <c r="AX59" s="1135"/>
      <c r="AY59" s="1135"/>
      <c r="AZ59" s="1135"/>
      <c r="BA59" s="300"/>
    </row>
    <row r="60" spans="1:54" ht="15" customHeight="1">
      <c r="A60" s="1136" t="s">
        <v>790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  <c r="BA60" s="300"/>
    </row>
    <row r="61" spans="1:54" ht="13.5" customHeight="1" outlineLevel="1">
      <c r="A61" s="1100" t="s">
        <v>79</v>
      </c>
      <c r="B61" s="1100"/>
      <c r="C61" s="1100"/>
      <c r="D61" s="1100"/>
      <c r="E61" s="1100"/>
      <c r="F61" s="1100"/>
      <c r="G61" s="1100"/>
      <c r="H61" s="1100"/>
      <c r="I61" s="1100"/>
      <c r="J61" s="1100"/>
      <c r="K61" s="1100"/>
      <c r="L61" s="1100"/>
      <c r="M61" s="1100"/>
      <c r="N61" s="1100"/>
      <c r="O61" s="1100"/>
      <c r="P61" s="1100"/>
      <c r="Q61" s="1100"/>
      <c r="R61" s="1100"/>
      <c r="S61" s="1100"/>
      <c r="T61" s="1100"/>
      <c r="U61" s="1100"/>
      <c r="V61" s="1100"/>
      <c r="W61" s="1100"/>
      <c r="X61" s="1100"/>
      <c r="Y61" s="1100"/>
      <c r="Z61" s="1100"/>
      <c r="AA61" s="1100"/>
      <c r="AB61" s="1100"/>
      <c r="AC61" s="1100"/>
      <c r="AD61" s="1100"/>
      <c r="AE61" s="1100"/>
      <c r="AF61" s="1100"/>
      <c r="AG61" s="1100"/>
      <c r="AH61" s="1100"/>
      <c r="AI61" s="1100"/>
      <c r="AJ61" s="1100"/>
      <c r="AK61" s="1100"/>
    </row>
    <row r="62" spans="1:54" ht="24" customHeight="1" outlineLevel="1">
      <c r="A62" s="1106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386"/>
      <c r="BB62" s="387"/>
    </row>
    <row r="63" spans="1:54" ht="9.75" customHeight="1" outlineLevel="1">
      <c r="A63" s="1105" t="s">
        <v>523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388"/>
      <c r="BB63" s="389"/>
    </row>
    <row r="64" spans="1:54" ht="21" customHeight="1">
      <c r="A64" s="1132" t="s">
        <v>791</v>
      </c>
      <c r="B64" s="1132"/>
      <c r="C64" s="1132"/>
      <c r="D64" s="1132"/>
      <c r="E64" s="1132"/>
      <c r="F64" s="1132"/>
      <c r="G64" s="1132"/>
      <c r="H64" s="1132"/>
      <c r="I64" s="1132"/>
      <c r="J64" s="1132"/>
      <c r="K64" s="1132"/>
      <c r="L64" s="1132"/>
      <c r="M64" s="1132"/>
      <c r="N64" s="1132"/>
      <c r="O64" s="1132"/>
      <c r="P64" s="1132"/>
      <c r="Q64" s="1132"/>
      <c r="R64" s="1132"/>
      <c r="S64" s="1132"/>
      <c r="T64" s="1132"/>
      <c r="U64" s="1132"/>
      <c r="V64" s="1132"/>
      <c r="W64" s="1132"/>
      <c r="X64" s="1132"/>
      <c r="Y64" s="1132"/>
      <c r="Z64" s="1132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300"/>
    </row>
    <row r="65" spans="1:53" ht="12" customHeight="1">
      <c r="A65" s="1141" t="str">
        <f>ФОРМА!D20</f>
        <v>КВЛ-0,4кВ и КК</v>
      </c>
      <c r="B65" s="1141"/>
      <c r="C65" s="1141"/>
      <c r="D65" s="1141"/>
      <c r="E65" s="1141"/>
      <c r="F65" s="1141"/>
      <c r="G65" s="1141"/>
      <c r="H65" s="1141"/>
      <c r="I65" s="1141"/>
      <c r="J65" s="1141"/>
      <c r="K65" s="1141"/>
      <c r="L65" s="1141"/>
      <c r="M65" s="1141"/>
      <c r="N65" s="1141"/>
      <c r="O65" s="1141"/>
      <c r="P65" s="1141"/>
      <c r="Q65" s="1141"/>
      <c r="R65" s="1141"/>
      <c r="S65" s="1141"/>
      <c r="T65" s="1141"/>
      <c r="U65" s="1141"/>
      <c r="V65" s="1141"/>
      <c r="W65" s="1141"/>
      <c r="X65" s="1141"/>
      <c r="Y65" s="1141"/>
      <c r="Z65" s="1141"/>
      <c r="AA65" s="1141"/>
      <c r="AB65" s="1141"/>
      <c r="AC65" s="1141"/>
      <c r="AD65" s="1141"/>
      <c r="AE65" s="1141"/>
      <c r="AF65" s="1141"/>
      <c r="AG65" s="1141"/>
      <c r="AH65" s="1141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300"/>
    </row>
    <row r="66" spans="1:53" s="305" customFormat="1" ht="6" customHeight="1">
      <c r="A66" s="1131" t="s">
        <v>431</v>
      </c>
      <c r="B66" s="1131"/>
      <c r="C66" s="1131"/>
      <c r="D66" s="1131"/>
      <c r="E66" s="1131"/>
      <c r="F66" s="1131"/>
      <c r="G66" s="1131"/>
      <c r="H66" s="1131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304"/>
    </row>
    <row r="67" spans="1:53" ht="48" customHeight="1">
      <c r="A67" s="1155" t="s">
        <v>792</v>
      </c>
      <c r="B67" s="1155"/>
      <c r="C67" s="1155"/>
      <c r="D67" s="1155"/>
      <c r="E67" s="1155"/>
      <c r="F67" s="1155"/>
      <c r="G67" s="1155"/>
      <c r="H67" s="1155"/>
      <c r="I67" s="1155"/>
      <c r="J67" s="1155"/>
      <c r="K67" s="1155"/>
      <c r="L67" s="1155"/>
      <c r="M67" s="1155"/>
      <c r="N67" s="1155"/>
      <c r="O67" s="1155"/>
      <c r="P67" s="1155"/>
      <c r="Q67" s="1155"/>
      <c r="R67" s="1155"/>
      <c r="S67" s="1155"/>
      <c r="T67" s="1155"/>
      <c r="U67" s="1155"/>
      <c r="V67" s="1155"/>
      <c r="W67" s="1155"/>
      <c r="X67" s="1155"/>
      <c r="Y67" s="1155"/>
      <c r="Z67" s="1155"/>
      <c r="AA67" s="1155"/>
      <c r="AB67" s="1155"/>
      <c r="AC67" s="1155"/>
      <c r="AD67" s="1155"/>
      <c r="AE67" s="1155"/>
      <c r="AF67" s="1155"/>
      <c r="AG67" s="1155"/>
      <c r="AH67" s="1155"/>
      <c r="AI67" s="1155"/>
      <c r="AJ67" s="1155"/>
      <c r="AK67" s="1155"/>
      <c r="AL67" s="1155"/>
      <c r="AM67" s="1155"/>
      <c r="AN67" s="1155"/>
      <c r="AO67" s="1155"/>
      <c r="AP67" s="1155"/>
      <c r="AQ67" s="1155"/>
      <c r="AR67" s="1155"/>
      <c r="AS67" s="1155"/>
      <c r="AT67" s="1155"/>
      <c r="AU67" s="1155"/>
      <c r="AV67" s="1155"/>
      <c r="AW67" s="1155"/>
      <c r="AX67" s="1155"/>
      <c r="AY67" s="1155"/>
      <c r="AZ67" s="1155"/>
      <c r="BA67" s="300"/>
    </row>
    <row r="68" spans="1:53" ht="11.25" customHeight="1">
      <c r="A68" s="1141" t="str">
        <f>ФОРМА!B9</f>
        <v>СЭС-23-32939-ЭС-ТКР2</v>
      </c>
      <c r="B68" s="1141"/>
      <c r="C68" s="1141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300"/>
    </row>
    <row r="69" spans="1:53" s="305" customFormat="1" ht="6" customHeight="1">
      <c r="A69" s="1149" t="s">
        <v>793</v>
      </c>
      <c r="B69" s="1149"/>
      <c r="C69" s="1149"/>
      <c r="D69" s="1149"/>
      <c r="E69" s="1149"/>
      <c r="F69" s="1149"/>
      <c r="G69" s="1149"/>
      <c r="H69" s="1149"/>
      <c r="I69" s="1149"/>
      <c r="J69" s="1149"/>
      <c r="K69" s="1149"/>
      <c r="L69" s="1149"/>
      <c r="M69" s="1149"/>
      <c r="N69" s="1149"/>
      <c r="O69" s="1149"/>
      <c r="P69" s="1149"/>
      <c r="Q69" s="1149"/>
      <c r="R69" s="1149"/>
      <c r="S69" s="1149"/>
      <c r="T69" s="1149"/>
      <c r="U69" s="1149"/>
      <c r="V69" s="1149"/>
      <c r="W69" s="1149"/>
      <c r="X69" s="1149"/>
      <c r="Y69" s="1149"/>
      <c r="Z69" s="1149"/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304"/>
    </row>
    <row r="70" spans="1:53" ht="13.15" customHeight="1">
      <c r="A70" s="1141" t="str">
        <f>ФОРМА!B8</f>
        <v>ООО «Строительные энергетические технологии»</v>
      </c>
      <c r="B70" s="1141"/>
      <c r="C70" s="1141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300"/>
    </row>
    <row r="71" spans="1:53" s="305" customFormat="1" ht="6" customHeight="1">
      <c r="A71" s="1149" t="s">
        <v>794</v>
      </c>
      <c r="B71" s="1149"/>
      <c r="C71" s="1149"/>
      <c r="D71" s="1149"/>
      <c r="E71" s="1149"/>
      <c r="F71" s="1149"/>
      <c r="G71" s="1149"/>
      <c r="H71" s="1149"/>
      <c r="I71" s="1149"/>
      <c r="J71" s="1149"/>
      <c r="K71" s="1149"/>
      <c r="L71" s="1149"/>
      <c r="M71" s="1149"/>
      <c r="N71" s="1149"/>
      <c r="O71" s="1149"/>
      <c r="P71" s="1149"/>
      <c r="Q71" s="1149"/>
      <c r="R71" s="1149"/>
      <c r="S71" s="1149"/>
      <c r="T71" s="1149"/>
      <c r="U71" s="1149"/>
      <c r="V71" s="1149"/>
      <c r="W71" s="1149"/>
      <c r="X71" s="1149"/>
      <c r="Y71" s="1149"/>
      <c r="Z71" s="1149"/>
      <c r="AA71" s="1149"/>
      <c r="AB71" s="1149"/>
      <c r="AC71" s="1149"/>
      <c r="AD71" s="1149"/>
      <c r="AE71" s="1149"/>
      <c r="AF71" s="1149"/>
      <c r="AG71" s="1149"/>
      <c r="AH71" s="1149"/>
      <c r="AI71" s="1149"/>
      <c r="AJ71" s="1149"/>
      <c r="AK71" s="1149"/>
      <c r="AL71" s="1149"/>
      <c r="AM71" s="1149"/>
      <c r="AN71" s="1149"/>
      <c r="AO71" s="1149"/>
      <c r="AP71" s="1149"/>
      <c r="AQ71" s="1149"/>
      <c r="AR71" s="1149"/>
      <c r="AS71" s="1149"/>
      <c r="AT71" s="1149"/>
      <c r="AU71" s="1149"/>
      <c r="AV71" s="1149"/>
      <c r="AW71" s="1149"/>
      <c r="AX71" s="1149"/>
      <c r="AY71" s="1149"/>
      <c r="AZ71" s="1149"/>
      <c r="BA71" s="1149"/>
    </row>
    <row r="72" spans="1:53" ht="13.15" customHeight="1">
      <c r="A72" s="1141" t="s">
        <v>726</v>
      </c>
      <c r="B72" s="1141"/>
      <c r="C72" s="1141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300"/>
    </row>
    <row r="73" spans="1:53" s="305" customFormat="1" ht="6" customHeight="1">
      <c r="A73" s="1149" t="s">
        <v>795</v>
      </c>
      <c r="B73" s="1149"/>
      <c r="C73" s="1149"/>
      <c r="D73" s="1149"/>
      <c r="E73" s="1149"/>
      <c r="F73" s="1149"/>
      <c r="G73" s="1149"/>
      <c r="H73" s="1149"/>
      <c r="I73" s="1149"/>
      <c r="J73" s="1149"/>
      <c r="K73" s="1149"/>
      <c r="L73" s="1149"/>
      <c r="M73" s="1149"/>
      <c r="N73" s="1149"/>
      <c r="O73" s="1149"/>
      <c r="P73" s="1149"/>
      <c r="Q73" s="1149"/>
      <c r="R73" s="1149"/>
      <c r="S73" s="1149"/>
      <c r="T73" s="1149"/>
      <c r="U73" s="1149"/>
      <c r="V73" s="1149"/>
      <c r="W73" s="1149"/>
      <c r="X73" s="1149"/>
      <c r="Y73" s="1149"/>
      <c r="Z73" s="1149"/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</row>
    <row r="74" spans="1:53" ht="12" customHeight="1">
      <c r="A74" s="1132" t="s">
        <v>593</v>
      </c>
      <c r="B74" s="1132"/>
      <c r="C74" s="1132"/>
      <c r="D74" s="1132"/>
      <c r="E74" s="1132"/>
      <c r="F74" s="1132"/>
      <c r="G74" s="1132"/>
      <c r="H74" s="1132"/>
      <c r="I74" s="1132"/>
      <c r="J74" s="1132"/>
      <c r="K74" s="1132"/>
      <c r="L74" s="1132"/>
      <c r="M74" s="1132"/>
      <c r="N74" s="1132"/>
      <c r="O74" s="1132"/>
      <c r="P74" s="1132"/>
      <c r="Q74" s="1132"/>
      <c r="R74" s="1132"/>
      <c r="S74" s="1132"/>
      <c r="T74" s="1132"/>
      <c r="U74" s="1132"/>
      <c r="V74" s="1132"/>
      <c r="W74" s="1132"/>
      <c r="X74" s="1132"/>
      <c r="Y74" s="1132"/>
      <c r="Z74" s="1132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42"/>
      <c r="V75" s="1142"/>
      <c r="W75" s="1142"/>
      <c r="X75" s="1142"/>
      <c r="Y75" s="1142"/>
      <c r="Z75" s="1142"/>
      <c r="AA75" s="1142"/>
      <c r="AB75" s="1142"/>
      <c r="AC75" s="1142"/>
      <c r="AD75" s="1142"/>
      <c r="AE75" s="1142"/>
      <c r="AF75" s="1142"/>
      <c r="AG75" s="1142"/>
      <c r="AH75" s="1142"/>
      <c r="AI75" s="1142"/>
      <c r="AJ75" s="1142"/>
      <c r="AK75" s="1142"/>
      <c r="AL75" s="1142"/>
      <c r="AM75" s="1142"/>
      <c r="AN75" s="1142"/>
      <c r="AO75" s="1142"/>
      <c r="AP75" s="1142"/>
      <c r="AQ75" s="1142"/>
      <c r="AR75" s="1142"/>
      <c r="AS75" s="1142"/>
      <c r="AT75" s="1142"/>
      <c r="AU75" s="1142"/>
      <c r="AV75" s="1142"/>
      <c r="AW75" s="1142"/>
      <c r="AX75" s="1142"/>
      <c r="AY75" s="1142"/>
      <c r="AZ75" s="1142"/>
      <c r="BA75" s="300"/>
    </row>
    <row r="76" spans="1:53" ht="11.25" customHeight="1">
      <c r="A76" s="1129" t="s">
        <v>86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29" t="s">
        <v>90</v>
      </c>
      <c r="B78" s="1129"/>
      <c r="C78" s="1129"/>
      <c r="D78" s="1129"/>
      <c r="E78" s="1129"/>
      <c r="F78" s="1129"/>
      <c r="G78" s="1129"/>
      <c r="H78" s="1129"/>
      <c r="I78" s="1129"/>
      <c r="J78" s="1141">
        <f>ФОРМА!F5</f>
        <v>2</v>
      </c>
      <c r="K78" s="1141"/>
      <c r="L78" s="1141"/>
      <c r="M78" s="1141"/>
      <c r="N78" s="1141"/>
      <c r="O78" s="1141"/>
      <c r="P78" s="1132" t="s">
        <v>796</v>
      </c>
      <c r="Q78" s="1129"/>
      <c r="R78" s="1129"/>
      <c r="S78" s="1129"/>
      <c r="T78" s="1129"/>
      <c r="U78" s="1129"/>
      <c r="V78" s="1129"/>
      <c r="W78" s="1129"/>
      <c r="X78" s="1129"/>
      <c r="Y78" s="1129"/>
      <c r="Z78" s="1129"/>
      <c r="AA78" s="1129"/>
      <c r="AB78" s="1129"/>
      <c r="AC78" s="1129"/>
      <c r="AD78" s="1129"/>
      <c r="AE78" s="1129"/>
      <c r="AF78" s="1129"/>
      <c r="AG78" s="1129"/>
      <c r="AH78" s="1129"/>
      <c r="AI78" s="1129"/>
      <c r="AJ78" s="1129"/>
      <c r="AK78" s="1129"/>
      <c r="AL78" s="1129"/>
      <c r="AM78" s="1129"/>
      <c r="AN78" s="1129"/>
      <c r="AO78" s="1129"/>
      <c r="AP78" s="1129"/>
      <c r="AQ78" s="1129"/>
      <c r="AR78" s="1129"/>
      <c r="AS78" s="1129"/>
      <c r="AT78" s="1129"/>
      <c r="AU78" s="1129"/>
      <c r="AV78" s="1129"/>
      <c r="AW78" s="1129"/>
      <c r="AX78" s="1129"/>
      <c r="AY78" s="1129"/>
      <c r="AZ78" s="1129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40" t="s">
        <v>87</v>
      </c>
      <c r="B80" s="1140"/>
      <c r="C80" s="1140"/>
      <c r="D80" s="1140"/>
      <c r="E80" s="1140"/>
      <c r="F80" s="1140"/>
      <c r="G80" s="1140"/>
      <c r="H80" s="1161" t="str">
        <f>ФОРМА!E20</f>
        <v>Схема разбивки и закрепления точек осей трассы</v>
      </c>
      <c r="I80" s="1161"/>
      <c r="J80" s="1161"/>
      <c r="K80" s="1161"/>
      <c r="L80" s="1161"/>
      <c r="M80" s="1161"/>
      <c r="N80" s="1161"/>
      <c r="O80" s="1161"/>
      <c r="P80" s="1161"/>
      <c r="Q80" s="1161"/>
      <c r="R80" s="1161"/>
      <c r="S80" s="1161"/>
      <c r="T80" s="1161"/>
      <c r="U80" s="1161"/>
      <c r="V80" s="1161"/>
      <c r="W80" s="1161"/>
      <c r="X80" s="1161"/>
      <c r="Y80" s="1161"/>
      <c r="Z80" s="1161"/>
      <c r="AA80" s="1161"/>
      <c r="AB80" s="1161"/>
      <c r="AC80" s="1161"/>
      <c r="AD80" s="1161"/>
      <c r="AE80" s="1161"/>
      <c r="AF80" s="1161"/>
      <c r="AG80" s="1161"/>
      <c r="AH80" s="1161"/>
      <c r="AI80" s="1161"/>
      <c r="AJ80" s="1161"/>
      <c r="AK80" s="1161"/>
      <c r="AL80" s="1161"/>
      <c r="AM80" s="1161"/>
      <c r="AN80" s="1161"/>
      <c r="AO80" s="1161"/>
      <c r="AP80" s="1161"/>
      <c r="AQ80" s="1161"/>
      <c r="AR80" s="1161"/>
      <c r="AS80" s="1161"/>
      <c r="AT80" s="1161"/>
      <c r="AU80" s="1161"/>
      <c r="AV80" s="1161"/>
      <c r="AW80" s="1161"/>
      <c r="AX80" s="1161"/>
      <c r="AY80" s="1161"/>
      <c r="AZ80" s="1161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31" t="s">
        <v>797</v>
      </c>
      <c r="I81" s="1131"/>
      <c r="J81" s="1131"/>
      <c r="K81" s="1131"/>
      <c r="L81" s="1131"/>
      <c r="M81" s="1131"/>
      <c r="N81" s="1131"/>
      <c r="O81" s="1131"/>
      <c r="P81" s="1131"/>
      <c r="Q81" s="1131"/>
      <c r="R81" s="1131"/>
      <c r="S81" s="1131"/>
      <c r="T81" s="1131"/>
      <c r="U81" s="1131"/>
      <c r="V81" s="1131"/>
      <c r="W81" s="1131"/>
      <c r="X81" s="1131"/>
      <c r="Y81" s="1131"/>
      <c r="Z81" s="1131"/>
      <c r="AA81" s="1131"/>
      <c r="AB81" s="1131"/>
      <c r="AC81" s="1131"/>
      <c r="AD81" s="1131"/>
      <c r="AE81" s="1131"/>
      <c r="AF81" s="1131"/>
      <c r="AG81" s="1131"/>
      <c r="AH81" s="1131"/>
      <c r="AI81" s="1131"/>
      <c r="AJ81" s="1131"/>
      <c r="AK81" s="1131"/>
      <c r="AL81" s="1131"/>
      <c r="AM81" s="1131"/>
      <c r="AN81" s="1131"/>
      <c r="AO81" s="1131"/>
      <c r="AP81" s="1131"/>
      <c r="AQ81" s="1131"/>
      <c r="AR81" s="1131"/>
      <c r="AS81" s="1131"/>
      <c r="AT81" s="1131"/>
      <c r="AU81" s="1131"/>
      <c r="AV81" s="1131"/>
      <c r="AW81" s="1131"/>
      <c r="AX81" s="1131"/>
      <c r="AY81" s="1131"/>
      <c r="AZ81" s="1131"/>
      <c r="BA81" s="309"/>
    </row>
    <row r="82" spans="1:53" ht="21" customHeight="1">
      <c r="A82" s="1132" t="s">
        <v>798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1132"/>
      <c r="X82" s="1132"/>
      <c r="Y82" s="1132"/>
      <c r="Z82" s="1132"/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132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300"/>
    </row>
    <row r="83" spans="1:53" ht="30" customHeight="1">
      <c r="A83" s="1158" t="str">
        <f>IF(ПОДПИСИ!B9="",ПОДПИСИ!D7,ПОДПИСИ!D9)</f>
        <v>Филёва Н.О.</v>
      </c>
      <c r="B83" s="1158"/>
      <c r="C83" s="1158"/>
      <c r="D83" s="1158"/>
      <c r="E83" s="1158"/>
      <c r="F83" s="1158"/>
      <c r="G83" s="1158"/>
      <c r="H83" s="1158"/>
      <c r="I83" s="1158"/>
      <c r="J83" s="1158"/>
      <c r="K83" s="1158"/>
      <c r="L83" s="1158"/>
      <c r="M83" s="1158"/>
      <c r="N83" s="1158"/>
      <c r="O83" s="1158"/>
      <c r="P83" s="1158"/>
      <c r="Q83" s="1158"/>
      <c r="R83" s="1158"/>
      <c r="S83" s="1158"/>
      <c r="T83" s="1158"/>
      <c r="U83" s="1158"/>
      <c r="V83" s="1158"/>
      <c r="W83" s="1158"/>
      <c r="X83" s="1158"/>
      <c r="Y83" s="1158"/>
      <c r="Z83" s="1159"/>
      <c r="AA83" s="1159"/>
      <c r="AB83" s="1159"/>
      <c r="AC83" s="1159"/>
      <c r="AD83" s="1159"/>
      <c r="AE83" s="1159"/>
      <c r="AF83" s="1159"/>
      <c r="AG83" s="1159"/>
      <c r="AH83" s="1159"/>
      <c r="AI83" s="1159"/>
      <c r="AJ83" s="1159"/>
      <c r="AK83" s="1159"/>
      <c r="AL83" s="1159"/>
      <c r="AM83" s="1159"/>
      <c r="AN83" s="1159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  <c r="BA83" s="300"/>
    </row>
    <row r="84" spans="1:53" ht="6" customHeight="1">
      <c r="A84" s="1131" t="s">
        <v>799</v>
      </c>
      <c r="B84" s="1131"/>
      <c r="C84" s="1131"/>
      <c r="D84" s="1131"/>
      <c r="E84" s="1131"/>
      <c r="F84" s="1131"/>
      <c r="G84" s="1131"/>
      <c r="H84" s="1131"/>
      <c r="I84" s="1131"/>
      <c r="J84" s="1131"/>
      <c r="K84" s="1131"/>
      <c r="L84" s="1131"/>
      <c r="M84" s="1131"/>
      <c r="N84" s="1131"/>
      <c r="O84" s="1131"/>
      <c r="P84" s="1131"/>
      <c r="Q84" s="1131"/>
      <c r="R84" s="1131"/>
      <c r="S84" s="1131"/>
      <c r="T84" s="1131"/>
      <c r="U84" s="1131"/>
      <c r="V84" s="1131"/>
      <c r="W84" s="1131"/>
      <c r="X84" s="1131"/>
      <c r="Y84" s="113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31" t="s">
        <v>49</v>
      </c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57" t="s">
        <v>783</v>
      </c>
      <c r="B86" s="1157"/>
      <c r="C86" s="1157"/>
      <c r="D86" s="1157"/>
      <c r="E86" s="1157"/>
      <c r="F86" s="1157"/>
      <c r="G86" s="1157"/>
      <c r="H86" s="1157"/>
      <c r="I86" s="1157"/>
      <c r="J86" s="1157"/>
      <c r="K86" s="1157"/>
      <c r="L86" s="1157"/>
      <c r="M86" s="1157"/>
      <c r="N86" s="1157"/>
      <c r="O86" s="1157"/>
      <c r="P86" s="1157"/>
      <c r="Q86" s="1157"/>
      <c r="R86" s="1157"/>
      <c r="S86" s="1157"/>
      <c r="T86" s="1157"/>
      <c r="U86" s="1157"/>
      <c r="V86" s="1157"/>
      <c r="W86" s="1157"/>
      <c r="X86" s="1157"/>
      <c r="Y86" s="1157"/>
      <c r="Z86" s="1157"/>
      <c r="AA86" s="1157"/>
      <c r="AB86" s="1157"/>
      <c r="AC86" s="1157"/>
      <c r="AD86" s="1157"/>
      <c r="AE86" s="1157"/>
      <c r="AF86" s="1157"/>
      <c r="AG86" s="1157"/>
      <c r="AH86" s="1157"/>
      <c r="AI86" s="1157"/>
      <c r="AJ86" s="1157"/>
      <c r="AK86" s="1157"/>
      <c r="AL86" s="1157"/>
      <c r="AM86" s="1157"/>
      <c r="AN86" s="1157"/>
      <c r="AO86" s="1157"/>
      <c r="AP86" s="1157"/>
      <c r="AQ86" s="1157"/>
      <c r="AR86" s="1157"/>
      <c r="AS86" s="1157"/>
      <c r="AT86" s="1157"/>
      <c r="AU86" s="1157"/>
      <c r="AV86" s="1157"/>
      <c r="AW86" s="1157"/>
      <c r="AX86" s="1157"/>
      <c r="AY86" s="1157"/>
      <c r="AZ86" s="1157"/>
      <c r="BA86" s="300"/>
    </row>
    <row r="87" spans="1:53" ht="30" customHeight="1">
      <c r="A87" s="1158" t="str">
        <f>ПОДПИСИ!D15</f>
        <v>Матвеев А.С.</v>
      </c>
      <c r="B87" s="1158"/>
      <c r="C87" s="1158"/>
      <c r="D87" s="1158"/>
      <c r="E87" s="1158"/>
      <c r="F87" s="1158"/>
      <c r="G87" s="1158"/>
      <c r="H87" s="1158"/>
      <c r="I87" s="1158"/>
      <c r="J87" s="1158"/>
      <c r="K87" s="1158"/>
      <c r="L87" s="1158"/>
      <c r="M87" s="1158"/>
      <c r="N87" s="1158"/>
      <c r="O87" s="1158"/>
      <c r="P87" s="1158"/>
      <c r="Q87" s="1158"/>
      <c r="R87" s="1158"/>
      <c r="S87" s="1158"/>
      <c r="T87" s="1158"/>
      <c r="U87" s="1158"/>
      <c r="V87" s="1158"/>
      <c r="W87" s="1158"/>
      <c r="X87" s="1158"/>
      <c r="Y87" s="1158"/>
      <c r="Z87" s="1159"/>
      <c r="AA87" s="1159"/>
      <c r="AB87" s="1159"/>
      <c r="AC87" s="1159"/>
      <c r="AD87" s="1159"/>
      <c r="AE87" s="1159"/>
      <c r="AF87" s="1159"/>
      <c r="AG87" s="1159"/>
      <c r="AH87" s="1159"/>
      <c r="AI87" s="1159"/>
      <c r="AJ87" s="1159"/>
      <c r="AK87" s="1159"/>
      <c r="AL87" s="1159"/>
      <c r="AM87" s="1159"/>
      <c r="AN87" s="1159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300"/>
    </row>
    <row r="88" spans="1:53" ht="6" customHeight="1">
      <c r="A88" s="1131" t="s">
        <v>799</v>
      </c>
      <c r="B88" s="1131"/>
      <c r="C88" s="1131"/>
      <c r="D88" s="1131"/>
      <c r="E88" s="1131"/>
      <c r="F88" s="1131"/>
      <c r="G88" s="1131"/>
      <c r="H88" s="1131"/>
      <c r="I88" s="1131"/>
      <c r="J88" s="1131"/>
      <c r="K88" s="1131"/>
      <c r="L88" s="1131"/>
      <c r="M88" s="1131"/>
      <c r="N88" s="1131"/>
      <c r="O88" s="1131"/>
      <c r="P88" s="1131"/>
      <c r="Q88" s="1131"/>
      <c r="R88" s="1131"/>
      <c r="S88" s="1131"/>
      <c r="T88" s="1131"/>
      <c r="U88" s="1131"/>
      <c r="V88" s="1131"/>
      <c r="W88" s="1131"/>
      <c r="X88" s="1131"/>
      <c r="Y88" s="113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31" t="s">
        <v>49</v>
      </c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32" t="s">
        <v>800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1132"/>
      <c r="X90" s="1132"/>
      <c r="Y90" s="1132"/>
      <c r="Z90" s="1132"/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300"/>
    </row>
    <row r="91" spans="1:53" ht="27" customHeight="1">
      <c r="A91" s="1158" t="str">
        <f>ПОДПИСИ!D17</f>
        <v>Матвеев А.С.</v>
      </c>
      <c r="B91" s="1158"/>
      <c r="C91" s="1158"/>
      <c r="D91" s="1158"/>
      <c r="E91" s="1158"/>
      <c r="F91" s="1158"/>
      <c r="G91" s="1158"/>
      <c r="H91" s="1158"/>
      <c r="I91" s="1158"/>
      <c r="J91" s="1158"/>
      <c r="K91" s="1158"/>
      <c r="L91" s="1158"/>
      <c r="M91" s="1158"/>
      <c r="N91" s="1158"/>
      <c r="O91" s="1158"/>
      <c r="P91" s="1158"/>
      <c r="Q91" s="1158"/>
      <c r="R91" s="1158"/>
      <c r="S91" s="1158"/>
      <c r="T91" s="1158"/>
      <c r="U91" s="1158"/>
      <c r="V91" s="1158"/>
      <c r="W91" s="1158"/>
      <c r="X91" s="1158"/>
      <c r="Y91" s="1158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62" t="s">
        <v>64</v>
      </c>
      <c r="AP91" s="1162"/>
      <c r="AQ91" s="1162"/>
      <c r="AR91" s="1162"/>
      <c r="AS91" s="1162"/>
      <c r="AT91" s="1162"/>
      <c r="AU91" s="1162"/>
      <c r="AV91" s="1162"/>
      <c r="AW91" s="1162"/>
      <c r="AX91" s="1162"/>
      <c r="AY91" s="1162"/>
      <c r="AZ91" s="1162"/>
      <c r="BA91" s="300"/>
    </row>
    <row r="92" spans="1:53" ht="6" customHeight="1">
      <c r="A92" s="1131" t="s">
        <v>799</v>
      </c>
      <c r="B92" s="1131"/>
      <c r="C92" s="1131"/>
      <c r="D92" s="1131"/>
      <c r="E92" s="1131"/>
      <c r="F92" s="1131"/>
      <c r="G92" s="1131"/>
      <c r="H92" s="1131"/>
      <c r="I92" s="1131"/>
      <c r="J92" s="1131"/>
      <c r="K92" s="1131"/>
      <c r="L92" s="1131"/>
      <c r="M92" s="1131"/>
      <c r="N92" s="1131"/>
      <c r="O92" s="1131"/>
      <c r="P92" s="1131"/>
      <c r="Q92" s="1131"/>
      <c r="R92" s="1131"/>
      <c r="S92" s="1131"/>
      <c r="T92" s="1131"/>
      <c r="U92" s="1131"/>
      <c r="V92" s="1131"/>
      <c r="W92" s="1131"/>
      <c r="X92" s="1131"/>
      <c r="Y92" s="113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31" t="s">
        <v>49</v>
      </c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32" t="s">
        <v>801</v>
      </c>
      <c r="B94" s="1129"/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V94" s="1129"/>
      <c r="AW94" s="1129"/>
      <c r="AX94" s="1129"/>
      <c r="AY94" s="1129"/>
      <c r="AZ94" s="1129"/>
      <c r="BA94" s="300"/>
    </row>
    <row r="95" spans="1:53" ht="27.75" customHeight="1">
      <c r="A95" s="1158" t="str">
        <f>ПОДПИСИ!D19</f>
        <v xml:space="preserve"> </v>
      </c>
      <c r="B95" s="1158"/>
      <c r="C95" s="1158"/>
      <c r="D95" s="1158"/>
      <c r="E95" s="1158"/>
      <c r="F95" s="1158"/>
      <c r="G95" s="1158"/>
      <c r="H95" s="1158"/>
      <c r="I95" s="1158"/>
      <c r="J95" s="1158"/>
      <c r="K95" s="1158"/>
      <c r="L95" s="1158"/>
      <c r="M95" s="1158"/>
      <c r="N95" s="1158"/>
      <c r="O95" s="1158"/>
      <c r="P95" s="1158"/>
      <c r="Q95" s="1158"/>
      <c r="R95" s="1158"/>
      <c r="S95" s="1158"/>
      <c r="T95" s="1158"/>
      <c r="U95" s="1158"/>
      <c r="V95" s="1158"/>
      <c r="W95" s="1158"/>
      <c r="X95" s="1158"/>
      <c r="Y95" s="1158"/>
      <c r="Z95" s="1159"/>
      <c r="AA95" s="1159"/>
      <c r="AB95" s="1159"/>
      <c r="AC95" s="1159"/>
      <c r="AD95" s="1159"/>
      <c r="AE95" s="1159"/>
      <c r="AF95" s="1159"/>
      <c r="AG95" s="1159"/>
      <c r="AH95" s="1159"/>
      <c r="AI95" s="1159"/>
      <c r="AJ95" s="1159"/>
      <c r="AK95" s="1159"/>
      <c r="AL95" s="1159"/>
      <c r="AM95" s="1159"/>
      <c r="AN95" s="1159"/>
      <c r="AO95" s="1162" t="s">
        <v>64</v>
      </c>
      <c r="AP95" s="1162"/>
      <c r="AQ95" s="1162"/>
      <c r="AR95" s="1162"/>
      <c r="AS95" s="1162"/>
      <c r="AT95" s="1162"/>
      <c r="AU95" s="1162"/>
      <c r="AV95" s="1162"/>
      <c r="AW95" s="1162"/>
      <c r="AX95" s="1162"/>
      <c r="AY95" s="1162"/>
      <c r="AZ95" s="1162"/>
      <c r="BA95" s="312"/>
    </row>
    <row r="96" spans="1:53" ht="6" customHeight="1">
      <c r="A96" s="1131" t="s">
        <v>799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  <c r="L96" s="1131"/>
      <c r="M96" s="1131"/>
      <c r="N96" s="1131"/>
      <c r="O96" s="1131"/>
      <c r="P96" s="1131"/>
      <c r="Q96" s="1131"/>
      <c r="R96" s="1131"/>
      <c r="S96" s="1131"/>
      <c r="T96" s="1131"/>
      <c r="U96" s="1131"/>
      <c r="V96" s="1131"/>
      <c r="W96" s="1131"/>
      <c r="X96" s="1131"/>
      <c r="Y96" s="113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31" t="s">
        <v>49</v>
      </c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32" t="s">
        <v>789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13"/>
    </row>
    <row r="99" spans="1:55" ht="28.5" customHeight="1">
      <c r="A99" s="1158" t="str">
        <f>ПОДПИСИ!D14</f>
        <v>Алексеенков Д.С.</v>
      </c>
      <c r="B99" s="1158"/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8"/>
      <c r="P99" s="1158"/>
      <c r="Q99" s="1158"/>
      <c r="R99" s="1158"/>
      <c r="S99" s="1158"/>
      <c r="T99" s="1158"/>
      <c r="U99" s="1158"/>
      <c r="V99" s="1158"/>
      <c r="W99" s="1158"/>
      <c r="X99" s="1158"/>
      <c r="Y99" s="1158"/>
      <c r="Z99" s="1159"/>
      <c r="AA99" s="1159"/>
      <c r="AB99" s="1159"/>
      <c r="AC99" s="1159"/>
      <c r="AD99" s="1159"/>
      <c r="AE99" s="1159"/>
      <c r="AF99" s="1159"/>
      <c r="AG99" s="1159"/>
      <c r="AH99" s="1159"/>
      <c r="AI99" s="1159"/>
      <c r="AJ99" s="1159"/>
      <c r="AK99" s="1159"/>
      <c r="AL99" s="1159"/>
      <c r="AM99" s="1159"/>
      <c r="AN99" s="1159"/>
      <c r="AO99" s="1160"/>
      <c r="AP99" s="1160"/>
      <c r="AQ99" s="1160"/>
      <c r="AR99" s="1160"/>
      <c r="AS99" s="1160"/>
      <c r="AT99" s="1160"/>
      <c r="AU99" s="1160"/>
      <c r="AV99" s="1160"/>
      <c r="AW99" s="1160"/>
      <c r="AX99" s="1160"/>
      <c r="AY99" s="1160"/>
      <c r="AZ99" s="1160"/>
      <c r="BA99" s="315"/>
      <c r="BB99" s="316"/>
      <c r="BC99" s="316"/>
    </row>
    <row r="100" spans="1:55" s="305" customFormat="1" ht="6" customHeight="1">
      <c r="A100" s="1131" t="s">
        <v>799</v>
      </c>
      <c r="B100" s="1131"/>
      <c r="C100" s="1131"/>
      <c r="D100" s="1131"/>
      <c r="E100" s="1131"/>
      <c r="F100" s="1131"/>
      <c r="G100" s="1131"/>
      <c r="H100" s="1131"/>
      <c r="I100" s="1131"/>
      <c r="J100" s="1131"/>
      <c r="K100" s="1131"/>
      <c r="L100" s="1131"/>
      <c r="M100" s="1131"/>
      <c r="N100" s="1131"/>
      <c r="O100" s="1131"/>
      <c r="P100" s="1131"/>
      <c r="Q100" s="1131"/>
      <c r="R100" s="1131"/>
      <c r="S100" s="1131"/>
      <c r="T100" s="1131"/>
      <c r="U100" s="1131"/>
      <c r="V100" s="1131"/>
      <c r="W100" s="1131"/>
      <c r="X100" s="1131"/>
      <c r="Y100" s="113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31" t="s">
        <v>49</v>
      </c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304"/>
    </row>
    <row r="101" spans="1:55" ht="16.5" customHeight="1">
      <c r="A101" s="1163" t="s">
        <v>942</v>
      </c>
      <c r="B101" s="1163"/>
      <c r="C101" s="1163"/>
      <c r="D101" s="1163"/>
      <c r="E101" s="1163"/>
      <c r="F101" s="1163"/>
      <c r="G101" s="1163"/>
      <c r="H101" s="1163"/>
      <c r="I101" s="1163"/>
      <c r="J101" s="1163"/>
      <c r="K101" s="1163"/>
      <c r="L101" s="1163"/>
      <c r="M101" s="1163"/>
      <c r="N101" s="1163"/>
      <c r="O101" s="1163"/>
      <c r="P101" s="1163"/>
      <c r="Q101" s="1163"/>
      <c r="R101" s="1163"/>
      <c r="S101" s="1163"/>
      <c r="T101" s="1163"/>
      <c r="U101" s="1163"/>
      <c r="V101" s="1163"/>
      <c r="W101" s="1163"/>
      <c r="X101" s="1163"/>
      <c r="Y101" s="1163"/>
      <c r="Z101" s="1163"/>
      <c r="AA101" s="1163"/>
      <c r="AB101" s="1163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V101" s="1163"/>
      <c r="AW101" s="1163"/>
      <c r="AX101" s="1163"/>
      <c r="AY101" s="1163"/>
      <c r="AZ101" s="1163"/>
    </row>
    <row r="102" spans="1:55" ht="33" customHeight="1">
      <c r="A102" s="1158" t="str">
        <f>IF(ПОДПИСИ!D9="","",ПОДПИСИ!D7)</f>
        <v>Чечин Д.М.</v>
      </c>
      <c r="B102" s="1158"/>
      <c r="C102" s="1158"/>
      <c r="D102" s="1158"/>
      <c r="E102" s="1158"/>
      <c r="F102" s="1158"/>
      <c r="G102" s="1158"/>
      <c r="H102" s="1158"/>
      <c r="I102" s="1158"/>
      <c r="J102" s="1158"/>
      <c r="K102" s="1158"/>
      <c r="L102" s="1158"/>
      <c r="M102" s="1158"/>
      <c r="N102" s="1158"/>
      <c r="O102" s="1158"/>
      <c r="P102" s="1158"/>
      <c r="Q102" s="1158"/>
      <c r="R102" s="1158"/>
      <c r="S102" s="1158"/>
      <c r="T102" s="1158"/>
      <c r="U102" s="1158"/>
      <c r="V102" s="1158"/>
      <c r="W102" s="1158"/>
      <c r="X102" s="1158"/>
      <c r="Y102" s="1158"/>
      <c r="Z102" s="1159"/>
      <c r="AA102" s="1159"/>
      <c r="AB102" s="1159"/>
      <c r="AC102" s="1159"/>
      <c r="AD102" s="1159"/>
      <c r="AE102" s="1159"/>
      <c r="AF102" s="1159"/>
      <c r="AG102" s="1159"/>
      <c r="AH102" s="1159"/>
      <c r="AI102" s="1159"/>
      <c r="AJ102" s="1159"/>
      <c r="AK102" s="1159"/>
      <c r="AL102" s="1159"/>
      <c r="AM102" s="1159"/>
      <c r="AN102" s="1159"/>
      <c r="AO102" s="1160"/>
      <c r="AP102" s="1160"/>
      <c r="AQ102" s="1160"/>
      <c r="AR102" s="1160"/>
      <c r="AS102" s="1160"/>
      <c r="AT102" s="1160"/>
      <c r="AU102" s="1160"/>
      <c r="AV102" s="1160"/>
      <c r="AW102" s="1160"/>
      <c r="AX102" s="1160"/>
      <c r="AY102" s="1160"/>
      <c r="AZ102" s="1160"/>
    </row>
    <row r="103" spans="1:55" ht="9" customHeight="1">
      <c r="A103" s="1131" t="s">
        <v>799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  <c r="L103" s="1131"/>
      <c r="M103" s="1131"/>
      <c r="N103" s="1131"/>
      <c r="O103" s="1131"/>
      <c r="P103" s="1131"/>
      <c r="Q103" s="1131"/>
      <c r="R103" s="1131"/>
      <c r="S103" s="1131"/>
      <c r="T103" s="1131"/>
      <c r="U103" s="1131"/>
      <c r="V103" s="1131"/>
      <c r="W103" s="1131"/>
      <c r="X103" s="1131"/>
      <c r="Y103" s="113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31" t="s">
        <v>49</v>
      </c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4" outlineLevelRow="1"/>
  <cols>
    <col min="1" max="52" width="1.7265625" style="284" customWidth="1"/>
    <col min="53" max="53" width="0.1796875" style="284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28" t="s">
        <v>567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</row>
    <row r="2" spans="1:63" ht="12" customHeight="1">
      <c r="A2" s="1129" t="s">
        <v>72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1" t="s">
        <v>515</v>
      </c>
      <c r="B4" s="1131"/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1131"/>
      <c r="N4" s="1131"/>
      <c r="O4" s="1131"/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131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32" t="s">
        <v>771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1132"/>
      <c r="O5" s="1132"/>
      <c r="P5" s="1132"/>
      <c r="Q5" s="1132"/>
      <c r="R5" s="1132"/>
      <c r="S5" s="1132"/>
      <c r="T5" s="1132"/>
      <c r="U5" s="1132"/>
      <c r="V5" s="1132"/>
      <c r="W5" s="1132"/>
      <c r="X5" s="1132"/>
      <c r="Y5" s="1132"/>
      <c r="Z5" s="1132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132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31" t="s">
        <v>772</v>
      </c>
      <c r="B7" s="1131"/>
      <c r="C7" s="1131"/>
      <c r="D7" s="1131"/>
      <c r="E7" s="1131"/>
      <c r="F7" s="1131"/>
      <c r="G7" s="1131"/>
      <c r="H7" s="1131"/>
      <c r="I7" s="1131"/>
      <c r="J7" s="1131"/>
      <c r="K7" s="1131"/>
      <c r="L7" s="1131"/>
      <c r="M7" s="1131"/>
      <c r="N7" s="1131"/>
      <c r="O7" s="1131"/>
      <c r="P7" s="1131"/>
      <c r="Q7" s="1131"/>
      <c r="R7" s="1131"/>
      <c r="S7" s="1131"/>
      <c r="T7" s="1131"/>
      <c r="U7" s="1131"/>
      <c r="V7" s="1131"/>
      <c r="W7" s="1131"/>
      <c r="X7" s="1131"/>
      <c r="Y7" s="1131"/>
      <c r="Z7" s="1131"/>
      <c r="AA7" s="1131"/>
      <c r="AB7" s="1131"/>
      <c r="AC7" s="1131"/>
      <c r="AD7" s="1131"/>
      <c r="AE7" s="1131"/>
      <c r="AF7" s="1131"/>
      <c r="AG7" s="1131"/>
      <c r="AH7" s="1131"/>
      <c r="AI7" s="1131"/>
      <c r="AJ7" s="1131"/>
      <c r="AK7" s="1131"/>
      <c r="AL7" s="1131"/>
      <c r="AM7" s="1131"/>
      <c r="AN7" s="1131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5" customHeight="1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34" t="s">
        <v>773</v>
      </c>
      <c r="B9" s="1134"/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  <c r="AJ9" s="1134"/>
      <c r="AK9" s="1134"/>
      <c r="AL9" s="1134"/>
      <c r="AM9" s="1134"/>
      <c r="AN9" s="1134"/>
      <c r="AO9" s="1134"/>
      <c r="AP9" s="1134"/>
      <c r="AQ9" s="1134"/>
      <c r="AR9" s="1134"/>
      <c r="AS9" s="1134"/>
      <c r="AT9" s="1134"/>
      <c r="AU9" s="1134"/>
      <c r="AV9" s="1134"/>
      <c r="AW9" s="1134"/>
      <c r="AX9" s="1134"/>
      <c r="AY9" s="1134"/>
      <c r="AZ9" s="11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">
      <c r="A10" s="1137"/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36" t="s">
        <v>774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29" t="s">
        <v>775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33" t="str">
        <f>ФОРМА!B3</f>
        <v>ООО «БЭСК»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</row>
    <row r="14" spans="1:63" s="302" customFormat="1" ht="6" customHeight="1">
      <c r="A14" s="1131" t="s">
        <v>776</v>
      </c>
      <c r="B14" s="1131"/>
      <c r="C14" s="1131"/>
      <c r="D14" s="1131"/>
      <c r="E14" s="1131"/>
      <c r="F14" s="1131"/>
      <c r="G14" s="1131"/>
      <c r="H14" s="1131"/>
      <c r="I14" s="1131"/>
      <c r="J14" s="1131"/>
      <c r="K14" s="1131"/>
      <c r="L14" s="1131"/>
      <c r="M14" s="1131"/>
      <c r="N14" s="1131"/>
      <c r="O14" s="1131"/>
      <c r="P14" s="1131"/>
      <c r="Q14" s="1131"/>
      <c r="R14" s="1131"/>
      <c r="S14" s="1131"/>
      <c r="T14" s="1131"/>
      <c r="U14" s="1131"/>
      <c r="V14" s="1131"/>
      <c r="W14" s="1131"/>
      <c r="X14" s="1131"/>
      <c r="Y14" s="1131"/>
      <c r="Z14" s="1131"/>
      <c r="AA14" s="1131"/>
      <c r="AB14" s="1131"/>
      <c r="AC14" s="1131"/>
      <c r="AD14" s="1131"/>
      <c r="AE14" s="1131"/>
      <c r="AF14" s="1131"/>
      <c r="AG14" s="1131"/>
      <c r="AH14" s="1131"/>
      <c r="AI14" s="1131"/>
      <c r="AJ14" s="1131"/>
      <c r="AK14" s="1131"/>
      <c r="AL14" s="1131"/>
      <c r="AM14" s="1131"/>
      <c r="AN14" s="1131"/>
      <c r="AO14" s="1131"/>
      <c r="AP14" s="1131"/>
      <c r="AQ14" s="1131"/>
      <c r="AR14" s="1131"/>
      <c r="AS14" s="1131"/>
      <c r="AT14" s="1131"/>
      <c r="AU14" s="1131"/>
      <c r="AV14" s="1131"/>
      <c r="AW14" s="1131"/>
      <c r="AX14" s="1131"/>
      <c r="AY14" s="1131"/>
      <c r="AZ14" s="1131"/>
      <c r="BA14" s="301"/>
    </row>
    <row r="15" spans="1:63" ht="23.5" customHeight="1">
      <c r="A15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</row>
    <row r="16" spans="1:63" s="302" customFormat="1" ht="21" customHeight="1">
      <c r="A16" s="1134" t="s">
        <v>802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301"/>
    </row>
    <row r="17" spans="1:53">
      <c r="A17" s="1129" t="s">
        <v>74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29"/>
      <c r="T17" s="1129"/>
      <c r="U17" s="1129"/>
      <c r="V17" s="1129"/>
      <c r="W17" s="1129"/>
      <c r="X17" s="1129"/>
      <c r="Y17" s="1129"/>
      <c r="Z17" s="1129"/>
      <c r="AA17" s="1129"/>
      <c r="AB17" s="1129"/>
      <c r="AC17" s="1129"/>
      <c r="AD17" s="1129"/>
      <c r="AE17" s="1129"/>
      <c r="AF17" s="1129"/>
      <c r="AG17" s="1129"/>
      <c r="AH17" s="1129"/>
      <c r="AI17" s="1129"/>
      <c r="AJ17" s="1129"/>
      <c r="AK17" s="1129"/>
      <c r="AL17" s="1129"/>
      <c r="AM17" s="1129"/>
      <c r="AN17" s="1129"/>
      <c r="AO17" s="1129"/>
      <c r="AP17" s="1129"/>
      <c r="AQ17" s="1129"/>
      <c r="AR17" s="1129"/>
      <c r="AS17" s="1129"/>
      <c r="AT17" s="1129"/>
      <c r="AU17" s="1129"/>
      <c r="AV17" s="1129"/>
      <c r="AW17" s="1129"/>
      <c r="AX17" s="1129"/>
      <c r="AY17" s="1129"/>
      <c r="AZ17" s="1129"/>
      <c r="BA17" s="300"/>
    </row>
    <row r="18" spans="1:53" ht="12" customHeight="1">
      <c r="A18" s="1133" t="str">
        <f>ФОРМА!B8</f>
        <v>ООО «Строительные энергетические технологии»</v>
      </c>
      <c r="B18" s="1133"/>
      <c r="C18" s="1133"/>
      <c r="D18" s="1133"/>
      <c r="E18" s="1133"/>
      <c r="F18" s="1133"/>
      <c r="G18" s="1133"/>
      <c r="H18" s="1133"/>
      <c r="I18" s="1133"/>
      <c r="J18" s="1133"/>
      <c r="K18" s="1133"/>
      <c r="L18" s="1133"/>
      <c r="M18" s="1133"/>
      <c r="N18" s="1133"/>
      <c r="O18" s="1133"/>
      <c r="P18" s="1133"/>
      <c r="Q18" s="1133"/>
      <c r="R18" s="1133"/>
      <c r="S18" s="1133"/>
      <c r="T18" s="1133"/>
      <c r="U18" s="1133"/>
      <c r="V18" s="1133"/>
      <c r="W18" s="1133"/>
      <c r="X18" s="1133"/>
      <c r="Y18" s="1133"/>
      <c r="Z18" s="1133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133"/>
      <c r="AN18" s="1133"/>
      <c r="AO18" s="1133"/>
      <c r="AP18" s="1133"/>
      <c r="AQ18" s="1133"/>
      <c r="AR18" s="1133"/>
      <c r="AS18" s="1133"/>
      <c r="AT18" s="1133"/>
      <c r="AU18" s="1133"/>
      <c r="AV18" s="1133"/>
      <c r="AW18" s="1133"/>
      <c r="AX18" s="1133"/>
      <c r="AY18" s="1133"/>
      <c r="AZ18" s="1133"/>
      <c r="BA18" s="1133"/>
    </row>
    <row r="19" spans="1:53" s="305" customFormat="1" ht="6" customHeight="1">
      <c r="A19" s="1131" t="s">
        <v>776</v>
      </c>
      <c r="B19" s="1131"/>
      <c r="C19" s="1131"/>
      <c r="D19" s="1131"/>
      <c r="E19" s="1131"/>
      <c r="F19" s="1131"/>
      <c r="G19" s="1131"/>
      <c r="H19" s="1131"/>
      <c r="I19" s="1131"/>
      <c r="J19" s="1131"/>
      <c r="K19" s="1131"/>
      <c r="L19" s="1131"/>
      <c r="M19" s="1131"/>
      <c r="N19" s="1131"/>
      <c r="O19" s="1131"/>
      <c r="P19" s="1131"/>
      <c r="Q19" s="1131"/>
      <c r="R19" s="1131"/>
      <c r="S19" s="1131"/>
      <c r="T19" s="1131"/>
      <c r="U19" s="1131"/>
      <c r="V19" s="1131"/>
      <c r="W19" s="1131"/>
      <c r="X19" s="1131"/>
      <c r="Y19" s="1131"/>
      <c r="Z19" s="1131"/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131"/>
      <c r="AO19" s="1131"/>
      <c r="AP19" s="1131"/>
      <c r="AQ19" s="1131"/>
      <c r="AR19" s="1131"/>
      <c r="AS19" s="1131"/>
      <c r="AT19" s="1131"/>
      <c r="AU19" s="1131"/>
      <c r="AV19" s="1131"/>
      <c r="AW19" s="1131"/>
      <c r="AX19" s="1131"/>
      <c r="AY19" s="1131"/>
      <c r="AZ19" s="1131"/>
      <c r="BA19" s="304"/>
    </row>
    <row r="20" spans="1:53" ht="25.5" customHeight="1">
      <c r="A20" s="11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564"/>
    </row>
    <row r="21" spans="1:53" s="305" customFormat="1" ht="21" customHeight="1">
      <c r="A21" s="1134" t="s">
        <v>803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304"/>
    </row>
    <row r="22" spans="1:53" ht="21.65" customHeight="1">
      <c r="A22" s="1164"/>
      <c r="B22" s="1164"/>
      <c r="C22" s="1164"/>
      <c r="D22" s="1164"/>
      <c r="E22" s="1164"/>
      <c r="F22" s="1164"/>
      <c r="G22" s="1164"/>
      <c r="H22" s="1164"/>
      <c r="I22" s="1164"/>
      <c r="J22" s="1164"/>
      <c r="K22" s="1164"/>
      <c r="L22" s="1164"/>
      <c r="M22" s="1164"/>
      <c r="N22" s="1164"/>
      <c r="O22" s="1164"/>
      <c r="P22" s="1164"/>
      <c r="Q22" s="1164"/>
      <c r="R22" s="1164"/>
      <c r="S22" s="1164"/>
      <c r="T22" s="1164"/>
      <c r="U22" s="1164"/>
      <c r="V22" s="1164"/>
      <c r="W22" s="1164"/>
      <c r="X22" s="1164"/>
      <c r="Y22" s="1164"/>
      <c r="Z22" s="1164"/>
      <c r="AA22" s="1164"/>
      <c r="AB22" s="1164"/>
      <c r="AC22" s="1164"/>
      <c r="AD22" s="1164"/>
      <c r="AE22" s="1164"/>
      <c r="AF22" s="1164"/>
      <c r="AG22" s="1164"/>
      <c r="AH22" s="1164"/>
      <c r="AI22" s="1164"/>
      <c r="AJ22" s="1164"/>
      <c r="AK22" s="1164"/>
      <c r="AL22" s="1164"/>
      <c r="AM22" s="1164"/>
      <c r="AN22" s="1164"/>
      <c r="AO22" s="1164"/>
      <c r="AP22" s="1164"/>
      <c r="AQ22" s="1164"/>
      <c r="AR22" s="1164"/>
      <c r="AS22" s="1164"/>
      <c r="AT22" s="1164"/>
      <c r="AU22" s="1164"/>
      <c r="AV22" s="1164"/>
      <c r="AW22" s="1164"/>
      <c r="AX22" s="1164"/>
      <c r="AY22" s="1164"/>
      <c r="AZ22" s="1164"/>
      <c r="BA22" s="300"/>
    </row>
    <row r="23" spans="1:53" ht="39" customHeight="1">
      <c r="A23" s="1138" t="s">
        <v>592</v>
      </c>
      <c r="B23" s="1139"/>
      <c r="C23" s="1139"/>
      <c r="D23" s="1139"/>
      <c r="E23" s="1139"/>
      <c r="F23" s="1139"/>
      <c r="G23" s="1139"/>
      <c r="H23" s="1139"/>
      <c r="I23" s="1139"/>
      <c r="J23" s="1139"/>
      <c r="K23" s="1139"/>
      <c r="L23" s="1139"/>
      <c r="M23" s="1139"/>
      <c r="N23" s="1139"/>
      <c r="O23" s="1139"/>
      <c r="P23" s="1139"/>
      <c r="Q23" s="1139"/>
      <c r="R23" s="1139"/>
      <c r="S23" s="1139"/>
      <c r="T23" s="1139"/>
      <c r="U23" s="1139"/>
      <c r="V23" s="1139"/>
      <c r="W23" s="1139"/>
      <c r="X23" s="1139"/>
      <c r="Y23" s="1139"/>
      <c r="Z23" s="1139"/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300"/>
    </row>
    <row r="24" spans="1:53" ht="0.75" hidden="1" customHeight="1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>
      <c r="A25" s="1140" t="s">
        <v>19</v>
      </c>
      <c r="B25" s="1140"/>
      <c r="C25" s="1141">
        <f>ФОРМА!B21</f>
        <v>0</v>
      </c>
      <c r="D25" s="1141"/>
      <c r="E25" s="1141"/>
      <c r="F25" s="1141"/>
      <c r="G25" s="1141"/>
      <c r="H25" s="1141"/>
      <c r="I25" s="1141"/>
      <c r="J25" s="1141"/>
      <c r="K25" s="1141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1142"/>
      <c r="AH25" s="1142"/>
      <c r="AI25" s="1142"/>
      <c r="AJ25" s="307"/>
      <c r="AK25" s="307"/>
      <c r="AL25" s="1143">
        <f>ФОРМА!C21</f>
        <v>45354</v>
      </c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2"/>
      <c r="AX25" s="1142"/>
      <c r="AY25" s="1142"/>
      <c r="AZ25" s="1142"/>
      <c r="BA25" s="300"/>
    </row>
    <row r="26" spans="1:53" s="305" customFormat="1" ht="5.15" customHeight="1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1131" t="s">
        <v>453</v>
      </c>
      <c r="AM26" s="1131"/>
      <c r="AN26" s="1131"/>
      <c r="AO26" s="1131"/>
      <c r="AP26" s="1131"/>
      <c r="AQ26" s="1131"/>
      <c r="AR26" s="1131"/>
      <c r="AS26" s="1131"/>
      <c r="AT26" s="1131"/>
      <c r="AU26" s="1131"/>
      <c r="AV26" s="1131"/>
      <c r="AW26" s="304"/>
      <c r="AX26" s="304"/>
      <c r="AY26" s="304"/>
      <c r="AZ26" s="304"/>
      <c r="BA26" s="304"/>
    </row>
    <row r="27" spans="1:53" ht="21" customHeight="1">
      <c r="A27" s="1132" t="s">
        <v>780</v>
      </c>
      <c r="B27" s="1132"/>
      <c r="C27" s="1132"/>
      <c r="D27" s="1132"/>
      <c r="E27" s="1132"/>
      <c r="F27" s="1132"/>
      <c r="G27" s="1132"/>
      <c r="H27" s="1132"/>
      <c r="I27" s="1132"/>
      <c r="J27" s="1132"/>
      <c r="K27" s="1132"/>
      <c r="L27" s="1132"/>
      <c r="M27" s="1132"/>
      <c r="N27" s="1132"/>
      <c r="O27" s="1132"/>
      <c r="P27" s="1132"/>
      <c r="Q27" s="1132"/>
      <c r="R27" s="1132"/>
      <c r="S27" s="1132"/>
      <c r="T27" s="1132"/>
      <c r="U27" s="1132"/>
      <c r="V27" s="1132"/>
      <c r="W27" s="1132"/>
      <c r="X27" s="1132"/>
      <c r="Y27" s="1132"/>
      <c r="Z27" s="1132"/>
      <c r="AA27" s="1132"/>
      <c r="AB27" s="1132"/>
      <c r="AC27" s="1132"/>
      <c r="AD27" s="1132"/>
      <c r="AE27" s="1132"/>
      <c r="AF27" s="1132"/>
      <c r="AG27" s="1132"/>
      <c r="AH27" s="1132"/>
      <c r="AI27" s="1132"/>
      <c r="AJ27" s="1132"/>
      <c r="AK27" s="1132"/>
      <c r="AL27" s="1132"/>
      <c r="AM27" s="1132"/>
      <c r="AN27" s="1132"/>
      <c r="AO27" s="1132"/>
      <c r="AP27" s="1132"/>
      <c r="AQ27" s="1132"/>
      <c r="AR27" s="1132"/>
      <c r="AS27" s="1132"/>
      <c r="AT27" s="1132"/>
      <c r="AU27" s="1132"/>
      <c r="AV27" s="1132"/>
      <c r="AW27" s="1132"/>
      <c r="AX27" s="1132"/>
      <c r="AY27" s="1132"/>
      <c r="AZ27" s="1132"/>
      <c r="BA27" s="300"/>
    </row>
    <row r="28" spans="1:53" ht="12" customHeight="1">
      <c r="A28" s="1146" t="str">
        <f>IF(ПОДПИСИ!B9="",ПОДПИСИ!B6,ПОДПИСИ!B9)</f>
        <v>Ведущий инженер-геодезист АО "ЛЭСР"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146"/>
      <c r="L28" s="1146"/>
      <c r="M28" s="1146"/>
      <c r="N28" s="1146"/>
      <c r="O28" s="1146"/>
      <c r="P28" s="1146"/>
      <c r="Q28" s="1146"/>
      <c r="R28" s="1146"/>
      <c r="S28" s="1146"/>
      <c r="T28" s="1146"/>
      <c r="U28" s="1146"/>
      <c r="V28" s="1146"/>
      <c r="W28" s="1146"/>
      <c r="X28" s="1146"/>
      <c r="Y28" s="1146"/>
      <c r="Z28" s="1146"/>
      <c r="AA28" s="1146"/>
      <c r="AB28" s="1146"/>
      <c r="AC28" s="1146"/>
      <c r="AD28" s="1146"/>
      <c r="AE28" s="1146"/>
      <c r="AF28" s="1146"/>
      <c r="AG28" s="1146"/>
      <c r="AH28" s="1146"/>
      <c r="AI28" s="1146"/>
      <c r="AJ28" s="1146"/>
      <c r="AK28" s="1146"/>
      <c r="AL28" s="1146"/>
      <c r="AM28" s="1146"/>
      <c r="AN28" s="1146"/>
      <c r="AO28" s="1146"/>
      <c r="AP28" s="1146"/>
      <c r="AQ28" s="1146"/>
      <c r="AR28" s="1146"/>
      <c r="AS28" s="1146"/>
      <c r="AT28" s="1146"/>
      <c r="AU28" s="1146"/>
      <c r="AV28" s="1146"/>
      <c r="AW28" s="1146"/>
      <c r="AX28" s="1146"/>
      <c r="AY28" s="1146"/>
      <c r="AZ28" s="1146"/>
      <c r="BA28" s="300"/>
    </row>
    <row r="29" spans="1:53" ht="12" customHeight="1">
      <c r="A29" s="1144" t="str">
        <f>IF(ПОДПИСИ!C9="",ПОДПИСИ!C6,CONCATENATE(ПОДПИСИ!C9,", ",ПОДПИСИ!F9))</f>
        <v xml:space="preserve">Филёва Н.О.,  </v>
      </c>
      <c r="B29" s="1144"/>
      <c r="C29" s="1144"/>
      <c r="D29" s="1144"/>
      <c r="E29" s="1144"/>
      <c r="F29" s="1144"/>
      <c r="G29" s="1144"/>
      <c r="H29" s="1144"/>
      <c r="I29" s="1144"/>
      <c r="J29" s="1144"/>
      <c r="K29" s="1144"/>
      <c r="L29" s="1144"/>
      <c r="M29" s="1144"/>
      <c r="N29" s="1144"/>
      <c r="O29" s="1144"/>
      <c r="P29" s="1144"/>
      <c r="Q29" s="1144"/>
      <c r="R29" s="1144"/>
      <c r="S29" s="1144"/>
      <c r="T29" s="1144"/>
      <c r="U29" s="1144"/>
      <c r="V29" s="1144"/>
      <c r="W29" s="1144"/>
      <c r="X29" s="1144"/>
      <c r="Y29" s="1144"/>
      <c r="Z29" s="1144"/>
      <c r="AA29" s="1144"/>
      <c r="AB29" s="1144"/>
      <c r="AC29" s="1144"/>
      <c r="AD29" s="1144"/>
      <c r="AE29" s="1144"/>
      <c r="AF29" s="1144"/>
      <c r="AG29" s="1144"/>
      <c r="AH29" s="1144"/>
      <c r="AI29" s="1144"/>
      <c r="AJ29" s="1144"/>
      <c r="AK29" s="1144"/>
      <c r="AL29" s="1144"/>
      <c r="AM29" s="1144"/>
      <c r="AN29" s="1144"/>
      <c r="AO29" s="1144"/>
      <c r="AP29" s="1144"/>
      <c r="AQ29" s="1144"/>
      <c r="AR29" s="1144"/>
      <c r="AS29" s="1144"/>
      <c r="AT29" s="1144"/>
      <c r="AU29" s="1144"/>
      <c r="AV29" s="1144"/>
      <c r="AW29" s="1144"/>
      <c r="AX29" s="1144"/>
      <c r="AY29" s="1144"/>
      <c r="AZ29" s="1144"/>
      <c r="BA29" s="300"/>
    </row>
    <row r="30" spans="1:53" ht="15" customHeight="1">
      <c r="A30" s="1134" t="s">
        <v>781</v>
      </c>
      <c r="B30" s="1134"/>
      <c r="C30" s="1134"/>
      <c r="D30" s="1134"/>
      <c r="E30" s="1134"/>
      <c r="F30" s="1134"/>
      <c r="G30" s="1134"/>
      <c r="H30" s="1134"/>
      <c r="I30" s="1134"/>
      <c r="J30" s="1134"/>
      <c r="K30" s="1134"/>
      <c r="L30" s="1134"/>
      <c r="M30" s="1134"/>
      <c r="N30" s="1134"/>
      <c r="O30" s="1134"/>
      <c r="P30" s="1134"/>
      <c r="Q30" s="1134"/>
      <c r="R30" s="1134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4"/>
      <c r="AD30" s="1134"/>
      <c r="AE30" s="1134"/>
      <c r="AF30" s="1134"/>
      <c r="AG30" s="1134"/>
      <c r="AH30" s="1134"/>
      <c r="AI30" s="1134"/>
      <c r="AJ30" s="1134"/>
      <c r="AK30" s="1134"/>
      <c r="AL30" s="1134"/>
      <c r="AM30" s="1134"/>
      <c r="AN30" s="1134"/>
      <c r="AO30" s="1134"/>
      <c r="AP30" s="1134"/>
      <c r="AQ30" s="1134"/>
      <c r="AR30" s="1134"/>
      <c r="AS30" s="1134"/>
      <c r="AT30" s="1134"/>
      <c r="AU30" s="1134"/>
      <c r="AV30" s="1134"/>
      <c r="AW30" s="1134"/>
      <c r="AX30" s="1134"/>
      <c r="AY30" s="1134"/>
      <c r="AZ30" s="1134"/>
      <c r="BA30" s="300"/>
    </row>
    <row r="31" spans="1:53" ht="15" customHeight="1">
      <c r="A31" s="1135"/>
      <c r="B31" s="1135"/>
      <c r="C31" s="1135"/>
      <c r="D31" s="1135"/>
      <c r="E31" s="1135"/>
      <c r="F31" s="1135"/>
      <c r="G31" s="1135"/>
      <c r="H31" s="1135"/>
      <c r="I31" s="1135"/>
      <c r="J31" s="1135"/>
      <c r="K31" s="1135"/>
      <c r="L31" s="1135"/>
      <c r="M31" s="1135"/>
      <c r="N31" s="1135"/>
      <c r="O31" s="1135"/>
      <c r="P31" s="1135"/>
      <c r="Q31" s="1135"/>
      <c r="R31" s="1135"/>
      <c r="S31" s="1135"/>
      <c r="T31" s="1135"/>
      <c r="U31" s="1135"/>
      <c r="V31" s="1135"/>
      <c r="W31" s="1135"/>
      <c r="X31" s="1135"/>
      <c r="Y31" s="1135"/>
      <c r="Z31" s="1135"/>
      <c r="AA31" s="1135"/>
      <c r="AB31" s="1135"/>
      <c r="AC31" s="1135"/>
      <c r="AD31" s="1135"/>
      <c r="AE31" s="1135"/>
      <c r="AF31" s="1135"/>
      <c r="AG31" s="1135"/>
      <c r="AH31" s="1135"/>
      <c r="AI31" s="1135"/>
      <c r="AJ31" s="1135"/>
      <c r="AK31" s="1135"/>
      <c r="AL31" s="1135"/>
      <c r="AM31" s="1135"/>
      <c r="AN31" s="1135"/>
      <c r="AO31" s="1135"/>
      <c r="AP31" s="1135"/>
      <c r="AQ31" s="1135"/>
      <c r="AR31" s="1135"/>
      <c r="AS31" s="1135"/>
      <c r="AT31" s="1135"/>
      <c r="AU31" s="1135"/>
      <c r="AV31" s="1135"/>
      <c r="AW31" s="1135"/>
      <c r="AX31" s="1135"/>
      <c r="AY31" s="1135"/>
      <c r="AZ31" s="1135"/>
      <c r="BA31" s="300"/>
    </row>
    <row r="32" spans="1:53" ht="21" customHeight="1">
      <c r="A32" s="1136" t="s">
        <v>782</v>
      </c>
      <c r="B32" s="1136"/>
      <c r="C32" s="1136"/>
      <c r="D32" s="1136"/>
      <c r="E32" s="1136"/>
      <c r="F32" s="1136"/>
      <c r="G32" s="1136"/>
      <c r="H32" s="1136"/>
      <c r="I32" s="1136"/>
      <c r="J32" s="1136"/>
      <c r="K32" s="1136"/>
      <c r="L32" s="1136"/>
      <c r="M32" s="1136"/>
      <c r="N32" s="1136"/>
      <c r="O32" s="1136"/>
      <c r="P32" s="1136"/>
      <c r="Q32" s="1136"/>
      <c r="R32" s="1136"/>
      <c r="S32" s="1136"/>
      <c r="T32" s="1136"/>
      <c r="U32" s="1136"/>
      <c r="V32" s="1136"/>
      <c r="W32" s="1136"/>
      <c r="X32" s="1136"/>
      <c r="Y32" s="1136"/>
      <c r="Z32" s="1136"/>
      <c r="AA32" s="1136"/>
      <c r="AB32" s="1136"/>
      <c r="AC32" s="1136"/>
      <c r="AD32" s="1136"/>
      <c r="AE32" s="1136"/>
      <c r="AF32" s="1136"/>
      <c r="AG32" s="1136"/>
      <c r="AH32" s="1136"/>
      <c r="AI32" s="1136"/>
      <c r="AJ32" s="1136"/>
      <c r="AK32" s="1136"/>
      <c r="AL32" s="1136"/>
      <c r="AM32" s="1136"/>
      <c r="AN32" s="1136"/>
      <c r="AO32" s="1136"/>
      <c r="AP32" s="1136"/>
      <c r="AQ32" s="1136"/>
      <c r="AR32" s="1136"/>
      <c r="AS32" s="1136"/>
      <c r="AT32" s="1136"/>
      <c r="AU32" s="1136"/>
      <c r="AV32" s="1136"/>
      <c r="AW32" s="1136"/>
      <c r="AX32" s="1136"/>
      <c r="AY32" s="1136"/>
      <c r="AZ32" s="1136"/>
      <c r="BA32" s="300"/>
    </row>
    <row r="33" spans="1:53" ht="12" customHeight="1">
      <c r="A33" s="1129" t="s">
        <v>783</v>
      </c>
      <c r="B33" s="1129"/>
      <c r="C33" s="1129"/>
      <c r="D33" s="1129"/>
      <c r="E33" s="1129"/>
      <c r="F33" s="1129"/>
      <c r="G33" s="1129"/>
      <c r="H33" s="1129"/>
      <c r="I33" s="1129"/>
      <c r="J33" s="1129"/>
      <c r="K33" s="1129"/>
      <c r="L33" s="1129"/>
      <c r="M33" s="1129"/>
      <c r="N33" s="1129"/>
      <c r="O33" s="1129"/>
      <c r="P33" s="1129"/>
      <c r="Q33" s="1129"/>
      <c r="R33" s="1129"/>
      <c r="S33" s="1129"/>
      <c r="T33" s="1129"/>
      <c r="U33" s="1129"/>
      <c r="V33" s="1129"/>
      <c r="W33" s="1129"/>
      <c r="X33" s="1129"/>
      <c r="Y33" s="1129"/>
      <c r="Z33" s="1129"/>
      <c r="AA33" s="1129"/>
      <c r="AB33" s="1129"/>
      <c r="AC33" s="1129"/>
      <c r="AD33" s="1129"/>
      <c r="AE33" s="1129"/>
      <c r="AF33" s="1129"/>
      <c r="AG33" s="1129"/>
      <c r="AH33" s="1129"/>
      <c r="AI33" s="1129"/>
      <c r="AJ33" s="1129"/>
      <c r="AK33" s="1129"/>
      <c r="AL33" s="1129"/>
      <c r="AM33" s="1129"/>
      <c r="AN33" s="1129"/>
      <c r="AO33" s="1129"/>
      <c r="AP33" s="1129"/>
      <c r="AQ33" s="1129"/>
      <c r="AR33" s="1129"/>
      <c r="AS33" s="1129"/>
      <c r="AT33" s="1129"/>
      <c r="AU33" s="1129"/>
      <c r="AV33" s="1129"/>
      <c r="AW33" s="1129"/>
      <c r="AX33" s="1129"/>
      <c r="AY33" s="1129"/>
      <c r="AZ33" s="1129"/>
      <c r="BA33" s="300"/>
    </row>
    <row r="34" spans="1:53" ht="12" customHeight="1">
      <c r="A34" s="1144" t="str">
        <f>ПОДПИСИ!B15</f>
        <v xml:space="preserve">Заместитель генерального директора ООО «БЭСК» </v>
      </c>
      <c r="B34" s="1144"/>
      <c r="C34" s="1144"/>
      <c r="D34" s="1144"/>
      <c r="E34" s="1144"/>
      <c r="F34" s="1144"/>
      <c r="G34" s="1144"/>
      <c r="H34" s="1144"/>
      <c r="I34" s="1144"/>
      <c r="J34" s="1144"/>
      <c r="K34" s="1144"/>
      <c r="L34" s="1144"/>
      <c r="M34" s="1144"/>
      <c r="N34" s="1144"/>
      <c r="O34" s="1144"/>
      <c r="P34" s="1144"/>
      <c r="Q34" s="1144"/>
      <c r="R34" s="1144"/>
      <c r="S34" s="1144"/>
      <c r="T34" s="1144"/>
      <c r="U34" s="1144"/>
      <c r="V34" s="1144"/>
      <c r="W34" s="1144"/>
      <c r="X34" s="1144"/>
      <c r="Y34" s="1144"/>
      <c r="Z34" s="1144"/>
      <c r="AA34" s="1144"/>
      <c r="AB34" s="1144"/>
      <c r="AC34" s="1144"/>
      <c r="AD34" s="1144"/>
      <c r="AE34" s="1144"/>
      <c r="AF34" s="1144"/>
      <c r="AG34" s="1144"/>
      <c r="AH34" s="1144"/>
      <c r="AI34" s="1144"/>
      <c r="AJ34" s="1144"/>
      <c r="AK34" s="1144"/>
      <c r="AL34" s="1144"/>
      <c r="AM34" s="1144"/>
      <c r="AN34" s="1144"/>
      <c r="AO34" s="1144"/>
      <c r="AP34" s="1144"/>
      <c r="AQ34" s="1144"/>
      <c r="AR34" s="1144"/>
      <c r="AS34" s="1144"/>
      <c r="AT34" s="1144"/>
      <c r="AU34" s="1144"/>
      <c r="AV34" s="1144"/>
      <c r="AW34" s="1144"/>
      <c r="AX34" s="1144"/>
      <c r="AY34" s="1144"/>
      <c r="AZ34" s="1144"/>
      <c r="BA34" s="300"/>
    </row>
    <row r="35" spans="1:53" ht="12" customHeight="1">
      <c r="A35" s="1144" t="str">
        <f>CONCATENATE(ПОДПИСИ!C15," ",ПОДПИСИ!F15)</f>
        <v xml:space="preserve">Матвеев А.С. </v>
      </c>
      <c r="B35" s="1144"/>
      <c r="C35" s="1144"/>
      <c r="D35" s="1144"/>
      <c r="E35" s="1144"/>
      <c r="F35" s="1144"/>
      <c r="G35" s="1144"/>
      <c r="H35" s="1144"/>
      <c r="I35" s="1144"/>
      <c r="J35" s="1144"/>
      <c r="K35" s="1144"/>
      <c r="L35" s="1144"/>
      <c r="M35" s="1144"/>
      <c r="N35" s="1144"/>
      <c r="O35" s="1144"/>
      <c r="P35" s="1144"/>
      <c r="Q35" s="1144"/>
      <c r="R35" s="1144"/>
      <c r="S35" s="1144"/>
      <c r="T35" s="1144"/>
      <c r="U35" s="1144"/>
      <c r="V35" s="1144"/>
      <c r="W35" s="1144"/>
      <c r="X35" s="1144"/>
      <c r="Y35" s="1144"/>
      <c r="Z35" s="1144"/>
      <c r="AA35" s="1144"/>
      <c r="AB35" s="1144"/>
      <c r="AC35" s="1144"/>
      <c r="AD35" s="1144"/>
      <c r="AE35" s="1144"/>
      <c r="AF35" s="1144"/>
      <c r="AG35" s="1144"/>
      <c r="AH35" s="1144"/>
      <c r="AI35" s="1144"/>
      <c r="AJ35" s="1144"/>
      <c r="AK35" s="1144"/>
      <c r="AL35" s="1144"/>
      <c r="AM35" s="1144"/>
      <c r="AN35" s="1144"/>
      <c r="AO35" s="1144"/>
      <c r="AP35" s="1144"/>
      <c r="AQ35" s="1144"/>
      <c r="AR35" s="1144"/>
      <c r="AS35" s="1144"/>
      <c r="AT35" s="1144"/>
      <c r="AU35" s="1144"/>
      <c r="AV35" s="1144"/>
      <c r="AW35" s="1144"/>
      <c r="AX35" s="1144"/>
      <c r="AY35" s="1144"/>
      <c r="AZ35" s="1144"/>
      <c r="BA35" s="300"/>
    </row>
    <row r="36" spans="1:53" ht="15" customHeight="1">
      <c r="A36" s="1134" t="s">
        <v>784</v>
      </c>
      <c r="B36" s="1134"/>
      <c r="C36" s="1134"/>
      <c r="D36" s="1134"/>
      <c r="E36" s="1134"/>
      <c r="F36" s="1134"/>
      <c r="G36" s="1134"/>
      <c r="H36" s="1134"/>
      <c r="I36" s="1134"/>
      <c r="J36" s="1134"/>
      <c r="K36" s="1134"/>
      <c r="L36" s="1134"/>
      <c r="M36" s="1134"/>
      <c r="N36" s="1134"/>
      <c r="O36" s="1134"/>
      <c r="P36" s="1134"/>
      <c r="Q36" s="1134"/>
      <c r="R36" s="1134"/>
      <c r="S36" s="1134"/>
      <c r="T36" s="1134"/>
      <c r="U36" s="1134"/>
      <c r="V36" s="1134"/>
      <c r="W36" s="1134"/>
      <c r="X36" s="1134"/>
      <c r="Y36" s="1134"/>
      <c r="Z36" s="1134"/>
      <c r="AA36" s="1134"/>
      <c r="AB36" s="1134"/>
      <c r="AC36" s="1134"/>
      <c r="AD36" s="1134"/>
      <c r="AE36" s="1134"/>
      <c r="AF36" s="1134"/>
      <c r="AG36" s="1134"/>
      <c r="AH36" s="1134"/>
      <c r="AI36" s="1134"/>
      <c r="AJ36" s="1134"/>
      <c r="AK36" s="1134"/>
      <c r="AL36" s="1134"/>
      <c r="AM36" s="1134"/>
      <c r="AN36" s="1134"/>
      <c r="AO36" s="1134"/>
      <c r="AP36" s="1134"/>
      <c r="AQ36" s="1134"/>
      <c r="AR36" s="1134"/>
      <c r="AS36" s="1134"/>
      <c r="AT36" s="1134"/>
      <c r="AU36" s="1134"/>
      <c r="AV36" s="1134"/>
      <c r="AW36" s="1134"/>
      <c r="AX36" s="1134"/>
      <c r="AY36" s="1134"/>
      <c r="AZ36" s="1134"/>
      <c r="BA36" s="300"/>
    </row>
    <row r="37" spans="1:53" ht="15" customHeight="1">
      <c r="A37" s="1145"/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300"/>
    </row>
    <row r="38" spans="1:53" ht="15" customHeight="1">
      <c r="A38" s="1136" t="s">
        <v>785</v>
      </c>
      <c r="B38" s="1136"/>
      <c r="C38" s="1136"/>
      <c r="D38" s="1136"/>
      <c r="E38" s="1136"/>
      <c r="F38" s="1136"/>
      <c r="G38" s="1136"/>
      <c r="H38" s="1136"/>
      <c r="I38" s="1136"/>
      <c r="J38" s="1136"/>
      <c r="K38" s="1136"/>
      <c r="L38" s="1136"/>
      <c r="M38" s="1136"/>
      <c r="N38" s="1136"/>
      <c r="O38" s="1136"/>
      <c r="P38" s="1136"/>
      <c r="Q38" s="1136"/>
      <c r="R38" s="1136"/>
      <c r="S38" s="1136"/>
      <c r="T38" s="1136"/>
      <c r="U38" s="1136"/>
      <c r="V38" s="1136"/>
      <c r="W38" s="1136"/>
      <c r="X38" s="1136"/>
      <c r="Y38" s="1136"/>
      <c r="Z38" s="1136"/>
      <c r="AA38" s="1136"/>
      <c r="AB38" s="1136"/>
      <c r="AC38" s="1136"/>
      <c r="AD38" s="1136"/>
      <c r="AE38" s="1136"/>
      <c r="AF38" s="1136"/>
      <c r="AG38" s="1136"/>
      <c r="AH38" s="1136"/>
      <c r="AI38" s="1136"/>
      <c r="AJ38" s="1136"/>
      <c r="AK38" s="1136"/>
      <c r="AL38" s="1136"/>
      <c r="AM38" s="1136"/>
      <c r="AN38" s="1136"/>
      <c r="AO38" s="1136"/>
      <c r="AP38" s="1136"/>
      <c r="AQ38" s="1136"/>
      <c r="AR38" s="1136"/>
      <c r="AS38" s="1136"/>
      <c r="AT38" s="1136"/>
      <c r="AU38" s="1136"/>
      <c r="AV38" s="1136"/>
      <c r="AW38" s="1136"/>
      <c r="AX38" s="1136"/>
      <c r="AY38" s="1136"/>
      <c r="AZ38" s="1136"/>
      <c r="BA38" s="300"/>
    </row>
    <row r="39" spans="1:53" ht="23.25" customHeight="1">
      <c r="A39" s="1153" t="s">
        <v>811</v>
      </c>
      <c r="B39" s="1153"/>
      <c r="C39" s="1153"/>
      <c r="D39" s="1153"/>
      <c r="E39" s="1153"/>
      <c r="F39" s="1153"/>
      <c r="G39" s="1153"/>
      <c r="H39" s="1153"/>
      <c r="I39" s="1153"/>
      <c r="J39" s="1153"/>
      <c r="K39" s="1153"/>
      <c r="L39" s="1153"/>
      <c r="M39" s="1153"/>
      <c r="N39" s="1153"/>
      <c r="O39" s="1153"/>
      <c r="P39" s="1153"/>
      <c r="Q39" s="1153"/>
      <c r="R39" s="1153"/>
      <c r="S39" s="1153"/>
      <c r="T39" s="1153"/>
      <c r="U39" s="1153"/>
      <c r="V39" s="1153"/>
      <c r="W39" s="1153"/>
      <c r="X39" s="1153"/>
      <c r="Y39" s="1153"/>
      <c r="Z39" s="1153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153"/>
      <c r="AO39" s="1153"/>
      <c r="AP39" s="1153"/>
      <c r="AQ39" s="1153"/>
      <c r="AR39" s="1153"/>
      <c r="AS39" s="1153"/>
      <c r="AT39" s="1153"/>
      <c r="AU39" s="1153"/>
      <c r="AV39" s="1153"/>
      <c r="AW39" s="1153"/>
      <c r="AX39" s="1153"/>
      <c r="AY39" s="1153"/>
      <c r="AZ39" s="1153"/>
      <c r="BA39" s="300"/>
    </row>
    <row r="40" spans="1:53" ht="10.5" customHeight="1">
      <c r="A40" s="1154" t="str">
        <f>ПОДПИСИ!B17</f>
        <v xml:space="preserve">Заместитель генерального директора ООО «БЭСК» </v>
      </c>
      <c r="B40" s="1154"/>
      <c r="C40" s="1154"/>
      <c r="D40" s="1154"/>
      <c r="E40" s="1154"/>
      <c r="F40" s="1154"/>
      <c r="G40" s="1154"/>
      <c r="H40" s="1154"/>
      <c r="I40" s="1154"/>
      <c r="J40" s="1154"/>
      <c r="K40" s="1154"/>
      <c r="L40" s="1154"/>
      <c r="M40" s="1154"/>
      <c r="N40" s="1154"/>
      <c r="O40" s="1154"/>
      <c r="P40" s="1154"/>
      <c r="Q40" s="1154"/>
      <c r="R40" s="1154"/>
      <c r="S40" s="1154"/>
      <c r="T40" s="1154"/>
      <c r="U40" s="1154"/>
      <c r="V40" s="1154"/>
      <c r="W40" s="1154"/>
      <c r="X40" s="1154"/>
      <c r="Y40" s="1154"/>
      <c r="Z40" s="1154"/>
      <c r="AA40" s="1154"/>
      <c r="AB40" s="1154"/>
      <c r="AC40" s="1154"/>
      <c r="AD40" s="1154"/>
      <c r="AE40" s="1154"/>
      <c r="AF40" s="1154"/>
      <c r="AG40" s="1154"/>
      <c r="AH40" s="1154"/>
      <c r="AI40" s="1154"/>
      <c r="AJ40" s="1154"/>
      <c r="AK40" s="1154"/>
      <c r="AL40" s="1154"/>
      <c r="AM40" s="1154"/>
      <c r="AN40" s="1154"/>
      <c r="AO40" s="1154"/>
      <c r="AP40" s="1154"/>
      <c r="AQ40" s="1154"/>
      <c r="AR40" s="1154"/>
      <c r="AS40" s="1154"/>
      <c r="AT40" s="1154"/>
      <c r="AU40" s="1154"/>
      <c r="AV40" s="1154"/>
      <c r="AW40" s="1154"/>
      <c r="AX40" s="1154"/>
      <c r="AY40" s="1154"/>
      <c r="AZ40" s="1154"/>
      <c r="BA40" s="300"/>
    </row>
    <row r="41" spans="1:53" ht="15" customHeight="1">
      <c r="A41" s="1154" t="str">
        <f>CONCATENATE(ПОДПИСИ!C17," ",ПОДПИСИ!F17)</f>
        <v xml:space="preserve">Матвеев А.С. </v>
      </c>
      <c r="B41" s="1154"/>
      <c r="C41" s="1154"/>
      <c r="D41" s="1154"/>
      <c r="E41" s="1154"/>
      <c r="F41" s="1154"/>
      <c r="G41" s="1154"/>
      <c r="H41" s="1154"/>
      <c r="I41" s="1154"/>
      <c r="J41" s="1154"/>
      <c r="K41" s="1154"/>
      <c r="L41" s="1154"/>
      <c r="M41" s="1154"/>
      <c r="N41" s="1154"/>
      <c r="O41" s="1154"/>
      <c r="P41" s="1154"/>
      <c r="Q41" s="1154"/>
      <c r="R41" s="1154"/>
      <c r="S41" s="1154"/>
      <c r="T41" s="1154"/>
      <c r="U41" s="1154"/>
      <c r="V41" s="1154"/>
      <c r="W41" s="1154"/>
      <c r="X41" s="1154"/>
      <c r="Y41" s="1154"/>
      <c r="Z41" s="1154"/>
      <c r="AA41" s="1154"/>
      <c r="AB41" s="1154"/>
      <c r="AC41" s="1154"/>
      <c r="AD41" s="1154"/>
      <c r="AE41" s="1154"/>
      <c r="AF41" s="1154"/>
      <c r="AG41" s="1154"/>
      <c r="AH41" s="1154"/>
      <c r="AI41" s="1154"/>
      <c r="AJ41" s="1154"/>
      <c r="AK41" s="1154"/>
      <c r="AL41" s="1154"/>
      <c r="AM41" s="1154"/>
      <c r="AN41" s="1154"/>
      <c r="AO41" s="1154"/>
      <c r="AP41" s="1154"/>
      <c r="AQ41" s="1154"/>
      <c r="AR41" s="1154"/>
      <c r="AS41" s="1154"/>
      <c r="AT41" s="1154"/>
      <c r="AU41" s="1154"/>
      <c r="AV41" s="1154"/>
      <c r="AW41" s="1154"/>
      <c r="AX41" s="1154"/>
      <c r="AY41" s="1154"/>
      <c r="AZ41" s="1154"/>
      <c r="BA41" s="300"/>
    </row>
    <row r="42" spans="1:53" ht="15" customHeight="1">
      <c r="A42" s="1151" t="s">
        <v>781</v>
      </c>
      <c r="B42" s="1151"/>
      <c r="C42" s="1151"/>
      <c r="D42" s="1151"/>
      <c r="E42" s="1151"/>
      <c r="F42" s="1151"/>
      <c r="G42" s="1151"/>
      <c r="H42" s="1151"/>
      <c r="I42" s="1151"/>
      <c r="J42" s="1151"/>
      <c r="K42" s="1151"/>
      <c r="L42" s="1151"/>
      <c r="M42" s="1151"/>
      <c r="N42" s="1151"/>
      <c r="O42" s="1151"/>
      <c r="P42" s="1151"/>
      <c r="Q42" s="1151"/>
      <c r="R42" s="1151"/>
      <c r="S42" s="1151"/>
      <c r="T42" s="1151"/>
      <c r="U42" s="1151"/>
      <c r="V42" s="1151"/>
      <c r="W42" s="1151"/>
      <c r="X42" s="1151"/>
      <c r="Y42" s="1151"/>
      <c r="Z42" s="1151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151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  <c r="BA42" s="300"/>
    </row>
    <row r="43" spans="1:53" ht="12.75" customHeight="1">
      <c r="A43" s="1152"/>
      <c r="B43" s="1152"/>
      <c r="C43" s="1152"/>
      <c r="D43" s="1152"/>
      <c r="E43" s="1152"/>
      <c r="F43" s="1152"/>
      <c r="G43" s="1152"/>
      <c r="H43" s="1152"/>
      <c r="I43" s="1152"/>
      <c r="J43" s="1152"/>
      <c r="K43" s="1152"/>
      <c r="L43" s="1152"/>
      <c r="M43" s="1152"/>
      <c r="N43" s="1152"/>
      <c r="O43" s="1152"/>
      <c r="P43" s="1152"/>
      <c r="Q43" s="1152"/>
      <c r="R43" s="1152"/>
      <c r="S43" s="1152"/>
      <c r="T43" s="1152"/>
      <c r="U43" s="1152"/>
      <c r="V43" s="1152"/>
      <c r="W43" s="1152"/>
      <c r="X43" s="1152"/>
      <c r="Y43" s="1152"/>
      <c r="Z43" s="1152"/>
      <c r="AA43" s="1152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152"/>
      <c r="AO43" s="1152"/>
      <c r="AP43" s="1152"/>
      <c r="AQ43" s="1152"/>
      <c r="AR43" s="1152"/>
      <c r="AS43" s="1152"/>
      <c r="AT43" s="1152"/>
      <c r="AU43" s="1152"/>
      <c r="AV43" s="1152"/>
      <c r="AW43" s="1152"/>
      <c r="AX43" s="1152"/>
      <c r="AY43" s="1152"/>
      <c r="AZ43" s="1152"/>
      <c r="BA43" s="300"/>
    </row>
    <row r="44" spans="1:53" ht="8.25" customHeight="1">
      <c r="A44" s="1151" t="s">
        <v>812</v>
      </c>
      <c r="B44" s="1151"/>
      <c r="C44" s="1151"/>
      <c r="D44" s="1151"/>
      <c r="E44" s="1151"/>
      <c r="F44" s="1151"/>
      <c r="G44" s="1151"/>
      <c r="H44" s="1151"/>
      <c r="I44" s="1151"/>
      <c r="J44" s="1151"/>
      <c r="K44" s="1151"/>
      <c r="L44" s="1151"/>
      <c r="M44" s="1151"/>
      <c r="N44" s="1151"/>
      <c r="O44" s="1151"/>
      <c r="P44" s="1151"/>
      <c r="Q44" s="1151"/>
      <c r="R44" s="1151"/>
      <c r="S44" s="1151"/>
      <c r="T44" s="1151"/>
      <c r="U44" s="1151"/>
      <c r="V44" s="1151"/>
      <c r="W44" s="1151"/>
      <c r="X44" s="1151"/>
      <c r="Y44" s="1151"/>
      <c r="Z44" s="1151"/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151"/>
      <c r="AO44" s="1151"/>
      <c r="AP44" s="1151"/>
      <c r="AQ44" s="1151"/>
      <c r="AR44" s="1151"/>
      <c r="AS44" s="1151"/>
      <c r="AT44" s="1151"/>
      <c r="AU44" s="1151"/>
      <c r="AV44" s="1151"/>
      <c r="AW44" s="1151"/>
      <c r="AX44" s="1151"/>
      <c r="AY44" s="1151"/>
      <c r="AZ44" s="1151"/>
      <c r="BA44" s="300"/>
    </row>
    <row r="45" spans="1:53" ht="39" customHeight="1">
      <c r="A45" s="1132" t="s">
        <v>786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300"/>
    </row>
    <row r="46" spans="1:53" ht="12" customHeight="1">
      <c r="A46" s="1145" t="str">
        <f>ПОДПИСИ!B19</f>
        <v xml:space="preserve"> </v>
      </c>
      <c r="B46" s="1145"/>
      <c r="C46" s="1145"/>
      <c r="D46" s="1145"/>
      <c r="E46" s="1145"/>
      <c r="F46" s="1145"/>
      <c r="G46" s="1145"/>
      <c r="H46" s="1145"/>
      <c r="I46" s="1145"/>
      <c r="J46" s="1145"/>
      <c r="K46" s="1145"/>
      <c r="L46" s="1145"/>
      <c r="M46" s="1145"/>
      <c r="N46" s="1145"/>
      <c r="O46" s="1145"/>
      <c r="P46" s="1145"/>
      <c r="Q46" s="1145"/>
      <c r="R46" s="1145"/>
      <c r="S46" s="1145"/>
      <c r="T46" s="1145"/>
      <c r="U46" s="1145"/>
      <c r="V46" s="1145"/>
      <c r="W46" s="1145"/>
      <c r="X46" s="1145"/>
      <c r="Y46" s="1145"/>
      <c r="Z46" s="1145"/>
      <c r="AA46" s="1145"/>
      <c r="AB46" s="1145"/>
      <c r="AC46" s="1145"/>
      <c r="AD46" s="1145"/>
      <c r="AE46" s="1145"/>
      <c r="AF46" s="1145"/>
      <c r="AG46" s="1145"/>
      <c r="AH46" s="1145"/>
      <c r="AI46" s="1145"/>
      <c r="AJ46" s="1145"/>
      <c r="AK46" s="1145"/>
      <c r="AL46" s="1145"/>
      <c r="AM46" s="1145"/>
      <c r="AN46" s="1145"/>
      <c r="AO46" s="1145"/>
      <c r="AP46" s="1145"/>
      <c r="AQ46" s="1145"/>
      <c r="AR46" s="1145"/>
      <c r="AS46" s="1145"/>
      <c r="AT46" s="1145"/>
      <c r="AU46" s="1145"/>
      <c r="AV46" s="1145"/>
      <c r="AW46" s="1145"/>
      <c r="AX46" s="1145"/>
      <c r="AY46" s="1145"/>
      <c r="AZ46" s="1145"/>
      <c r="BA46" s="300"/>
    </row>
    <row r="47" spans="1:53" ht="11.25" customHeight="1">
      <c r="A47" s="1148" t="str">
        <f>CONCATENATE(ПОДПИСИ!C19," ",ПОДПИСИ!F19)</f>
        <v xml:space="preserve">  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300"/>
    </row>
    <row r="48" spans="1:53" ht="6" customHeight="1">
      <c r="A48" s="1149" t="s">
        <v>787</v>
      </c>
      <c r="B48" s="1149"/>
      <c r="C48" s="1149"/>
      <c r="D48" s="1149"/>
      <c r="E48" s="1149"/>
      <c r="F48" s="1149"/>
      <c r="G48" s="1149"/>
      <c r="H48" s="1149"/>
      <c r="I48" s="1149"/>
      <c r="J48" s="1149"/>
      <c r="K48" s="1149"/>
      <c r="L48" s="1149"/>
      <c r="M48" s="1149"/>
      <c r="N48" s="1149"/>
      <c r="O48" s="1149"/>
      <c r="P48" s="1149"/>
      <c r="Q48" s="1149"/>
      <c r="R48" s="1149"/>
      <c r="S48" s="1149"/>
      <c r="T48" s="1149"/>
      <c r="U48" s="1149"/>
      <c r="V48" s="1149"/>
      <c r="W48" s="1149"/>
      <c r="X48" s="1149"/>
      <c r="Y48" s="1149"/>
      <c r="Z48" s="1149"/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300"/>
    </row>
    <row r="49" spans="1:54" ht="15" customHeight="1">
      <c r="A49" s="1150"/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300"/>
    </row>
    <row r="50" spans="1:54" ht="15" customHeight="1">
      <c r="A50" s="1136" t="s">
        <v>788</v>
      </c>
      <c r="B50" s="1136"/>
      <c r="C50" s="1136"/>
      <c r="D50" s="1136"/>
      <c r="E50" s="1136"/>
      <c r="F50" s="1136"/>
      <c r="G50" s="1136"/>
      <c r="H50" s="1136"/>
      <c r="I50" s="1136"/>
      <c r="J50" s="1136"/>
      <c r="K50" s="1136"/>
      <c r="L50" s="1136"/>
      <c r="M50" s="1136"/>
      <c r="N50" s="1136"/>
      <c r="O50" s="1136"/>
      <c r="P50" s="1136"/>
      <c r="Q50" s="1136"/>
      <c r="R50" s="1136"/>
      <c r="S50" s="1136"/>
      <c r="T50" s="1136"/>
      <c r="U50" s="1136"/>
      <c r="V50" s="1136"/>
      <c r="W50" s="1136"/>
      <c r="X50" s="1136"/>
      <c r="Y50" s="1136"/>
      <c r="Z50" s="1136"/>
      <c r="AA50" s="1136"/>
      <c r="AB50" s="1136"/>
      <c r="AC50" s="1136"/>
      <c r="AD50" s="1136"/>
      <c r="AE50" s="1136"/>
      <c r="AF50" s="1136"/>
      <c r="AG50" s="1136"/>
      <c r="AH50" s="1136"/>
      <c r="AI50" s="1136"/>
      <c r="AJ50" s="1136"/>
      <c r="AK50" s="1136"/>
      <c r="AL50" s="1136"/>
      <c r="AM50" s="1136"/>
      <c r="AN50" s="1136"/>
      <c r="AO50" s="1136"/>
      <c r="AP50" s="1136"/>
      <c r="AQ50" s="1136"/>
      <c r="AR50" s="1136"/>
      <c r="AS50" s="1136"/>
      <c r="AT50" s="1136"/>
      <c r="AU50" s="1136"/>
      <c r="AV50" s="1136"/>
      <c r="AW50" s="1136"/>
      <c r="AX50" s="1136"/>
      <c r="AY50" s="1136"/>
      <c r="AZ50" s="1136"/>
      <c r="BA50" s="300"/>
    </row>
    <row r="51" spans="1:54" ht="21" customHeight="1">
      <c r="A51" s="1132" t="s">
        <v>789</v>
      </c>
      <c r="B51" s="1132"/>
      <c r="C51" s="1132"/>
      <c r="D51" s="1132"/>
      <c r="E51" s="1132"/>
      <c r="F51" s="1132"/>
      <c r="G51" s="1132"/>
      <c r="H51" s="1132"/>
      <c r="I51" s="1132"/>
      <c r="J51" s="1132"/>
      <c r="K51" s="1132"/>
      <c r="L51" s="1132"/>
      <c r="M51" s="1132"/>
      <c r="N51" s="1132"/>
      <c r="O51" s="1132"/>
      <c r="P51" s="1132"/>
      <c r="Q51" s="1132"/>
      <c r="R51" s="1132"/>
      <c r="S51" s="1132"/>
      <c r="T51" s="1132"/>
      <c r="U51" s="1132"/>
      <c r="V51" s="1132"/>
      <c r="W51" s="1132"/>
      <c r="X51" s="1132"/>
      <c r="Y51" s="1132"/>
      <c r="Z51" s="1132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300"/>
    </row>
    <row r="52" spans="1:54" ht="12" customHeight="1">
      <c r="A52" s="1147" t="str">
        <f>ПОДПИСИ!B14</f>
        <v>Инженер-геодезист ООО «БЭСК»</v>
      </c>
      <c r="B52" s="1147"/>
      <c r="C52" s="1147"/>
      <c r="D52" s="1147"/>
      <c r="E52" s="1147"/>
      <c r="F52" s="1147"/>
      <c r="G52" s="1147"/>
      <c r="H52" s="1147"/>
      <c r="I52" s="1147"/>
      <c r="J52" s="1147"/>
      <c r="K52" s="1147"/>
      <c r="L52" s="1147"/>
      <c r="M52" s="1147"/>
      <c r="N52" s="1147"/>
      <c r="O52" s="1147"/>
      <c r="P52" s="1147"/>
      <c r="Q52" s="1147"/>
      <c r="R52" s="1147"/>
      <c r="S52" s="1147"/>
      <c r="T52" s="1147"/>
      <c r="U52" s="1147"/>
      <c r="V52" s="1147"/>
      <c r="W52" s="1147"/>
      <c r="X52" s="1147"/>
      <c r="Y52" s="1147"/>
      <c r="Z52" s="1147"/>
      <c r="AA52" s="1147"/>
      <c r="AB52" s="1147"/>
      <c r="AC52" s="1147"/>
      <c r="AD52" s="1147"/>
      <c r="AE52" s="1147"/>
      <c r="AF52" s="1147"/>
      <c r="AG52" s="1147"/>
      <c r="AH52" s="1147"/>
      <c r="AI52" s="1147"/>
      <c r="AJ52" s="1147"/>
      <c r="AK52" s="1147"/>
      <c r="AL52" s="1147"/>
      <c r="AM52" s="1147"/>
      <c r="AN52" s="1147"/>
      <c r="AO52" s="1147"/>
      <c r="AP52" s="1147"/>
      <c r="AQ52" s="1147"/>
      <c r="AR52" s="1147"/>
      <c r="AS52" s="1147"/>
      <c r="AT52" s="1147"/>
      <c r="AU52" s="1147"/>
      <c r="AV52" s="1147"/>
      <c r="AW52" s="1147"/>
      <c r="AX52" s="1147"/>
      <c r="AY52" s="1147"/>
      <c r="AZ52" s="1147"/>
      <c r="BA52" s="308"/>
      <c r="BB52" s="294"/>
    </row>
    <row r="53" spans="1:54" ht="12" customHeight="1">
      <c r="A53" s="1144" t="str">
        <f>CONCATENATE(ПОДПИСИ!C14," ",ПОДПИСИ!F14)</f>
        <v xml:space="preserve">Алексеенков Д.С. </v>
      </c>
      <c r="B53" s="1144"/>
      <c r="C53" s="1144"/>
      <c r="D53" s="1144"/>
      <c r="E53" s="1144"/>
      <c r="F53" s="1144"/>
      <c r="G53" s="1144"/>
      <c r="H53" s="1144"/>
      <c r="I53" s="1144"/>
      <c r="J53" s="1144"/>
      <c r="K53" s="1144"/>
      <c r="L53" s="1144"/>
      <c r="M53" s="1144"/>
      <c r="N53" s="1144"/>
      <c r="O53" s="1144"/>
      <c r="P53" s="1144"/>
      <c r="Q53" s="1144"/>
      <c r="R53" s="1144"/>
      <c r="S53" s="1144"/>
      <c r="T53" s="1144"/>
      <c r="U53" s="1144"/>
      <c r="V53" s="1144"/>
      <c r="W53" s="1144"/>
      <c r="X53" s="1144"/>
      <c r="Y53" s="1144"/>
      <c r="Z53" s="1144"/>
      <c r="AA53" s="1144"/>
      <c r="AB53" s="1144"/>
      <c r="AC53" s="1144"/>
      <c r="AD53" s="1144"/>
      <c r="AE53" s="1144"/>
      <c r="AF53" s="1144"/>
      <c r="AG53" s="1144"/>
      <c r="AH53" s="1144"/>
      <c r="AI53" s="1144"/>
      <c r="AJ53" s="1144"/>
      <c r="AK53" s="1144"/>
      <c r="AL53" s="1144"/>
      <c r="AM53" s="1144"/>
      <c r="AN53" s="1144"/>
      <c r="AO53" s="1144"/>
      <c r="AP53" s="1144"/>
      <c r="AQ53" s="1144"/>
      <c r="AR53" s="1144"/>
      <c r="AS53" s="1144"/>
      <c r="AT53" s="1144"/>
      <c r="AU53" s="1144"/>
      <c r="AV53" s="1144"/>
      <c r="AW53" s="1144"/>
      <c r="AX53" s="1144"/>
      <c r="AY53" s="1144"/>
      <c r="AZ53" s="1144"/>
      <c r="BA53" s="300"/>
    </row>
    <row r="54" spans="1:54" ht="6" customHeight="1">
      <c r="A54" s="1134" t="s">
        <v>787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300"/>
    </row>
    <row r="55" spans="1:54">
      <c r="A55" s="1135"/>
      <c r="B55" s="1135"/>
      <c r="C55" s="1135"/>
      <c r="D55" s="1135"/>
      <c r="E55" s="1135"/>
      <c r="F55" s="1135"/>
      <c r="G55" s="1135"/>
      <c r="H55" s="1135"/>
      <c r="I55" s="1135"/>
      <c r="J55" s="1135"/>
      <c r="K55" s="1135"/>
      <c r="L55" s="1135"/>
      <c r="M55" s="1135"/>
      <c r="N55" s="1135"/>
      <c r="O55" s="1135"/>
      <c r="P55" s="1135"/>
      <c r="Q55" s="1135"/>
      <c r="R55" s="1135"/>
      <c r="S55" s="1135"/>
      <c r="T55" s="1135"/>
      <c r="U55" s="1135"/>
      <c r="V55" s="1135"/>
      <c r="W55" s="1135"/>
      <c r="X55" s="1135"/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  <c r="AL55" s="1135"/>
      <c r="AM55" s="1135"/>
      <c r="AN55" s="1135"/>
      <c r="AO55" s="1135"/>
      <c r="AP55" s="1135"/>
      <c r="AQ55" s="1135"/>
      <c r="AR55" s="1135"/>
      <c r="AS55" s="1135"/>
      <c r="AT55" s="1135"/>
      <c r="AU55" s="1135"/>
      <c r="AV55" s="1135"/>
      <c r="AW55" s="1135"/>
      <c r="AX55" s="1135"/>
      <c r="AY55" s="1135"/>
      <c r="AZ55" s="1135"/>
      <c r="BA55" s="300"/>
    </row>
    <row r="56" spans="1:54" ht="15" customHeight="1">
      <c r="A56" s="1136" t="s">
        <v>790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36"/>
      <c r="AC56" s="1136"/>
      <c r="AD56" s="1136"/>
      <c r="AE56" s="1136"/>
      <c r="AF56" s="1136"/>
      <c r="AG56" s="1136"/>
      <c r="AH56" s="1136"/>
      <c r="AI56" s="1136"/>
      <c r="AJ56" s="1136"/>
      <c r="AK56" s="1136"/>
      <c r="AL56" s="1136"/>
      <c r="AM56" s="1136"/>
      <c r="AN56" s="1136"/>
      <c r="AO56" s="1136"/>
      <c r="AP56" s="1136"/>
      <c r="AQ56" s="1136"/>
      <c r="AR56" s="1136"/>
      <c r="AS56" s="1136"/>
      <c r="AT56" s="1136"/>
      <c r="AU56" s="1136"/>
      <c r="AV56" s="1136"/>
      <c r="AW56" s="1136"/>
      <c r="AX56" s="1136"/>
      <c r="AY56" s="1136"/>
      <c r="AZ56" s="1136"/>
      <c r="BA56" s="300"/>
    </row>
    <row r="57" spans="1:54" ht="15" customHeight="1" outlineLevel="1">
      <c r="A57" s="1100" t="s">
        <v>79</v>
      </c>
      <c r="B57" s="1100"/>
      <c r="C57" s="1100"/>
      <c r="D57" s="1100"/>
      <c r="E57" s="1100"/>
      <c r="F57" s="1100"/>
      <c r="G57" s="1100"/>
      <c r="H57" s="1100"/>
      <c r="I57" s="1100"/>
      <c r="J57" s="1100"/>
      <c r="K57" s="1100"/>
      <c r="L57" s="1100"/>
      <c r="M57" s="1100"/>
      <c r="N57" s="1100"/>
      <c r="O57" s="1100"/>
      <c r="P57" s="1100"/>
      <c r="Q57" s="1100"/>
      <c r="R57" s="1100"/>
      <c r="S57" s="1100"/>
      <c r="T57" s="1100"/>
      <c r="U57" s="1100"/>
      <c r="V57" s="1100"/>
      <c r="W57" s="1100"/>
      <c r="X57" s="1100"/>
      <c r="Y57" s="1100"/>
      <c r="Z57" s="1100"/>
      <c r="AA57" s="1100"/>
      <c r="AB57" s="1100"/>
      <c r="AC57" s="1100"/>
      <c r="AD57" s="1100"/>
      <c r="AE57" s="1100"/>
      <c r="AF57" s="1100"/>
      <c r="AG57" s="1100"/>
      <c r="AH57" s="1100"/>
      <c r="AI57" s="1100"/>
      <c r="AJ57" s="1100"/>
      <c r="AK57" s="1100"/>
      <c r="BA57" s="300"/>
    </row>
    <row r="58" spans="1:54" ht="25.5" customHeight="1" outlineLevel="1">
      <c r="A58" s="1106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106"/>
      <c r="C58" s="1106"/>
      <c r="D58" s="1106"/>
      <c r="E58" s="1106"/>
      <c r="F58" s="1106"/>
      <c r="G58" s="1106"/>
      <c r="H58" s="1106"/>
      <c r="I58" s="1106"/>
      <c r="J58" s="1106"/>
      <c r="K58" s="1106"/>
      <c r="L58" s="1106"/>
      <c r="M58" s="1106"/>
      <c r="N58" s="1106"/>
      <c r="O58" s="1106"/>
      <c r="P58" s="1106"/>
      <c r="Q58" s="1106"/>
      <c r="R58" s="1106"/>
      <c r="S58" s="1106"/>
      <c r="T58" s="1106"/>
      <c r="U58" s="1106"/>
      <c r="V58" s="1106"/>
      <c r="W58" s="1106"/>
      <c r="X58" s="1106"/>
      <c r="Y58" s="1106"/>
      <c r="Z58" s="1106"/>
      <c r="AA58" s="1106"/>
      <c r="AB58" s="1106"/>
      <c r="AC58" s="1106"/>
      <c r="AD58" s="1106"/>
      <c r="AE58" s="1106"/>
      <c r="AF58" s="1106"/>
      <c r="AG58" s="1106"/>
      <c r="AH58" s="1106"/>
      <c r="AI58" s="1106"/>
      <c r="AJ58" s="1106"/>
      <c r="AK58" s="1106"/>
      <c r="AL58" s="1106"/>
      <c r="AM58" s="1106"/>
      <c r="AN58" s="1106"/>
      <c r="AO58" s="1106"/>
      <c r="AP58" s="1106"/>
      <c r="AQ58" s="1106"/>
      <c r="AR58" s="1106"/>
      <c r="AS58" s="1106"/>
      <c r="AT58" s="1106"/>
      <c r="AU58" s="1106"/>
      <c r="AV58" s="1106"/>
      <c r="AW58" s="1106"/>
      <c r="AX58" s="1106"/>
      <c r="AY58" s="1106"/>
      <c r="AZ58" s="1106"/>
      <c r="BA58" s="300"/>
    </row>
    <row r="59" spans="1:54" ht="8.25" customHeight="1" outlineLevel="1">
      <c r="A59" s="1105" t="s">
        <v>523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300"/>
    </row>
    <row r="60" spans="1:54" ht="21" customHeight="1">
      <c r="A60" s="1132" t="s">
        <v>791</v>
      </c>
      <c r="B60" s="1132"/>
      <c r="C60" s="1132"/>
      <c r="D60" s="1132"/>
      <c r="E60" s="1132"/>
      <c r="F60" s="1132"/>
      <c r="G60" s="1132"/>
      <c r="H60" s="1132"/>
      <c r="I60" s="1132"/>
      <c r="J60" s="1132"/>
      <c r="K60" s="1132"/>
      <c r="L60" s="1132"/>
      <c r="M60" s="1132"/>
      <c r="N60" s="1132"/>
      <c r="O60" s="1132"/>
      <c r="P60" s="1132"/>
      <c r="Q60" s="1132"/>
      <c r="R60" s="1132"/>
      <c r="S60" s="1132"/>
      <c r="T60" s="1132"/>
      <c r="U60" s="1132"/>
      <c r="V60" s="1132"/>
      <c r="W60" s="1132"/>
      <c r="X60" s="1132"/>
      <c r="Y60" s="1132"/>
      <c r="Z60" s="1132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132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300"/>
    </row>
    <row r="61" spans="1:54" ht="12" customHeight="1">
      <c r="A61" s="1141" t="str">
        <f>ФОРМА!D21</f>
        <v>воздушной линии 0,4кВ</v>
      </c>
      <c r="B61" s="1141"/>
      <c r="C61" s="1141"/>
      <c r="D61" s="1141"/>
      <c r="E61" s="1141"/>
      <c r="F61" s="1141"/>
      <c r="G61" s="1141"/>
      <c r="H61" s="1141"/>
      <c r="I61" s="1141"/>
      <c r="J61" s="1141"/>
      <c r="K61" s="1141"/>
      <c r="L61" s="1141"/>
      <c r="M61" s="1141"/>
      <c r="N61" s="1141"/>
      <c r="O61" s="1141"/>
      <c r="P61" s="1141"/>
      <c r="Q61" s="1141"/>
      <c r="R61" s="1141"/>
      <c r="S61" s="1141"/>
      <c r="T61" s="1141"/>
      <c r="U61" s="1141"/>
      <c r="V61" s="1141"/>
      <c r="W61" s="1141"/>
      <c r="X61" s="1141"/>
      <c r="Y61" s="1141"/>
      <c r="Z61" s="1141"/>
      <c r="AA61" s="1141"/>
      <c r="AB61" s="1141"/>
      <c r="AC61" s="1141"/>
      <c r="AD61" s="1141"/>
      <c r="AE61" s="1141"/>
      <c r="AF61" s="1141"/>
      <c r="AG61" s="1141"/>
      <c r="AH61" s="1141"/>
      <c r="AI61" s="1141"/>
      <c r="AJ61" s="1141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300"/>
    </row>
    <row r="62" spans="1:54" s="305" customFormat="1" ht="6" customHeight="1">
      <c r="A62" s="1131" t="s">
        <v>431</v>
      </c>
      <c r="B62" s="1131"/>
      <c r="C62" s="1131"/>
      <c r="D62" s="1131"/>
      <c r="E62" s="1131"/>
      <c r="F62" s="1131"/>
      <c r="G62" s="1131"/>
      <c r="H62" s="1131"/>
      <c r="I62" s="1131"/>
      <c r="J62" s="1131"/>
      <c r="K62" s="1131"/>
      <c r="L62" s="1131"/>
      <c r="M62" s="1131"/>
      <c r="N62" s="1131"/>
      <c r="O62" s="1131"/>
      <c r="P62" s="1131"/>
      <c r="Q62" s="1131"/>
      <c r="R62" s="1131"/>
      <c r="S62" s="1131"/>
      <c r="T62" s="1131"/>
      <c r="U62" s="1131"/>
      <c r="V62" s="1131"/>
      <c r="W62" s="1131"/>
      <c r="X62" s="1131"/>
      <c r="Y62" s="1131"/>
      <c r="Z62" s="1131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304"/>
    </row>
    <row r="63" spans="1:54" ht="48" customHeight="1">
      <c r="A63" s="1155" t="s">
        <v>792</v>
      </c>
      <c r="B63" s="1155"/>
      <c r="C63" s="1155"/>
      <c r="D63" s="1155"/>
      <c r="E63" s="1155"/>
      <c r="F63" s="1155"/>
      <c r="G63" s="1155"/>
      <c r="H63" s="1155"/>
      <c r="I63" s="1155"/>
      <c r="J63" s="1155"/>
      <c r="K63" s="1155"/>
      <c r="L63" s="1155"/>
      <c r="M63" s="1155"/>
      <c r="N63" s="1155"/>
      <c r="O63" s="1155"/>
      <c r="P63" s="1155"/>
      <c r="Q63" s="1155"/>
      <c r="R63" s="1155"/>
      <c r="S63" s="1155"/>
      <c r="T63" s="1155"/>
      <c r="U63" s="1155"/>
      <c r="V63" s="1155"/>
      <c r="W63" s="1155"/>
      <c r="X63" s="1155"/>
      <c r="Y63" s="1155"/>
      <c r="Z63" s="1155"/>
      <c r="AA63" s="1155"/>
      <c r="AB63" s="1155"/>
      <c r="AC63" s="1155"/>
      <c r="AD63" s="1155"/>
      <c r="AE63" s="1155"/>
      <c r="AF63" s="1155"/>
      <c r="AG63" s="1155"/>
      <c r="AH63" s="1155"/>
      <c r="AI63" s="1155"/>
      <c r="AJ63" s="1155"/>
      <c r="AK63" s="1155"/>
      <c r="AL63" s="1155"/>
      <c r="AM63" s="1155"/>
      <c r="AN63" s="1155"/>
      <c r="AO63" s="1155"/>
      <c r="AP63" s="1155"/>
      <c r="AQ63" s="1155"/>
      <c r="AR63" s="1155"/>
      <c r="AS63" s="1155"/>
      <c r="AT63" s="1155"/>
      <c r="AU63" s="1155"/>
      <c r="AV63" s="1155"/>
      <c r="AW63" s="1155"/>
      <c r="AX63" s="1155"/>
      <c r="AY63" s="1155"/>
      <c r="AZ63" s="1155"/>
      <c r="BA63" s="300"/>
    </row>
    <row r="64" spans="1:54" ht="11.25" customHeight="1">
      <c r="A64" s="1141" t="str">
        <f>ФОРМА!B9</f>
        <v>СЭС-23-32939-ЭС-ТКР2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300"/>
    </row>
    <row r="65" spans="1:53" s="305" customFormat="1" ht="6" customHeight="1">
      <c r="A65" s="1149" t="s">
        <v>793</v>
      </c>
      <c r="B65" s="1149"/>
      <c r="C65" s="1149"/>
      <c r="D65" s="1149"/>
      <c r="E65" s="1149"/>
      <c r="F65" s="1149"/>
      <c r="G65" s="1149"/>
      <c r="H65" s="1149"/>
      <c r="I65" s="1149"/>
      <c r="J65" s="1149"/>
      <c r="K65" s="1149"/>
      <c r="L65" s="1149"/>
      <c r="M65" s="1149"/>
      <c r="N65" s="1149"/>
      <c r="O65" s="1149"/>
      <c r="P65" s="1149"/>
      <c r="Q65" s="1149"/>
      <c r="R65" s="1149"/>
      <c r="S65" s="1149"/>
      <c r="T65" s="1149"/>
      <c r="U65" s="1149"/>
      <c r="V65" s="1149"/>
      <c r="W65" s="1149"/>
      <c r="X65" s="1149"/>
      <c r="Y65" s="1149"/>
      <c r="Z65" s="1149"/>
      <c r="AA65" s="1149"/>
      <c r="AB65" s="1149"/>
      <c r="AC65" s="1149"/>
      <c r="AD65" s="1149"/>
      <c r="AE65" s="1149"/>
      <c r="AF65" s="1149"/>
      <c r="AG65" s="1149"/>
      <c r="AH65" s="1149"/>
      <c r="AI65" s="1149"/>
      <c r="AJ65" s="1149"/>
      <c r="AK65" s="1149"/>
      <c r="AL65" s="1149"/>
      <c r="AM65" s="1149"/>
      <c r="AN65" s="1149"/>
      <c r="AO65" s="1149"/>
      <c r="AP65" s="1149"/>
      <c r="AQ65" s="1149"/>
      <c r="AR65" s="1149"/>
      <c r="AS65" s="1149"/>
      <c r="AT65" s="1149"/>
      <c r="AU65" s="1149"/>
      <c r="AV65" s="1149"/>
      <c r="AW65" s="1149"/>
      <c r="AX65" s="1149"/>
      <c r="AY65" s="1149"/>
      <c r="AZ65" s="1149"/>
      <c r="BA65" s="304"/>
    </row>
    <row r="66" spans="1:53" ht="13.15" customHeight="1">
      <c r="A66" s="1141" t="str">
        <f>ФОРМА!B8</f>
        <v>ООО «Строительные энергетические технологии»</v>
      </c>
      <c r="B66" s="1141"/>
      <c r="C66" s="1141"/>
      <c r="D66" s="1141"/>
      <c r="E66" s="1141"/>
      <c r="F66" s="1141"/>
      <c r="G66" s="1141"/>
      <c r="H66" s="1141"/>
      <c r="I66" s="1141"/>
      <c r="J66" s="1141"/>
      <c r="K66" s="1141"/>
      <c r="L66" s="1141"/>
      <c r="M66" s="1141"/>
      <c r="N66" s="1141"/>
      <c r="O66" s="1141"/>
      <c r="P66" s="1141"/>
      <c r="Q66" s="1141"/>
      <c r="R66" s="1141"/>
      <c r="S66" s="1141"/>
      <c r="T66" s="1141"/>
      <c r="U66" s="1141"/>
      <c r="V66" s="1141"/>
      <c r="W66" s="1141"/>
      <c r="X66" s="1141"/>
      <c r="Y66" s="1141"/>
      <c r="Z66" s="1141"/>
      <c r="AA66" s="1141"/>
      <c r="AB66" s="1141"/>
      <c r="AC66" s="1141"/>
      <c r="AD66" s="1141"/>
      <c r="AE66" s="1141"/>
      <c r="AF66" s="1141"/>
      <c r="AG66" s="1141"/>
      <c r="AH66" s="1141"/>
      <c r="AI66" s="1141"/>
      <c r="AJ66" s="1141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300"/>
    </row>
    <row r="67" spans="1:53" s="305" customFormat="1" ht="6" customHeight="1">
      <c r="A67" s="1149" t="s">
        <v>794</v>
      </c>
      <c r="B67" s="1149"/>
      <c r="C67" s="1149"/>
      <c r="D67" s="1149"/>
      <c r="E67" s="1149"/>
      <c r="F67" s="1149"/>
      <c r="G67" s="1149"/>
      <c r="H67" s="1149"/>
      <c r="I67" s="1149"/>
      <c r="J67" s="1149"/>
      <c r="K67" s="1149"/>
      <c r="L67" s="1149"/>
      <c r="M67" s="1149"/>
      <c r="N67" s="1149"/>
      <c r="O67" s="1149"/>
      <c r="P67" s="1149"/>
      <c r="Q67" s="1149"/>
      <c r="R67" s="1149"/>
      <c r="S67" s="1149"/>
      <c r="T67" s="1149"/>
      <c r="U67" s="1149"/>
      <c r="V67" s="1149"/>
      <c r="W67" s="1149"/>
      <c r="X67" s="1149"/>
      <c r="Y67" s="1149"/>
      <c r="Z67" s="1149"/>
      <c r="AA67" s="1149"/>
      <c r="AB67" s="1149"/>
      <c r="AC67" s="1149"/>
      <c r="AD67" s="1149"/>
      <c r="AE67" s="1149"/>
      <c r="AF67" s="1149"/>
      <c r="AG67" s="1149"/>
      <c r="AH67" s="1149"/>
      <c r="AI67" s="1149"/>
      <c r="AJ67" s="1149"/>
      <c r="AK67" s="1149"/>
      <c r="AL67" s="1149"/>
      <c r="AM67" s="1149"/>
      <c r="AN67" s="1149"/>
      <c r="AO67" s="1149"/>
      <c r="AP67" s="1149"/>
      <c r="AQ67" s="1149"/>
      <c r="AR67" s="1149"/>
      <c r="AS67" s="1149"/>
      <c r="AT67" s="1149"/>
      <c r="AU67" s="1149"/>
      <c r="AV67" s="1149"/>
      <c r="AW67" s="1149"/>
      <c r="AX67" s="1149"/>
      <c r="AY67" s="1149"/>
      <c r="AZ67" s="1149"/>
      <c r="BA67" s="1149"/>
    </row>
    <row r="68" spans="1:53" ht="13.15" customHeight="1">
      <c r="A68" s="1141" t="s">
        <v>726</v>
      </c>
      <c r="B68" s="1141"/>
      <c r="C68" s="1141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300"/>
    </row>
    <row r="69" spans="1:53" s="305" customFormat="1" ht="6" customHeight="1">
      <c r="A69" s="1149" t="s">
        <v>795</v>
      </c>
      <c r="B69" s="1149"/>
      <c r="C69" s="1149"/>
      <c r="D69" s="1149"/>
      <c r="E69" s="1149"/>
      <c r="F69" s="1149"/>
      <c r="G69" s="1149"/>
      <c r="H69" s="1149"/>
      <c r="I69" s="1149"/>
      <c r="J69" s="1149"/>
      <c r="K69" s="1149"/>
      <c r="L69" s="1149"/>
      <c r="M69" s="1149"/>
      <c r="N69" s="1149"/>
      <c r="O69" s="1149"/>
      <c r="P69" s="1149"/>
      <c r="Q69" s="1149"/>
      <c r="R69" s="1149"/>
      <c r="S69" s="1149"/>
      <c r="T69" s="1149"/>
      <c r="U69" s="1149"/>
      <c r="V69" s="1149"/>
      <c r="W69" s="1149"/>
      <c r="X69" s="1149"/>
      <c r="Y69" s="1149"/>
      <c r="Z69" s="1149"/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1149"/>
    </row>
    <row r="70" spans="1:53" ht="12" customHeight="1">
      <c r="A70" s="1132" t="s">
        <v>593</v>
      </c>
      <c r="B70" s="1132"/>
      <c r="C70" s="1132"/>
      <c r="D70" s="1132"/>
      <c r="E70" s="1132"/>
      <c r="F70" s="1132"/>
      <c r="G70" s="1132"/>
      <c r="H70" s="1132"/>
      <c r="I70" s="1132"/>
      <c r="J70" s="1132"/>
      <c r="K70" s="1132"/>
      <c r="L70" s="1132"/>
      <c r="M70" s="1132"/>
      <c r="N70" s="1132"/>
      <c r="O70" s="1132"/>
      <c r="P70" s="1132"/>
      <c r="Q70" s="1132"/>
      <c r="R70" s="1132"/>
      <c r="S70" s="1132"/>
      <c r="T70" s="1132"/>
      <c r="U70" s="1132"/>
      <c r="V70" s="1132"/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300"/>
    </row>
    <row r="71" spans="1:53" ht="6" customHeight="1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1142"/>
      <c r="V71" s="1142"/>
      <c r="W71" s="1142"/>
      <c r="X71" s="1142"/>
      <c r="Y71" s="1142"/>
      <c r="Z71" s="1142"/>
      <c r="AA71" s="1142"/>
      <c r="AB71" s="1142"/>
      <c r="AC71" s="1142"/>
      <c r="AD71" s="1142"/>
      <c r="AE71" s="1142"/>
      <c r="AF71" s="1142"/>
      <c r="AG71" s="1142"/>
      <c r="AH71" s="1142"/>
      <c r="AI71" s="1142"/>
      <c r="AJ71" s="1142"/>
      <c r="AK71" s="1142"/>
      <c r="AL71" s="1142"/>
      <c r="AM71" s="1142"/>
      <c r="AN71" s="1142"/>
      <c r="AO71" s="1142"/>
      <c r="AP71" s="1142"/>
      <c r="AQ71" s="1142"/>
      <c r="AR71" s="1142"/>
      <c r="AS71" s="1142"/>
      <c r="AT71" s="1142"/>
      <c r="AU71" s="1142"/>
      <c r="AV71" s="1142"/>
      <c r="AW71" s="1142"/>
      <c r="AX71" s="1142"/>
      <c r="AY71" s="1142"/>
      <c r="AZ71" s="1142"/>
      <c r="BA71" s="300"/>
    </row>
    <row r="72" spans="1:53" ht="11.25" customHeight="1">
      <c r="A72" s="1129" t="s">
        <v>86</v>
      </c>
      <c r="B72" s="1129"/>
      <c r="C72" s="1129"/>
      <c r="D72" s="1129"/>
      <c r="E72" s="1129"/>
      <c r="F72" s="1129"/>
      <c r="G72" s="1129"/>
      <c r="H72" s="1129"/>
      <c r="I72" s="1129"/>
      <c r="J72" s="1129"/>
      <c r="K72" s="1129"/>
      <c r="L72" s="1129"/>
      <c r="M72" s="1129"/>
      <c r="N72" s="1129"/>
      <c r="O72" s="1129"/>
      <c r="P72" s="1156" t="s">
        <v>65</v>
      </c>
      <c r="Q72" s="1156"/>
      <c r="R72" s="1156"/>
      <c r="S72" s="1156"/>
      <c r="T72" s="1156"/>
      <c r="U72" s="1156"/>
      <c r="V72" s="1156"/>
      <c r="W72" s="1156"/>
      <c r="X72" s="1156"/>
      <c r="Y72" s="1156"/>
      <c r="Z72" s="1156"/>
      <c r="AA72" s="1156"/>
      <c r="AB72" s="1156"/>
      <c r="AC72" s="1156"/>
      <c r="AD72" s="1156"/>
      <c r="AE72" s="1156"/>
      <c r="AF72" s="1156"/>
      <c r="AG72" s="1156"/>
      <c r="AH72" s="1156"/>
      <c r="AI72" s="1156"/>
      <c r="AJ72" s="1156"/>
      <c r="AK72" s="1156"/>
      <c r="AL72" s="1156"/>
      <c r="AM72" s="1156"/>
      <c r="AN72" s="1156"/>
      <c r="AO72" s="1156"/>
      <c r="AP72" s="1156"/>
      <c r="AQ72" s="1156"/>
      <c r="AR72" s="1156"/>
      <c r="AS72" s="1156"/>
      <c r="AT72" s="1156"/>
      <c r="AU72" s="1156"/>
      <c r="AV72" s="1156"/>
      <c r="AW72" s="1156"/>
      <c r="AX72" s="1156"/>
      <c r="AY72" s="1156"/>
      <c r="AZ72" s="1156"/>
      <c r="BA72" s="300"/>
    </row>
    <row r="73" spans="1:53" ht="6" customHeight="1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>
      <c r="A74" s="1129" t="s">
        <v>90</v>
      </c>
      <c r="B74" s="1129"/>
      <c r="C74" s="1129"/>
      <c r="D74" s="1129"/>
      <c r="E74" s="1129"/>
      <c r="F74" s="1129"/>
      <c r="G74" s="1129"/>
      <c r="H74" s="1129"/>
      <c r="I74" s="1129"/>
      <c r="J74" s="1141">
        <f>ФОРМА!F5</f>
        <v>2</v>
      </c>
      <c r="K74" s="1141"/>
      <c r="L74" s="1141"/>
      <c r="M74" s="1141"/>
      <c r="N74" s="1141"/>
      <c r="O74" s="1141"/>
      <c r="P74" s="1132" t="s">
        <v>796</v>
      </c>
      <c r="Q74" s="1129"/>
      <c r="R74" s="1129"/>
      <c r="S74" s="1129"/>
      <c r="T74" s="1129"/>
      <c r="U74" s="1129"/>
      <c r="V74" s="1129"/>
      <c r="W74" s="1129"/>
      <c r="X74" s="1129"/>
      <c r="Y74" s="1129"/>
      <c r="Z74" s="1129"/>
      <c r="AA74" s="1129"/>
      <c r="AB74" s="1129"/>
      <c r="AC74" s="1129"/>
      <c r="AD74" s="1129"/>
      <c r="AE74" s="1129"/>
      <c r="AF74" s="1129"/>
      <c r="AG74" s="1129"/>
      <c r="AH74" s="1129"/>
      <c r="AI74" s="1129"/>
      <c r="AJ74" s="1129"/>
      <c r="AK74" s="1129"/>
      <c r="AL74" s="1129"/>
      <c r="AM74" s="1129"/>
      <c r="AN74" s="1129"/>
      <c r="AO74" s="1129"/>
      <c r="AP74" s="1129"/>
      <c r="AQ74" s="1129"/>
      <c r="AR74" s="1129"/>
      <c r="AS74" s="1129"/>
      <c r="AT74" s="1129"/>
      <c r="AU74" s="1129"/>
      <c r="AV74" s="1129"/>
      <c r="AW74" s="1129"/>
      <c r="AX74" s="1129"/>
      <c r="AY74" s="1129"/>
      <c r="AZ74" s="112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>
      <c r="A76" s="1140" t="s">
        <v>87</v>
      </c>
      <c r="B76" s="1140"/>
      <c r="C76" s="1140"/>
      <c r="D76" s="1140"/>
      <c r="E76" s="1140"/>
      <c r="F76" s="1140"/>
      <c r="G76" s="1140"/>
      <c r="H76" s="1161" t="str">
        <f>ФОРМА!E21</f>
        <v>План строительства</v>
      </c>
      <c r="I76" s="1161"/>
      <c r="J76" s="1161"/>
      <c r="K76" s="1161"/>
      <c r="L76" s="1161"/>
      <c r="M76" s="1161"/>
      <c r="N76" s="1161"/>
      <c r="O76" s="1161"/>
      <c r="P76" s="1161"/>
      <c r="Q76" s="1161"/>
      <c r="R76" s="1161"/>
      <c r="S76" s="1161"/>
      <c r="T76" s="1161"/>
      <c r="U76" s="1161"/>
      <c r="V76" s="1161"/>
      <c r="W76" s="1161"/>
      <c r="X76" s="1161"/>
      <c r="Y76" s="1161"/>
      <c r="Z76" s="1161"/>
      <c r="AA76" s="1161"/>
      <c r="AB76" s="1161"/>
      <c r="AC76" s="1161"/>
      <c r="AD76" s="1161"/>
      <c r="AE76" s="1161"/>
      <c r="AF76" s="1161"/>
      <c r="AG76" s="1161"/>
      <c r="AH76" s="1161"/>
      <c r="AI76" s="1161"/>
      <c r="AJ76" s="1161"/>
      <c r="AK76" s="1161"/>
      <c r="AL76" s="1161"/>
      <c r="AM76" s="1161"/>
      <c r="AN76" s="1161"/>
      <c r="AO76" s="1161"/>
      <c r="AP76" s="1161"/>
      <c r="AQ76" s="1161"/>
      <c r="AR76" s="1161"/>
      <c r="AS76" s="1161"/>
      <c r="AT76" s="1161"/>
      <c r="AU76" s="1161"/>
      <c r="AV76" s="1161"/>
      <c r="AW76" s="1161"/>
      <c r="AX76" s="1161"/>
      <c r="AY76" s="1161"/>
      <c r="AZ76" s="1161"/>
      <c r="BA76" s="300"/>
    </row>
    <row r="77" spans="1:53" s="310" customFormat="1" ht="6" customHeight="1">
      <c r="A77" s="309"/>
      <c r="B77" s="309"/>
      <c r="C77" s="309"/>
      <c r="D77" s="309"/>
      <c r="E77" s="309"/>
      <c r="F77" s="309"/>
      <c r="G77" s="309"/>
      <c r="H77" s="1131" t="s">
        <v>797</v>
      </c>
      <c r="I77" s="1131"/>
      <c r="J77" s="1131"/>
      <c r="K77" s="1131"/>
      <c r="L77" s="1131"/>
      <c r="M77" s="1131"/>
      <c r="N77" s="1131"/>
      <c r="O77" s="1131"/>
      <c r="P77" s="1131"/>
      <c r="Q77" s="1131"/>
      <c r="R77" s="1131"/>
      <c r="S77" s="1131"/>
      <c r="T77" s="1131"/>
      <c r="U77" s="1131"/>
      <c r="V77" s="1131"/>
      <c r="W77" s="1131"/>
      <c r="X77" s="1131"/>
      <c r="Y77" s="1131"/>
      <c r="Z77" s="1131"/>
      <c r="AA77" s="1131"/>
      <c r="AB77" s="1131"/>
      <c r="AC77" s="1131"/>
      <c r="AD77" s="1131"/>
      <c r="AE77" s="1131"/>
      <c r="AF77" s="1131"/>
      <c r="AG77" s="1131"/>
      <c r="AH77" s="1131"/>
      <c r="AI77" s="1131"/>
      <c r="AJ77" s="1131"/>
      <c r="AK77" s="1131"/>
      <c r="AL77" s="1131"/>
      <c r="AM77" s="1131"/>
      <c r="AN77" s="1131"/>
      <c r="AO77" s="1131"/>
      <c r="AP77" s="1131"/>
      <c r="AQ77" s="1131"/>
      <c r="AR77" s="1131"/>
      <c r="AS77" s="1131"/>
      <c r="AT77" s="1131"/>
      <c r="AU77" s="1131"/>
      <c r="AV77" s="1131"/>
      <c r="AW77" s="1131"/>
      <c r="AX77" s="1131"/>
      <c r="AY77" s="1131"/>
      <c r="AZ77" s="1131"/>
      <c r="BA77" s="309"/>
    </row>
    <row r="78" spans="1:53" ht="21" customHeight="1">
      <c r="A78" s="1132" t="s">
        <v>780</v>
      </c>
      <c r="B78" s="1132"/>
      <c r="C78" s="1132"/>
      <c r="D78" s="1132"/>
      <c r="E78" s="1132"/>
      <c r="F78" s="1132"/>
      <c r="G78" s="1132"/>
      <c r="H78" s="1132"/>
      <c r="I78" s="1132"/>
      <c r="J78" s="1132"/>
      <c r="K78" s="1132"/>
      <c r="L78" s="1132"/>
      <c r="M78" s="1132"/>
      <c r="N78" s="1132"/>
      <c r="O78" s="1132"/>
      <c r="P78" s="1132"/>
      <c r="Q78" s="1132"/>
      <c r="R78" s="1132"/>
      <c r="S78" s="1132"/>
      <c r="T78" s="1132"/>
      <c r="U78" s="1132"/>
      <c r="V78" s="1132"/>
      <c r="W78" s="1132"/>
      <c r="X78" s="1132"/>
      <c r="Y78" s="1132"/>
      <c r="Z78" s="1132"/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132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300"/>
    </row>
    <row r="79" spans="1:53" ht="30" customHeight="1">
      <c r="A79" s="1158" t="str">
        <f>IF(ПОДПИСИ!B9="",ПОДПИСИ!D6,ПОДПИСИ!D9)</f>
        <v>Филёва Н.О.</v>
      </c>
      <c r="B79" s="1158"/>
      <c r="C79" s="1158"/>
      <c r="D79" s="1158"/>
      <c r="E79" s="1158"/>
      <c r="F79" s="1158"/>
      <c r="G79" s="1158"/>
      <c r="H79" s="1158"/>
      <c r="I79" s="1158"/>
      <c r="J79" s="1158"/>
      <c r="K79" s="1158"/>
      <c r="L79" s="1158"/>
      <c r="M79" s="1158"/>
      <c r="N79" s="1158"/>
      <c r="O79" s="1158"/>
      <c r="P79" s="1158"/>
      <c r="Q79" s="1158"/>
      <c r="R79" s="1158"/>
      <c r="S79" s="1158"/>
      <c r="T79" s="1158"/>
      <c r="U79" s="1158"/>
      <c r="V79" s="1158"/>
      <c r="W79" s="1158"/>
      <c r="X79" s="1158"/>
      <c r="Y79" s="1158"/>
      <c r="Z79" s="1159"/>
      <c r="AA79" s="1159"/>
      <c r="AB79" s="1159"/>
      <c r="AC79" s="1159"/>
      <c r="AD79" s="1159"/>
      <c r="AE79" s="1159"/>
      <c r="AF79" s="1159"/>
      <c r="AG79" s="1159"/>
      <c r="AH79" s="1159"/>
      <c r="AI79" s="1159"/>
      <c r="AJ79" s="1159"/>
      <c r="AK79" s="1159"/>
      <c r="AL79" s="1159"/>
      <c r="AM79" s="1159"/>
      <c r="AN79" s="1159"/>
      <c r="AO79" s="1160"/>
      <c r="AP79" s="1160"/>
      <c r="AQ79" s="1160"/>
      <c r="AR79" s="1160"/>
      <c r="AS79" s="1160"/>
      <c r="AT79" s="1160"/>
      <c r="AU79" s="1160"/>
      <c r="AV79" s="1160"/>
      <c r="AW79" s="1160"/>
      <c r="AX79" s="1160"/>
      <c r="AY79" s="1160"/>
      <c r="AZ79" s="1160"/>
      <c r="BA79" s="300"/>
    </row>
    <row r="80" spans="1:53" ht="6" customHeight="1">
      <c r="A80" s="1131" t="s">
        <v>799</v>
      </c>
      <c r="B80" s="1131"/>
      <c r="C80" s="1131"/>
      <c r="D80" s="1131"/>
      <c r="E80" s="1131"/>
      <c r="F80" s="1131"/>
      <c r="G80" s="1131"/>
      <c r="H80" s="1131"/>
      <c r="I80" s="1131"/>
      <c r="J80" s="1131"/>
      <c r="K80" s="1131"/>
      <c r="L80" s="1131"/>
      <c r="M80" s="1131"/>
      <c r="N80" s="1131"/>
      <c r="O80" s="1131"/>
      <c r="P80" s="1131"/>
      <c r="Q80" s="1131"/>
      <c r="R80" s="1131"/>
      <c r="S80" s="1131"/>
      <c r="T80" s="1131"/>
      <c r="U80" s="1131"/>
      <c r="V80" s="1131"/>
      <c r="W80" s="1131"/>
      <c r="X80" s="1131"/>
      <c r="Y80" s="1131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1131" t="s">
        <v>49</v>
      </c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300"/>
    </row>
    <row r="81" spans="1:55" ht="6" customHeight="1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>
      <c r="A82" s="1157" t="s">
        <v>783</v>
      </c>
      <c r="B82" s="1157"/>
      <c r="C82" s="1157"/>
      <c r="D82" s="1157"/>
      <c r="E82" s="1157"/>
      <c r="F82" s="1157"/>
      <c r="G82" s="1157"/>
      <c r="H82" s="1157"/>
      <c r="I82" s="1157"/>
      <c r="J82" s="1157"/>
      <c r="K82" s="1157"/>
      <c r="L82" s="1157"/>
      <c r="M82" s="1157"/>
      <c r="N82" s="1157"/>
      <c r="O82" s="1157"/>
      <c r="P82" s="1157"/>
      <c r="Q82" s="1157"/>
      <c r="R82" s="1157"/>
      <c r="S82" s="1157"/>
      <c r="T82" s="1157"/>
      <c r="U82" s="1157"/>
      <c r="V82" s="1157"/>
      <c r="W82" s="1157"/>
      <c r="X82" s="1157"/>
      <c r="Y82" s="1157"/>
      <c r="Z82" s="1157"/>
      <c r="AA82" s="1157"/>
      <c r="AB82" s="1157"/>
      <c r="AC82" s="1157"/>
      <c r="AD82" s="1157"/>
      <c r="AE82" s="1157"/>
      <c r="AF82" s="1157"/>
      <c r="AG82" s="1157"/>
      <c r="AH82" s="1157"/>
      <c r="AI82" s="1157"/>
      <c r="AJ82" s="1157"/>
      <c r="AK82" s="1157"/>
      <c r="AL82" s="1157"/>
      <c r="AM82" s="1157"/>
      <c r="AN82" s="1157"/>
      <c r="AO82" s="1157"/>
      <c r="AP82" s="1157"/>
      <c r="AQ82" s="1157"/>
      <c r="AR82" s="1157"/>
      <c r="AS82" s="1157"/>
      <c r="AT82" s="1157"/>
      <c r="AU82" s="1157"/>
      <c r="AV82" s="1157"/>
      <c r="AW82" s="1157"/>
      <c r="AX82" s="1157"/>
      <c r="AY82" s="1157"/>
      <c r="AZ82" s="1157"/>
      <c r="BA82" s="300"/>
    </row>
    <row r="83" spans="1:55" ht="39" customHeight="1">
      <c r="A83" s="1158" t="str">
        <f>ПОДПИСИ!D15</f>
        <v>Матвеев А.С.</v>
      </c>
      <c r="B83" s="1158"/>
      <c r="C83" s="1158"/>
      <c r="D83" s="1158"/>
      <c r="E83" s="1158"/>
      <c r="F83" s="1158"/>
      <c r="G83" s="1158"/>
      <c r="H83" s="1158"/>
      <c r="I83" s="1158"/>
      <c r="J83" s="1158"/>
      <c r="K83" s="1158"/>
      <c r="L83" s="1158"/>
      <c r="M83" s="1158"/>
      <c r="N83" s="1158"/>
      <c r="O83" s="1158"/>
      <c r="P83" s="1158"/>
      <c r="Q83" s="1158"/>
      <c r="R83" s="1158"/>
      <c r="S83" s="1158"/>
      <c r="T83" s="1158"/>
      <c r="U83" s="1158"/>
      <c r="V83" s="1158"/>
      <c r="W83" s="1158"/>
      <c r="X83" s="1158"/>
      <c r="Y83" s="1158"/>
      <c r="Z83" s="1159"/>
      <c r="AA83" s="1159"/>
      <c r="AB83" s="1159"/>
      <c r="AC83" s="1159"/>
      <c r="AD83" s="1159"/>
      <c r="AE83" s="1159"/>
      <c r="AF83" s="1159"/>
      <c r="AG83" s="1159"/>
      <c r="AH83" s="1159"/>
      <c r="AI83" s="1159"/>
      <c r="AJ83" s="1159"/>
      <c r="AK83" s="1159"/>
      <c r="AL83" s="1159"/>
      <c r="AM83" s="1159"/>
      <c r="AN83" s="1159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  <c r="BA83" s="300"/>
    </row>
    <row r="84" spans="1:55" ht="6" customHeight="1">
      <c r="A84" s="1131" t="s">
        <v>799</v>
      </c>
      <c r="B84" s="1131"/>
      <c r="C84" s="1131"/>
      <c r="D84" s="1131"/>
      <c r="E84" s="1131"/>
      <c r="F84" s="1131"/>
      <c r="G84" s="1131"/>
      <c r="H84" s="1131"/>
      <c r="I84" s="1131"/>
      <c r="J84" s="1131"/>
      <c r="K84" s="1131"/>
      <c r="L84" s="1131"/>
      <c r="M84" s="1131"/>
      <c r="N84" s="1131"/>
      <c r="O84" s="1131"/>
      <c r="P84" s="1131"/>
      <c r="Q84" s="1131"/>
      <c r="R84" s="1131"/>
      <c r="S84" s="1131"/>
      <c r="T84" s="1131"/>
      <c r="U84" s="1131"/>
      <c r="V84" s="1131"/>
      <c r="W84" s="1131"/>
      <c r="X84" s="1131"/>
      <c r="Y84" s="113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31" t="s">
        <v>49</v>
      </c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300"/>
    </row>
    <row r="85" spans="1:55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>
      <c r="A86" s="1132" t="s">
        <v>800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300"/>
    </row>
    <row r="87" spans="1:55" ht="39" customHeight="1">
      <c r="A87" s="1158" t="str">
        <f>ПОДПИСИ!D17</f>
        <v>Матвеев А.С.</v>
      </c>
      <c r="B87" s="1158"/>
      <c r="C87" s="1158"/>
      <c r="D87" s="1158"/>
      <c r="E87" s="1158"/>
      <c r="F87" s="1158"/>
      <c r="G87" s="1158"/>
      <c r="H87" s="1158"/>
      <c r="I87" s="1158"/>
      <c r="J87" s="1158"/>
      <c r="K87" s="1158"/>
      <c r="L87" s="1158"/>
      <c r="M87" s="1158"/>
      <c r="N87" s="1158"/>
      <c r="O87" s="1158"/>
      <c r="P87" s="1158"/>
      <c r="Q87" s="1158"/>
      <c r="R87" s="1158"/>
      <c r="S87" s="1158"/>
      <c r="T87" s="1158"/>
      <c r="U87" s="1158"/>
      <c r="V87" s="1158"/>
      <c r="W87" s="1158"/>
      <c r="X87" s="1158"/>
      <c r="Y87" s="1158"/>
      <c r="Z87" s="1159"/>
      <c r="AA87" s="1159"/>
      <c r="AB87" s="1159"/>
      <c r="AC87" s="1159"/>
      <c r="AD87" s="1159"/>
      <c r="AE87" s="1159"/>
      <c r="AF87" s="1159"/>
      <c r="AG87" s="1159"/>
      <c r="AH87" s="1159"/>
      <c r="AI87" s="1159"/>
      <c r="AJ87" s="1159"/>
      <c r="AK87" s="1159"/>
      <c r="AL87" s="1159"/>
      <c r="AM87" s="1159"/>
      <c r="AN87" s="1159"/>
      <c r="AO87" s="1162" t="s">
        <v>64</v>
      </c>
      <c r="AP87" s="1162"/>
      <c r="AQ87" s="1162"/>
      <c r="AR87" s="1162"/>
      <c r="AS87" s="1162"/>
      <c r="AT87" s="1162"/>
      <c r="AU87" s="1162"/>
      <c r="AV87" s="1162"/>
      <c r="AW87" s="1162"/>
      <c r="AX87" s="1162"/>
      <c r="AY87" s="1162"/>
      <c r="AZ87" s="1162"/>
      <c r="BA87" s="300"/>
    </row>
    <row r="88" spans="1:55" ht="6" customHeight="1">
      <c r="A88" s="1131" t="s">
        <v>799</v>
      </c>
      <c r="B88" s="1131"/>
      <c r="C88" s="1131"/>
      <c r="D88" s="1131"/>
      <c r="E88" s="1131"/>
      <c r="F88" s="1131"/>
      <c r="G88" s="1131"/>
      <c r="H88" s="1131"/>
      <c r="I88" s="1131"/>
      <c r="J88" s="1131"/>
      <c r="K88" s="1131"/>
      <c r="L88" s="1131"/>
      <c r="M88" s="1131"/>
      <c r="N88" s="1131"/>
      <c r="O88" s="1131"/>
      <c r="P88" s="1131"/>
      <c r="Q88" s="1131"/>
      <c r="R88" s="1131"/>
      <c r="S88" s="1131"/>
      <c r="T88" s="1131"/>
      <c r="U88" s="1131"/>
      <c r="V88" s="1131"/>
      <c r="W88" s="1131"/>
      <c r="X88" s="1131"/>
      <c r="Y88" s="113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31" t="s">
        <v>49</v>
      </c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300"/>
    </row>
    <row r="89" spans="1:55" ht="6" customHeight="1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>
      <c r="A90" s="1132" t="s">
        <v>801</v>
      </c>
      <c r="B90" s="1129"/>
      <c r="C90" s="1129"/>
      <c r="D90" s="1129"/>
      <c r="E90" s="1129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29"/>
      <c r="V90" s="1129"/>
      <c r="W90" s="1129"/>
      <c r="X90" s="1129"/>
      <c r="Y90" s="1129"/>
      <c r="Z90" s="1129"/>
      <c r="AA90" s="1129"/>
      <c r="AB90" s="1129"/>
      <c r="AC90" s="1129"/>
      <c r="AD90" s="1129"/>
      <c r="AE90" s="1129"/>
      <c r="AF90" s="1129"/>
      <c r="AG90" s="1129"/>
      <c r="AH90" s="1129"/>
      <c r="AI90" s="1129"/>
      <c r="AJ90" s="1129"/>
      <c r="AK90" s="1129"/>
      <c r="AL90" s="1129"/>
      <c r="AM90" s="1129"/>
      <c r="AN90" s="1129"/>
      <c r="AO90" s="1129"/>
      <c r="AP90" s="1129"/>
      <c r="AQ90" s="1129"/>
      <c r="AR90" s="1129"/>
      <c r="AS90" s="1129"/>
      <c r="AT90" s="1129"/>
      <c r="AU90" s="1129"/>
      <c r="AV90" s="1129"/>
      <c r="AW90" s="1129"/>
      <c r="AX90" s="1129"/>
      <c r="AY90" s="1129"/>
      <c r="AZ90" s="1129"/>
      <c r="BA90" s="300"/>
    </row>
    <row r="91" spans="1:55" ht="39" customHeight="1">
      <c r="A91" s="1158" t="str">
        <f>ПОДПИСИ!D19</f>
        <v xml:space="preserve"> </v>
      </c>
      <c r="B91" s="1158"/>
      <c r="C91" s="1158"/>
      <c r="D91" s="1158"/>
      <c r="E91" s="1158"/>
      <c r="F91" s="1158"/>
      <c r="G91" s="1158"/>
      <c r="H91" s="1158"/>
      <c r="I91" s="1158"/>
      <c r="J91" s="1158"/>
      <c r="K91" s="1158"/>
      <c r="L91" s="1158"/>
      <c r="M91" s="1158"/>
      <c r="N91" s="1158"/>
      <c r="O91" s="1158"/>
      <c r="P91" s="1158"/>
      <c r="Q91" s="1158"/>
      <c r="R91" s="1158"/>
      <c r="S91" s="1158"/>
      <c r="T91" s="1158"/>
      <c r="U91" s="1158"/>
      <c r="V91" s="1158"/>
      <c r="W91" s="1158"/>
      <c r="X91" s="1158"/>
      <c r="Y91" s="1158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62" t="s">
        <v>64</v>
      </c>
      <c r="AP91" s="1162"/>
      <c r="AQ91" s="1162"/>
      <c r="AR91" s="1162"/>
      <c r="AS91" s="1162"/>
      <c r="AT91" s="1162"/>
      <c r="AU91" s="1162"/>
      <c r="AV91" s="1162"/>
      <c r="AW91" s="1162"/>
      <c r="AX91" s="1162"/>
      <c r="AY91" s="1162"/>
      <c r="AZ91" s="1162"/>
      <c r="BA91" s="312"/>
    </row>
    <row r="92" spans="1:55" ht="6" customHeight="1">
      <c r="A92" s="1131" t="s">
        <v>799</v>
      </c>
      <c r="B92" s="1131"/>
      <c r="C92" s="1131"/>
      <c r="D92" s="1131"/>
      <c r="E92" s="1131"/>
      <c r="F92" s="1131"/>
      <c r="G92" s="1131"/>
      <c r="H92" s="1131"/>
      <c r="I92" s="1131"/>
      <c r="J92" s="1131"/>
      <c r="K92" s="1131"/>
      <c r="L92" s="1131"/>
      <c r="M92" s="1131"/>
      <c r="N92" s="1131"/>
      <c r="O92" s="1131"/>
      <c r="P92" s="1131"/>
      <c r="Q92" s="1131"/>
      <c r="R92" s="1131"/>
      <c r="S92" s="1131"/>
      <c r="T92" s="1131"/>
      <c r="U92" s="1131"/>
      <c r="V92" s="1131"/>
      <c r="W92" s="1131"/>
      <c r="X92" s="1131"/>
      <c r="Y92" s="113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31" t="s">
        <v>49</v>
      </c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300"/>
    </row>
    <row r="93" spans="1:55" ht="6" customHeight="1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>
      <c r="A94" s="1132" t="s">
        <v>789</v>
      </c>
      <c r="B94" s="1132"/>
      <c r="C94" s="1132"/>
      <c r="D94" s="1132"/>
      <c r="E94" s="1132"/>
      <c r="F94" s="1132"/>
      <c r="G94" s="1132"/>
      <c r="H94" s="1132"/>
      <c r="I94" s="1132"/>
      <c r="J94" s="1132"/>
      <c r="K94" s="1132"/>
      <c r="L94" s="1132"/>
      <c r="M94" s="1132"/>
      <c r="N94" s="1132"/>
      <c r="O94" s="1132"/>
      <c r="P94" s="1132"/>
      <c r="Q94" s="1132"/>
      <c r="R94" s="1132"/>
      <c r="S94" s="1132"/>
      <c r="T94" s="1132"/>
      <c r="U94" s="1132"/>
      <c r="V94" s="1132"/>
      <c r="W94" s="1132"/>
      <c r="X94" s="1132"/>
      <c r="Y94" s="1132"/>
      <c r="Z94" s="1132"/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313"/>
    </row>
    <row r="95" spans="1:55" ht="39" customHeight="1">
      <c r="A95" s="1158" t="str">
        <f>ПОДПИСИ!D14</f>
        <v>Алексеенков Д.С.</v>
      </c>
      <c r="B95" s="1158"/>
      <c r="C95" s="1158"/>
      <c r="D95" s="1158"/>
      <c r="E95" s="1158"/>
      <c r="F95" s="1158"/>
      <c r="G95" s="1158"/>
      <c r="H95" s="1158"/>
      <c r="I95" s="1158"/>
      <c r="J95" s="1158"/>
      <c r="K95" s="1158"/>
      <c r="L95" s="1158"/>
      <c r="M95" s="1158"/>
      <c r="N95" s="1158"/>
      <c r="O95" s="1158"/>
      <c r="P95" s="1158"/>
      <c r="Q95" s="1158"/>
      <c r="R95" s="1158"/>
      <c r="S95" s="1158"/>
      <c r="T95" s="1158"/>
      <c r="U95" s="1158"/>
      <c r="V95" s="1158"/>
      <c r="W95" s="1158"/>
      <c r="X95" s="1158"/>
      <c r="Y95" s="1158"/>
      <c r="Z95" s="1159"/>
      <c r="AA95" s="1159"/>
      <c r="AB95" s="1159"/>
      <c r="AC95" s="1159"/>
      <c r="AD95" s="1159"/>
      <c r="AE95" s="1159"/>
      <c r="AF95" s="1159"/>
      <c r="AG95" s="1159"/>
      <c r="AH95" s="1159"/>
      <c r="AI95" s="1159"/>
      <c r="AJ95" s="1159"/>
      <c r="AK95" s="1159"/>
      <c r="AL95" s="1159"/>
      <c r="AM95" s="1159"/>
      <c r="AN95" s="1159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315"/>
      <c r="BB95" s="316"/>
      <c r="BC95" s="316"/>
    </row>
    <row r="96" spans="1:55" s="305" customFormat="1" ht="6" customHeight="1">
      <c r="A96" s="1131" t="s">
        <v>799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  <c r="L96" s="1131"/>
      <c r="M96" s="1131"/>
      <c r="N96" s="1131"/>
      <c r="O96" s="1131"/>
      <c r="P96" s="1131"/>
      <c r="Q96" s="1131"/>
      <c r="R96" s="1131"/>
      <c r="S96" s="1131"/>
      <c r="T96" s="1131"/>
      <c r="U96" s="1131"/>
      <c r="V96" s="1131"/>
      <c r="W96" s="1131"/>
      <c r="X96" s="1131"/>
      <c r="Y96" s="113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31" t="s">
        <v>49</v>
      </c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304"/>
    </row>
    <row r="97" spans="1:52">
      <c r="A97" s="1163" t="s">
        <v>942</v>
      </c>
      <c r="B97" s="1163"/>
      <c r="C97" s="1163"/>
      <c r="D97" s="1163"/>
      <c r="E97" s="1163"/>
      <c r="F97" s="1163"/>
      <c r="G97" s="1163"/>
      <c r="H97" s="1163"/>
      <c r="I97" s="1163"/>
      <c r="J97" s="1163"/>
      <c r="K97" s="1163"/>
      <c r="L97" s="1163"/>
      <c r="M97" s="1163"/>
      <c r="N97" s="1163"/>
      <c r="O97" s="1163"/>
      <c r="P97" s="1163"/>
      <c r="Q97" s="1163"/>
      <c r="R97" s="1163"/>
      <c r="S97" s="1163"/>
      <c r="T97" s="1163"/>
      <c r="U97" s="1163"/>
      <c r="V97" s="1163"/>
      <c r="W97" s="1163"/>
      <c r="X97" s="1163"/>
      <c r="Y97" s="1163"/>
      <c r="Z97" s="1163"/>
      <c r="AA97" s="1163"/>
      <c r="AB97" s="1163"/>
      <c r="AC97" s="1163"/>
      <c r="AD97" s="1163"/>
      <c r="AE97" s="1163"/>
      <c r="AF97" s="1163"/>
      <c r="AG97" s="1163"/>
      <c r="AH97" s="1163"/>
      <c r="AI97" s="1163"/>
      <c r="AJ97" s="1163"/>
      <c r="AK97" s="1163"/>
      <c r="AL97" s="1163"/>
      <c r="AM97" s="1163"/>
      <c r="AN97" s="1163"/>
      <c r="AO97" s="1163"/>
      <c r="AP97" s="1163"/>
      <c r="AQ97" s="1163"/>
      <c r="AR97" s="1163"/>
      <c r="AS97" s="1163"/>
      <c r="AT97" s="1163"/>
      <c r="AU97" s="1163"/>
      <c r="AV97" s="1163"/>
      <c r="AW97" s="1163"/>
      <c r="AX97" s="1163"/>
      <c r="AY97" s="1163"/>
      <c r="AZ97" s="1163"/>
    </row>
    <row r="98" spans="1:52" ht="38.25" customHeight="1">
      <c r="A98" s="1158" t="str">
        <f>IF(ПОДПИСИ!D9="","",ПОДПИСИ!D6)</f>
        <v>Чечин Д.М.</v>
      </c>
      <c r="B98" s="1158"/>
      <c r="C98" s="1158"/>
      <c r="D98" s="1158"/>
      <c r="E98" s="1158"/>
      <c r="F98" s="1158"/>
      <c r="G98" s="1158"/>
      <c r="H98" s="1158"/>
      <c r="I98" s="1158"/>
      <c r="J98" s="1158"/>
      <c r="K98" s="1158"/>
      <c r="L98" s="1158"/>
      <c r="M98" s="1158"/>
      <c r="N98" s="1158"/>
      <c r="O98" s="1158"/>
      <c r="P98" s="1158"/>
      <c r="Q98" s="1158"/>
      <c r="R98" s="1158"/>
      <c r="S98" s="1158"/>
      <c r="T98" s="1158"/>
      <c r="U98" s="1158"/>
      <c r="V98" s="1158"/>
      <c r="W98" s="1158"/>
      <c r="X98" s="1158"/>
      <c r="Y98" s="1158"/>
      <c r="Z98" s="1159"/>
      <c r="AA98" s="1159"/>
      <c r="AB98" s="1159"/>
      <c r="AC98" s="1159"/>
      <c r="AD98" s="1159"/>
      <c r="AE98" s="1159"/>
      <c r="AF98" s="1159"/>
      <c r="AG98" s="1159"/>
      <c r="AH98" s="1159"/>
      <c r="AI98" s="1159"/>
      <c r="AJ98" s="1159"/>
      <c r="AK98" s="1159"/>
      <c r="AL98" s="1159"/>
      <c r="AM98" s="1159"/>
      <c r="AN98" s="1159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</row>
    <row r="99" spans="1:52" ht="6" customHeight="1">
      <c r="A99" s="1131" t="s">
        <v>799</v>
      </c>
      <c r="B99" s="1131"/>
      <c r="C99" s="1131"/>
      <c r="D99" s="1131"/>
      <c r="E99" s="1131"/>
      <c r="F99" s="1131"/>
      <c r="G99" s="1131"/>
      <c r="H99" s="1131"/>
      <c r="I99" s="1131"/>
      <c r="J99" s="1131"/>
      <c r="K99" s="1131"/>
      <c r="L99" s="1131"/>
      <c r="M99" s="1131"/>
      <c r="N99" s="1131"/>
      <c r="O99" s="1131"/>
      <c r="P99" s="1131"/>
      <c r="Q99" s="1131"/>
      <c r="R99" s="1131"/>
      <c r="S99" s="1131"/>
      <c r="T99" s="1131"/>
      <c r="U99" s="1131"/>
      <c r="V99" s="1131"/>
      <c r="W99" s="1131"/>
      <c r="X99" s="1131"/>
      <c r="Y99" s="1131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1131" t="s">
        <v>49</v>
      </c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AZ1"/>
    </sheetView>
  </sheetViews>
  <sheetFormatPr defaultRowHeight="14" outlineLevelRow="1"/>
  <cols>
    <col min="1" max="52" width="1.7265625" style="284" customWidth="1"/>
    <col min="53" max="53" width="0.1796875" style="284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28" t="s">
        <v>567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</row>
    <row r="2" spans="1:63" ht="12" customHeight="1">
      <c r="A2" s="1129" t="s">
        <v>72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1" t="s">
        <v>515</v>
      </c>
      <c r="B4" s="1131"/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1131"/>
      <c r="N4" s="1131"/>
      <c r="O4" s="1131"/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131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32" t="s">
        <v>771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1132"/>
      <c r="O5" s="1132"/>
      <c r="P5" s="1132"/>
      <c r="Q5" s="1132"/>
      <c r="R5" s="1132"/>
      <c r="S5" s="1132"/>
      <c r="T5" s="1132"/>
      <c r="U5" s="1132"/>
      <c r="V5" s="1132"/>
      <c r="W5" s="1132"/>
      <c r="X5" s="1132"/>
      <c r="Y5" s="1132"/>
      <c r="Z5" s="1132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132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31" t="s">
        <v>772</v>
      </c>
      <c r="B7" s="1131"/>
      <c r="C7" s="1131"/>
      <c r="D7" s="1131"/>
      <c r="E7" s="1131"/>
      <c r="F7" s="1131"/>
      <c r="G7" s="1131"/>
      <c r="H7" s="1131"/>
      <c r="I7" s="1131"/>
      <c r="J7" s="1131"/>
      <c r="K7" s="1131"/>
      <c r="L7" s="1131"/>
      <c r="M7" s="1131"/>
      <c r="N7" s="1131"/>
      <c r="O7" s="1131"/>
      <c r="P7" s="1131"/>
      <c r="Q7" s="1131"/>
      <c r="R7" s="1131"/>
      <c r="S7" s="1131"/>
      <c r="T7" s="1131"/>
      <c r="U7" s="1131"/>
      <c r="V7" s="1131"/>
      <c r="W7" s="1131"/>
      <c r="X7" s="1131"/>
      <c r="Y7" s="1131"/>
      <c r="Z7" s="1131"/>
      <c r="AA7" s="1131"/>
      <c r="AB7" s="1131"/>
      <c r="AC7" s="1131"/>
      <c r="AD7" s="1131"/>
      <c r="AE7" s="1131"/>
      <c r="AF7" s="1131"/>
      <c r="AG7" s="1131"/>
      <c r="AH7" s="1131"/>
      <c r="AI7" s="1131"/>
      <c r="AJ7" s="1131"/>
      <c r="AK7" s="1131"/>
      <c r="AL7" s="1131"/>
      <c r="AM7" s="1131"/>
      <c r="AN7" s="1131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34" t="s">
        <v>773</v>
      </c>
      <c r="B9" s="1134"/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  <c r="AJ9" s="1134"/>
      <c r="AK9" s="1134"/>
      <c r="AL9" s="1134"/>
      <c r="AM9" s="1134"/>
      <c r="AN9" s="1134"/>
      <c r="AO9" s="1134"/>
      <c r="AP9" s="1134"/>
      <c r="AQ9" s="1134"/>
      <c r="AR9" s="1134"/>
      <c r="AS9" s="1134"/>
      <c r="AT9" s="1134"/>
      <c r="AU9" s="1134"/>
      <c r="AV9" s="1134"/>
      <c r="AW9" s="1134"/>
      <c r="AX9" s="1134"/>
      <c r="AY9" s="1134"/>
      <c r="AZ9" s="11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">
      <c r="A10" s="1137"/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36" t="s">
        <v>774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29" t="s">
        <v>775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>
      <c r="A13" s="1133" t="str">
        <f>ФОРМА!B3</f>
        <v>ООО «БЭСК»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</row>
    <row r="14" spans="1:63" s="302" customFormat="1" ht="6" customHeight="1">
      <c r="A14" s="1131" t="s">
        <v>776</v>
      </c>
      <c r="B14" s="1131"/>
      <c r="C14" s="1131"/>
      <c r="D14" s="1131"/>
      <c r="E14" s="1131"/>
      <c r="F14" s="1131"/>
      <c r="G14" s="1131"/>
      <c r="H14" s="1131"/>
      <c r="I14" s="1131"/>
      <c r="J14" s="1131"/>
      <c r="K14" s="1131"/>
      <c r="L14" s="1131"/>
      <c r="M14" s="1131"/>
      <c r="N14" s="1131"/>
      <c r="O14" s="1131"/>
      <c r="P14" s="1131"/>
      <c r="Q14" s="1131"/>
      <c r="R14" s="1131"/>
      <c r="S14" s="1131"/>
      <c r="T14" s="1131"/>
      <c r="U14" s="1131"/>
      <c r="V14" s="1131"/>
      <c r="W14" s="1131"/>
      <c r="X14" s="1131"/>
      <c r="Y14" s="1131"/>
      <c r="Z14" s="1131"/>
      <c r="AA14" s="1131"/>
      <c r="AB14" s="1131"/>
      <c r="AC14" s="1131"/>
      <c r="AD14" s="1131"/>
      <c r="AE14" s="1131"/>
      <c r="AF14" s="1131"/>
      <c r="AG14" s="1131"/>
      <c r="AH14" s="1131"/>
      <c r="AI14" s="1131"/>
      <c r="AJ14" s="1131"/>
      <c r="AK14" s="1131"/>
      <c r="AL14" s="1131"/>
      <c r="AM14" s="1131"/>
      <c r="AN14" s="1131"/>
      <c r="AO14" s="1131"/>
      <c r="AP14" s="1131"/>
      <c r="AQ14" s="1131"/>
      <c r="AR14" s="1131"/>
      <c r="AS14" s="1131"/>
      <c r="AT14" s="1131"/>
      <c r="AU14" s="1131"/>
      <c r="AV14" s="1131"/>
      <c r="AW14" s="1131"/>
      <c r="AX14" s="1131"/>
      <c r="AY14" s="1131"/>
      <c r="AZ14" s="1131"/>
      <c r="BA14" s="301"/>
    </row>
    <row r="15" spans="1:63" ht="22.9" customHeight="1">
      <c r="A15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</row>
    <row r="16" spans="1:63" s="302" customFormat="1" ht="6" customHeight="1">
      <c r="A16" s="1134" t="s">
        <v>777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301"/>
    </row>
    <row r="17" spans="1:53" s="302" customFormat="1" ht="9">
      <c r="A17" s="1135"/>
      <c r="B17" s="1135"/>
      <c r="C17" s="1135"/>
      <c r="D17" s="1135"/>
      <c r="E17" s="1135"/>
      <c r="F17" s="1135"/>
      <c r="G17" s="1135"/>
      <c r="H17" s="1135"/>
      <c r="I17" s="1135"/>
      <c r="J17" s="1135"/>
      <c r="K17" s="1135"/>
      <c r="L17" s="1135"/>
      <c r="M17" s="1135"/>
      <c r="N17" s="1135"/>
      <c r="O17" s="1135"/>
      <c r="P17" s="1135"/>
      <c r="Q17" s="1135"/>
      <c r="R17" s="1135"/>
      <c r="S17" s="1135"/>
      <c r="T17" s="1135"/>
      <c r="U17" s="1135"/>
      <c r="V17" s="1135"/>
      <c r="W17" s="1135"/>
      <c r="X17" s="1135"/>
      <c r="Y17" s="1135"/>
      <c r="Z17" s="1135"/>
      <c r="AA17" s="1135"/>
      <c r="AB17" s="1135"/>
      <c r="AC17" s="1135"/>
      <c r="AD17" s="1135"/>
      <c r="AE17" s="1135"/>
      <c r="AF17" s="1135"/>
      <c r="AG17" s="1135"/>
      <c r="AH17" s="1135"/>
      <c r="AI17" s="1135"/>
      <c r="AJ17" s="1135"/>
      <c r="AK17" s="1135"/>
      <c r="AL17" s="1135"/>
      <c r="AM17" s="1135"/>
      <c r="AN17" s="1135"/>
      <c r="AO17" s="1135"/>
      <c r="AP17" s="1135"/>
      <c r="AQ17" s="1135"/>
      <c r="AR17" s="1135"/>
      <c r="AS17" s="1135"/>
      <c r="AT17" s="1135"/>
      <c r="AU17" s="1135"/>
      <c r="AV17" s="1135"/>
      <c r="AW17" s="1135"/>
      <c r="AX17" s="1135"/>
      <c r="AY17" s="1135"/>
      <c r="AZ17" s="1135"/>
      <c r="BA17" s="301"/>
    </row>
    <row r="18" spans="1:53" s="302" customFormat="1" ht="15" customHeight="1">
      <c r="A18" s="1136" t="s">
        <v>778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01"/>
    </row>
    <row r="19" spans="1:53" ht="12" customHeight="1">
      <c r="A19" s="1129" t="s">
        <v>74</v>
      </c>
      <c r="B19" s="1129"/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1129"/>
      <c r="N19" s="1129"/>
      <c r="O19" s="1129"/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29"/>
      <c r="AM19" s="1129"/>
      <c r="AN19" s="1129"/>
      <c r="AO19" s="1129"/>
      <c r="AP19" s="1129"/>
      <c r="AQ19" s="1129"/>
      <c r="AR19" s="1129"/>
      <c r="AS19" s="1129"/>
      <c r="AT19" s="1129"/>
      <c r="AU19" s="1129"/>
      <c r="AV19" s="1129"/>
      <c r="AW19" s="1129"/>
      <c r="AX19" s="1129"/>
      <c r="AY19" s="1129"/>
      <c r="AZ19" s="1129"/>
      <c r="BA19" s="300"/>
    </row>
    <row r="20" spans="1:53" ht="12" customHeight="1">
      <c r="A20" s="1133" t="str">
        <f>ФОРМА!B8</f>
        <v>ООО «Строительные энергетические технологии»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</row>
    <row r="21" spans="1:53" s="305" customFormat="1" ht="6" customHeight="1">
      <c r="A21" s="1131" t="s">
        <v>776</v>
      </c>
      <c r="B21" s="1131"/>
      <c r="C21" s="1131"/>
      <c r="D21" s="1131"/>
      <c r="E21" s="1131"/>
      <c r="F21" s="1131"/>
      <c r="G21" s="1131"/>
      <c r="H21" s="1131"/>
      <c r="I21" s="1131"/>
      <c r="J21" s="1131"/>
      <c r="K21" s="1131"/>
      <c r="L21" s="1131"/>
      <c r="M21" s="1131"/>
      <c r="N21" s="1131"/>
      <c r="O21" s="1131"/>
      <c r="P21" s="1131"/>
      <c r="Q21" s="1131"/>
      <c r="R21" s="1131"/>
      <c r="S21" s="1131"/>
      <c r="T21" s="1131"/>
      <c r="U21" s="1131"/>
      <c r="V21" s="1131"/>
      <c r="W21" s="1131"/>
      <c r="X21" s="1131"/>
      <c r="Y21" s="1131"/>
      <c r="Z21" s="1131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304"/>
    </row>
    <row r="22" spans="1:53" ht="25.5" customHeight="1">
      <c r="A22" s="11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300"/>
    </row>
    <row r="23" spans="1:53" s="305" customFormat="1" ht="9">
      <c r="A23" s="1134" t="s">
        <v>773</v>
      </c>
      <c r="B23" s="1134"/>
      <c r="C23" s="1134"/>
      <c r="D23" s="1134"/>
      <c r="E23" s="1134"/>
      <c r="F23" s="1134"/>
      <c r="G23" s="1134"/>
      <c r="H23" s="1134"/>
      <c r="I23" s="1134"/>
      <c r="J23" s="1134"/>
      <c r="K23" s="1134"/>
      <c r="L23" s="1134"/>
      <c r="M23" s="1134"/>
      <c r="N23" s="1134"/>
      <c r="O23" s="1134"/>
      <c r="P23" s="1134"/>
      <c r="Q23" s="1134"/>
      <c r="R23" s="1134"/>
      <c r="S23" s="1134"/>
      <c r="T23" s="1134"/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304"/>
    </row>
    <row r="24" spans="1:53" s="305" customFormat="1" ht="10.5" customHeight="1">
      <c r="A24" s="1135"/>
      <c r="B24" s="1135"/>
      <c r="C24" s="1135"/>
      <c r="D24" s="1135"/>
      <c r="E24" s="1135"/>
      <c r="F24" s="1135"/>
      <c r="G24" s="1135"/>
      <c r="H24" s="1135"/>
      <c r="I24" s="1135"/>
      <c r="J24" s="1135"/>
      <c r="K24" s="1135"/>
      <c r="L24" s="1135"/>
      <c r="M24" s="1135"/>
      <c r="N24" s="1135"/>
      <c r="O24" s="1135"/>
      <c r="P24" s="1135"/>
      <c r="Q24" s="1135"/>
      <c r="R24" s="1135"/>
      <c r="S24" s="1135"/>
      <c r="T24" s="1135"/>
      <c r="U24" s="1135"/>
      <c r="V24" s="1135"/>
      <c r="W24" s="1135"/>
      <c r="X24" s="1135"/>
      <c r="Y24" s="1135"/>
      <c r="Z24" s="1135"/>
      <c r="AA24" s="1135"/>
      <c r="AB24" s="1135"/>
      <c r="AC24" s="1135"/>
      <c r="AD24" s="1135"/>
      <c r="AE24" s="1135"/>
      <c r="AF24" s="1135"/>
      <c r="AG24" s="1135"/>
      <c r="AH24" s="1135"/>
      <c r="AI24" s="1135"/>
      <c r="AJ24" s="1135"/>
      <c r="AK24" s="1135"/>
      <c r="AL24" s="1135"/>
      <c r="AM24" s="1135"/>
      <c r="AN24" s="1135"/>
      <c r="AO24" s="1135"/>
      <c r="AP24" s="1135"/>
      <c r="AQ24" s="1135"/>
      <c r="AR24" s="1135"/>
      <c r="AS24" s="1135"/>
      <c r="AT24" s="1135"/>
      <c r="AU24" s="1135"/>
      <c r="AV24" s="1135"/>
      <c r="AW24" s="1135"/>
      <c r="AX24" s="1135"/>
      <c r="AY24" s="1135"/>
      <c r="AZ24" s="1135"/>
      <c r="BA24" s="304"/>
    </row>
    <row r="25" spans="1:53" s="305" customFormat="1" ht="15" customHeight="1">
      <c r="A25" s="1136" t="s">
        <v>779</v>
      </c>
      <c r="B25" s="1136"/>
      <c r="C25" s="1136"/>
      <c r="D25" s="1136"/>
      <c r="E25" s="1136"/>
      <c r="F25" s="1136"/>
      <c r="G25" s="1136"/>
      <c r="H25" s="1136"/>
      <c r="I25" s="1136"/>
      <c r="J25" s="1136"/>
      <c r="K25" s="1136"/>
      <c r="L25" s="1136"/>
      <c r="M25" s="1136"/>
      <c r="N25" s="1136"/>
      <c r="O25" s="1136"/>
      <c r="P25" s="1136"/>
      <c r="Q25" s="1136"/>
      <c r="R25" s="1136"/>
      <c r="S25" s="1136"/>
      <c r="T25" s="1136"/>
      <c r="U25" s="1136"/>
      <c r="V25" s="1136"/>
      <c r="W25" s="1136"/>
      <c r="X25" s="1136"/>
      <c r="Y25" s="1136"/>
      <c r="Z25" s="1136"/>
      <c r="AA25" s="1136"/>
      <c r="AB25" s="1136"/>
      <c r="AC25" s="1136"/>
      <c r="AD25" s="1136"/>
      <c r="AE25" s="1136"/>
      <c r="AF25" s="1136"/>
      <c r="AG25" s="1136"/>
      <c r="AH25" s="1136"/>
      <c r="AI25" s="1136"/>
      <c r="AJ25" s="1136"/>
      <c r="AK25" s="1136"/>
      <c r="AL25" s="1136"/>
      <c r="AM25" s="1136"/>
      <c r="AN25" s="1136"/>
      <c r="AO25" s="1136"/>
      <c r="AP25" s="1136"/>
      <c r="AQ25" s="1136"/>
      <c r="AR25" s="1136"/>
      <c r="AS25" s="1136"/>
      <c r="AT25" s="1136"/>
      <c r="AU25" s="1136"/>
      <c r="AV25" s="1136"/>
      <c r="AW25" s="1136"/>
      <c r="AX25" s="1136"/>
      <c r="AY25" s="1136"/>
      <c r="AZ25" s="11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38" t="s">
        <v>592</v>
      </c>
      <c r="B27" s="1139"/>
      <c r="C27" s="1139"/>
      <c r="D27" s="1139"/>
      <c r="E27" s="1139"/>
      <c r="F27" s="1139"/>
      <c r="G27" s="1139"/>
      <c r="H27" s="1139"/>
      <c r="I27" s="1139"/>
      <c r="J27" s="1139"/>
      <c r="K27" s="1139"/>
      <c r="L27" s="1139"/>
      <c r="M27" s="1139"/>
      <c r="N27" s="1139"/>
      <c r="O27" s="1139"/>
      <c r="P27" s="1139"/>
      <c r="Q27" s="1139"/>
      <c r="R27" s="1139"/>
      <c r="S27" s="1139"/>
      <c r="T27" s="1139"/>
      <c r="U27" s="1139"/>
      <c r="V27" s="1139"/>
      <c r="W27" s="1139"/>
      <c r="X27" s="1139"/>
      <c r="Y27" s="1139"/>
      <c r="Z27" s="1139"/>
      <c r="AA27" s="1139"/>
      <c r="AB27" s="1139"/>
      <c r="AC27" s="1139"/>
      <c r="AD27" s="1139"/>
      <c r="AE27" s="1139"/>
      <c r="AF27" s="1139"/>
      <c r="AG27" s="1139"/>
      <c r="AH27" s="1139"/>
      <c r="AI27" s="1139"/>
      <c r="AJ27" s="1139"/>
      <c r="AK27" s="1139"/>
      <c r="AL27" s="1139"/>
      <c r="AM27" s="1139"/>
      <c r="AN27" s="1139"/>
      <c r="AO27" s="1139"/>
      <c r="AP27" s="1139"/>
      <c r="AQ27" s="1139"/>
      <c r="AR27" s="1139"/>
      <c r="AS27" s="1139"/>
      <c r="AT27" s="1139"/>
      <c r="AU27" s="1139"/>
      <c r="AV27" s="1139"/>
      <c r="AW27" s="1139"/>
      <c r="AX27" s="1139"/>
      <c r="AY27" s="1139"/>
      <c r="AZ27" s="1139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40" t="s">
        <v>19</v>
      </c>
      <c r="B29" s="1140"/>
      <c r="C29" s="1141">
        <f>ФОРМА!B22</f>
        <v>0</v>
      </c>
      <c r="D29" s="1141"/>
      <c r="E29" s="1141"/>
      <c r="F29" s="1141"/>
      <c r="G29" s="1141"/>
      <c r="H29" s="1141"/>
      <c r="I29" s="1141"/>
      <c r="J29" s="1141"/>
      <c r="K29" s="1141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42"/>
      <c r="AH29" s="1142"/>
      <c r="AI29" s="1142"/>
      <c r="AJ29" s="307"/>
      <c r="AK29" s="307"/>
      <c r="AL29" s="1143">
        <f>ФОРМА!C22</f>
        <v>45354</v>
      </c>
      <c r="AM29" s="1141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2"/>
      <c r="AX29" s="1142"/>
      <c r="AY29" s="1142"/>
      <c r="AZ29" s="1142"/>
      <c r="BA29" s="300"/>
    </row>
    <row r="30" spans="1:53" s="305" customFormat="1" ht="5.15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31" t="s">
        <v>453</v>
      </c>
      <c r="AM30" s="1131"/>
      <c r="AN30" s="1131"/>
      <c r="AO30" s="1131"/>
      <c r="AP30" s="1131"/>
      <c r="AQ30" s="1131"/>
      <c r="AR30" s="1131"/>
      <c r="AS30" s="1131"/>
      <c r="AT30" s="1131"/>
      <c r="AU30" s="1131"/>
      <c r="AV30" s="1131"/>
      <c r="AW30" s="304"/>
      <c r="AX30" s="304"/>
      <c r="AY30" s="304"/>
      <c r="AZ30" s="304"/>
      <c r="BA30" s="304"/>
    </row>
    <row r="31" spans="1:53" ht="21" customHeight="1">
      <c r="A31" s="1132" t="s">
        <v>780</v>
      </c>
      <c r="B31" s="1132"/>
      <c r="C31" s="1132"/>
      <c r="D31" s="1132"/>
      <c r="E31" s="1132"/>
      <c r="F31" s="1132"/>
      <c r="G31" s="1132"/>
      <c r="H31" s="1132"/>
      <c r="I31" s="1132"/>
      <c r="J31" s="1132"/>
      <c r="K31" s="1132"/>
      <c r="L31" s="1132"/>
      <c r="M31" s="1132"/>
      <c r="N31" s="1132"/>
      <c r="O31" s="1132"/>
      <c r="P31" s="1132"/>
      <c r="Q31" s="1132"/>
      <c r="R31" s="1132"/>
      <c r="S31" s="1132"/>
      <c r="T31" s="1132"/>
      <c r="U31" s="1132"/>
      <c r="V31" s="1132"/>
      <c r="W31" s="1132"/>
      <c r="X31" s="1132"/>
      <c r="Y31" s="1132"/>
      <c r="Z31" s="1132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132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300"/>
    </row>
    <row r="32" spans="1:53" ht="12" customHeight="1">
      <c r="A32" s="1146" t="str">
        <f>IF(ПОДПИСИ!B9="",ПОДПИСИ!B5,ПОДПИСИ!B9)</f>
        <v>Ведущий инженер-геодезист АО "ЛЭСР"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300"/>
    </row>
    <row r="33" spans="1:53" ht="12" customHeight="1">
      <c r="A33" s="1144" t="str">
        <f>IF(ПОДПИСИ!C9="",ПОДПИСИ!C5,CONCATENATE(ПОДПИСИ!C9,", ",ПОДПИСИ!F9))</f>
        <v xml:space="preserve">Филёва Н.О.,  </v>
      </c>
      <c r="B33" s="1144"/>
      <c r="C33" s="1144"/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44"/>
      <c r="AF33" s="1144"/>
      <c r="AG33" s="1144"/>
      <c r="AH33" s="1144"/>
      <c r="AI33" s="1144"/>
      <c r="AJ33" s="1144"/>
      <c r="AK33" s="1144"/>
      <c r="AL33" s="1144"/>
      <c r="AM33" s="1144"/>
      <c r="AN33" s="1144"/>
      <c r="AO33" s="1144"/>
      <c r="AP33" s="1144"/>
      <c r="AQ33" s="1144"/>
      <c r="AR33" s="1144"/>
      <c r="AS33" s="1144"/>
      <c r="AT33" s="1144"/>
      <c r="AU33" s="1144"/>
      <c r="AV33" s="1144"/>
      <c r="AW33" s="1144"/>
      <c r="AX33" s="1144"/>
      <c r="AY33" s="1144"/>
      <c r="AZ33" s="1144"/>
      <c r="BA33" s="300"/>
    </row>
    <row r="34" spans="1:53" ht="15" customHeight="1">
      <c r="A34" s="1134" t="s">
        <v>781</v>
      </c>
      <c r="B34" s="1134"/>
      <c r="C34" s="1134"/>
      <c r="D34" s="1134"/>
      <c r="E34" s="1134"/>
      <c r="F34" s="1134"/>
      <c r="G34" s="1134"/>
      <c r="H34" s="1134"/>
      <c r="I34" s="1134"/>
      <c r="J34" s="1134"/>
      <c r="K34" s="1134"/>
      <c r="L34" s="1134"/>
      <c r="M34" s="1134"/>
      <c r="N34" s="1134"/>
      <c r="O34" s="1134"/>
      <c r="P34" s="1134"/>
      <c r="Q34" s="1134"/>
      <c r="R34" s="1134"/>
      <c r="S34" s="1134"/>
      <c r="T34" s="1134"/>
      <c r="U34" s="1134"/>
      <c r="V34" s="1134"/>
      <c r="W34" s="1134"/>
      <c r="X34" s="1134"/>
      <c r="Y34" s="1134"/>
      <c r="Z34" s="1134"/>
      <c r="AA34" s="1134"/>
      <c r="AB34" s="1134"/>
      <c r="AC34" s="1134"/>
      <c r="AD34" s="1134"/>
      <c r="AE34" s="1134"/>
      <c r="AF34" s="1134"/>
      <c r="AG34" s="1134"/>
      <c r="AH34" s="1134"/>
      <c r="AI34" s="1134"/>
      <c r="AJ34" s="1134"/>
      <c r="AK34" s="1134"/>
      <c r="AL34" s="1134"/>
      <c r="AM34" s="1134"/>
      <c r="AN34" s="1134"/>
      <c r="AO34" s="1134"/>
      <c r="AP34" s="1134"/>
      <c r="AQ34" s="1134"/>
      <c r="AR34" s="1134"/>
      <c r="AS34" s="1134"/>
      <c r="AT34" s="1134"/>
      <c r="AU34" s="1134"/>
      <c r="AV34" s="1134"/>
      <c r="AW34" s="1134"/>
      <c r="AX34" s="1134"/>
      <c r="AY34" s="1134"/>
      <c r="AZ34" s="1134"/>
      <c r="BA34" s="300"/>
    </row>
    <row r="35" spans="1:53" ht="15" customHeight="1">
      <c r="A35" s="1135"/>
      <c r="B35" s="1135"/>
      <c r="C35" s="1135"/>
      <c r="D35" s="1135"/>
      <c r="E35" s="1135"/>
      <c r="F35" s="1135"/>
      <c r="G35" s="1135"/>
      <c r="H35" s="1135"/>
      <c r="I35" s="1135"/>
      <c r="J35" s="1135"/>
      <c r="K35" s="1135"/>
      <c r="L35" s="1135"/>
      <c r="M35" s="1135"/>
      <c r="N35" s="1135"/>
      <c r="O35" s="1135"/>
      <c r="P35" s="1135"/>
      <c r="Q35" s="1135"/>
      <c r="R35" s="1135"/>
      <c r="S35" s="1135"/>
      <c r="T35" s="1135"/>
      <c r="U35" s="1135"/>
      <c r="V35" s="1135"/>
      <c r="W35" s="1135"/>
      <c r="X35" s="1135"/>
      <c r="Y35" s="1135"/>
      <c r="Z35" s="1135"/>
      <c r="AA35" s="1135"/>
      <c r="AB35" s="1135"/>
      <c r="AC35" s="1135"/>
      <c r="AD35" s="1135"/>
      <c r="AE35" s="1135"/>
      <c r="AF35" s="1135"/>
      <c r="AG35" s="1135"/>
      <c r="AH35" s="1135"/>
      <c r="AI35" s="1135"/>
      <c r="AJ35" s="1135"/>
      <c r="AK35" s="1135"/>
      <c r="AL35" s="1135"/>
      <c r="AM35" s="1135"/>
      <c r="AN35" s="1135"/>
      <c r="AO35" s="1135"/>
      <c r="AP35" s="1135"/>
      <c r="AQ35" s="1135"/>
      <c r="AR35" s="1135"/>
      <c r="AS35" s="1135"/>
      <c r="AT35" s="1135"/>
      <c r="AU35" s="1135"/>
      <c r="AV35" s="1135"/>
      <c r="AW35" s="1135"/>
      <c r="AX35" s="1135"/>
      <c r="AY35" s="1135"/>
      <c r="AZ35" s="1135"/>
      <c r="BA35" s="300"/>
    </row>
    <row r="36" spans="1:53" ht="21" customHeight="1">
      <c r="A36" s="1136" t="s">
        <v>782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1136"/>
      <c r="AE36" s="1136"/>
      <c r="AF36" s="1136"/>
      <c r="AG36" s="1136"/>
      <c r="AH36" s="1136"/>
      <c r="AI36" s="1136"/>
      <c r="AJ36" s="1136"/>
      <c r="AK36" s="1136"/>
      <c r="AL36" s="1136"/>
      <c r="AM36" s="1136"/>
      <c r="AN36" s="1136"/>
      <c r="AO36" s="1136"/>
      <c r="AP36" s="1136"/>
      <c r="AQ36" s="1136"/>
      <c r="AR36" s="1136"/>
      <c r="AS36" s="1136"/>
      <c r="AT36" s="1136"/>
      <c r="AU36" s="1136"/>
      <c r="AV36" s="1136"/>
      <c r="AW36" s="1136"/>
      <c r="AX36" s="1136"/>
      <c r="AY36" s="1136"/>
      <c r="AZ36" s="1136"/>
      <c r="BA36" s="300"/>
    </row>
    <row r="37" spans="1:53" ht="12" customHeight="1">
      <c r="A37" s="1129" t="s">
        <v>783</v>
      </c>
      <c r="B37" s="1129"/>
      <c r="C37" s="1129"/>
      <c r="D37" s="1129"/>
      <c r="E37" s="1129"/>
      <c r="F37" s="1129"/>
      <c r="G37" s="1129"/>
      <c r="H37" s="1129"/>
      <c r="I37" s="1129"/>
      <c r="J37" s="1129"/>
      <c r="K37" s="1129"/>
      <c r="L37" s="1129"/>
      <c r="M37" s="1129"/>
      <c r="N37" s="1129"/>
      <c r="O37" s="1129"/>
      <c r="P37" s="1129"/>
      <c r="Q37" s="1129"/>
      <c r="R37" s="1129"/>
      <c r="S37" s="1129"/>
      <c r="T37" s="1129"/>
      <c r="U37" s="1129"/>
      <c r="V37" s="1129"/>
      <c r="W37" s="1129"/>
      <c r="X37" s="1129"/>
      <c r="Y37" s="1129"/>
      <c r="Z37" s="1129"/>
      <c r="AA37" s="1129"/>
      <c r="AB37" s="1129"/>
      <c r="AC37" s="1129"/>
      <c r="AD37" s="1129"/>
      <c r="AE37" s="1129"/>
      <c r="AF37" s="1129"/>
      <c r="AG37" s="1129"/>
      <c r="AH37" s="1129"/>
      <c r="AI37" s="1129"/>
      <c r="AJ37" s="1129"/>
      <c r="AK37" s="1129"/>
      <c r="AL37" s="1129"/>
      <c r="AM37" s="1129"/>
      <c r="AN37" s="1129"/>
      <c r="AO37" s="1129"/>
      <c r="AP37" s="1129"/>
      <c r="AQ37" s="1129"/>
      <c r="AR37" s="1129"/>
      <c r="AS37" s="1129"/>
      <c r="AT37" s="1129"/>
      <c r="AU37" s="1129"/>
      <c r="AV37" s="1129"/>
      <c r="AW37" s="1129"/>
      <c r="AX37" s="1129"/>
      <c r="AY37" s="1129"/>
      <c r="AZ37" s="1129"/>
      <c r="BA37" s="300"/>
    </row>
    <row r="38" spans="1:53" ht="12" customHeight="1">
      <c r="A38" s="1144" t="str">
        <f>ПОДПИСИ!B15</f>
        <v xml:space="preserve">Заместитель генерального директора ООО «БЭСК» </v>
      </c>
      <c r="B38" s="1144"/>
      <c r="C38" s="1144"/>
      <c r="D38" s="1144"/>
      <c r="E38" s="1144"/>
      <c r="F38" s="1144"/>
      <c r="G38" s="1144"/>
      <c r="H38" s="1144"/>
      <c r="I38" s="1144"/>
      <c r="J38" s="1144"/>
      <c r="K38" s="1144"/>
      <c r="L38" s="1144"/>
      <c r="M38" s="1144"/>
      <c r="N38" s="1144"/>
      <c r="O38" s="1144"/>
      <c r="P38" s="1144"/>
      <c r="Q38" s="1144"/>
      <c r="R38" s="1144"/>
      <c r="S38" s="1144"/>
      <c r="T38" s="1144"/>
      <c r="U38" s="1144"/>
      <c r="V38" s="1144"/>
      <c r="W38" s="1144"/>
      <c r="X38" s="1144"/>
      <c r="Y38" s="1144"/>
      <c r="Z38" s="1144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144"/>
      <c r="AO38" s="1144"/>
      <c r="AP38" s="1144"/>
      <c r="AQ38" s="1144"/>
      <c r="AR38" s="1144"/>
      <c r="AS38" s="1144"/>
      <c r="AT38" s="1144"/>
      <c r="AU38" s="1144"/>
      <c r="AV38" s="1144"/>
      <c r="AW38" s="1144"/>
      <c r="AX38" s="1144"/>
      <c r="AY38" s="1144"/>
      <c r="AZ38" s="1144"/>
      <c r="BA38" s="300"/>
    </row>
    <row r="39" spans="1:53" ht="12" customHeight="1">
      <c r="A39" s="1144" t="str">
        <f>CONCATENATE(ПОДПИСИ!C15," ",ПОДПИСИ!F15)</f>
        <v xml:space="preserve">Матвеев А.С. </v>
      </c>
      <c r="B39" s="1144"/>
      <c r="C39" s="1144"/>
      <c r="D39" s="1144"/>
      <c r="E39" s="1144"/>
      <c r="F39" s="1144"/>
      <c r="G39" s="1144"/>
      <c r="H39" s="1144"/>
      <c r="I39" s="1144"/>
      <c r="J39" s="1144"/>
      <c r="K39" s="1144"/>
      <c r="L39" s="1144"/>
      <c r="M39" s="1144"/>
      <c r="N39" s="1144"/>
      <c r="O39" s="1144"/>
      <c r="P39" s="1144"/>
      <c r="Q39" s="1144"/>
      <c r="R39" s="1144"/>
      <c r="S39" s="1144"/>
      <c r="T39" s="1144"/>
      <c r="U39" s="1144"/>
      <c r="V39" s="1144"/>
      <c r="W39" s="1144"/>
      <c r="X39" s="1144"/>
      <c r="Y39" s="1144"/>
      <c r="Z39" s="1144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144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300"/>
    </row>
    <row r="40" spans="1:53" ht="15" customHeight="1">
      <c r="A40" s="1134" t="s">
        <v>784</v>
      </c>
      <c r="B40" s="1134"/>
      <c r="C40" s="1134"/>
      <c r="D40" s="1134"/>
      <c r="E40" s="1134"/>
      <c r="F40" s="1134"/>
      <c r="G40" s="1134"/>
      <c r="H40" s="1134"/>
      <c r="I40" s="1134"/>
      <c r="J40" s="1134"/>
      <c r="K40" s="1134"/>
      <c r="L40" s="1134"/>
      <c r="M40" s="1134"/>
      <c r="N40" s="1134"/>
      <c r="O40" s="1134"/>
      <c r="P40" s="1134"/>
      <c r="Q40" s="1134"/>
      <c r="R40" s="1134"/>
      <c r="S40" s="1134"/>
      <c r="T40" s="1134"/>
      <c r="U40" s="1134"/>
      <c r="V40" s="1134"/>
      <c r="W40" s="1134"/>
      <c r="X40" s="1134"/>
      <c r="Y40" s="1134"/>
      <c r="Z40" s="1134"/>
      <c r="AA40" s="1134"/>
      <c r="AB40" s="1134"/>
      <c r="AC40" s="1134"/>
      <c r="AD40" s="1134"/>
      <c r="AE40" s="1134"/>
      <c r="AF40" s="1134"/>
      <c r="AG40" s="1134"/>
      <c r="AH40" s="1134"/>
      <c r="AI40" s="1134"/>
      <c r="AJ40" s="1134"/>
      <c r="AK40" s="1134"/>
      <c r="AL40" s="1134"/>
      <c r="AM40" s="1134"/>
      <c r="AN40" s="1134"/>
      <c r="AO40" s="1134"/>
      <c r="AP40" s="1134"/>
      <c r="AQ40" s="1134"/>
      <c r="AR40" s="1134"/>
      <c r="AS40" s="1134"/>
      <c r="AT40" s="1134"/>
      <c r="AU40" s="1134"/>
      <c r="AV40" s="1134"/>
      <c r="AW40" s="1134"/>
      <c r="AX40" s="1134"/>
      <c r="AY40" s="1134"/>
      <c r="AZ40" s="1134"/>
      <c r="BA40" s="300"/>
    </row>
    <row r="41" spans="1:53" ht="12" customHeight="1">
      <c r="A41" s="1145"/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300"/>
    </row>
    <row r="42" spans="1:53" ht="15" customHeight="1">
      <c r="A42" s="1136" t="s">
        <v>785</v>
      </c>
      <c r="B42" s="1136"/>
      <c r="C42" s="1136"/>
      <c r="D42" s="1136"/>
      <c r="E42" s="1136"/>
      <c r="F42" s="1136"/>
      <c r="G42" s="1136"/>
      <c r="H42" s="1136"/>
      <c r="I42" s="1136"/>
      <c r="J42" s="1136"/>
      <c r="K42" s="1136"/>
      <c r="L42" s="1136"/>
      <c r="M42" s="1136"/>
      <c r="N42" s="1136"/>
      <c r="O42" s="1136"/>
      <c r="P42" s="1136"/>
      <c r="Q42" s="1136"/>
      <c r="R42" s="1136"/>
      <c r="S42" s="1136"/>
      <c r="T42" s="1136"/>
      <c r="U42" s="1136"/>
      <c r="V42" s="1136"/>
      <c r="W42" s="1136"/>
      <c r="X42" s="1136"/>
      <c r="Y42" s="1136"/>
      <c r="Z42" s="1136"/>
      <c r="AA42" s="1136"/>
      <c r="AB42" s="1136"/>
      <c r="AC42" s="1136"/>
      <c r="AD42" s="1136"/>
      <c r="AE42" s="1136"/>
      <c r="AF42" s="1136"/>
      <c r="AG42" s="1136"/>
      <c r="AH42" s="1136"/>
      <c r="AI42" s="1136"/>
      <c r="AJ42" s="1136"/>
      <c r="AK42" s="1136"/>
      <c r="AL42" s="1136"/>
      <c r="AM42" s="1136"/>
      <c r="AN42" s="1136"/>
      <c r="AO42" s="1136"/>
      <c r="AP42" s="1136"/>
      <c r="AQ42" s="1136"/>
      <c r="AR42" s="1136"/>
      <c r="AS42" s="1136"/>
      <c r="AT42" s="1136"/>
      <c r="AU42" s="1136"/>
      <c r="AV42" s="1136"/>
      <c r="AW42" s="1136"/>
      <c r="AX42" s="1136"/>
      <c r="AY42" s="1136"/>
      <c r="AZ42" s="1136"/>
      <c r="BA42" s="300"/>
    </row>
    <row r="43" spans="1:53" ht="23.25" customHeight="1">
      <c r="A43" s="1153" t="s">
        <v>811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300"/>
    </row>
    <row r="44" spans="1:53" ht="10.5" customHeight="1">
      <c r="A44" s="1154" t="str">
        <f>ПОДПИСИ!B17</f>
        <v xml:space="preserve">Заместитель генерального директора ООО «БЭСК»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300"/>
    </row>
    <row r="45" spans="1:53" ht="12.75" customHeight="1">
      <c r="A45" s="1154" t="str">
        <f>CONCATENATE(ПОДПИСИ!C17," ",ПОДПИСИ!F17)</f>
        <v xml:space="preserve">Матвеев А.С.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00"/>
    </row>
    <row r="46" spans="1:53" ht="15" customHeight="1">
      <c r="A46" s="1151" t="s">
        <v>781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300"/>
    </row>
    <row r="47" spans="1:53" ht="15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  <c r="BA47" s="300"/>
    </row>
    <row r="48" spans="1:53" ht="7.5" customHeight="1">
      <c r="A48" s="1151" t="s">
        <v>812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300"/>
    </row>
    <row r="49" spans="1:54" ht="39" customHeight="1">
      <c r="A49" s="1132" t="s">
        <v>786</v>
      </c>
      <c r="B49" s="1132"/>
      <c r="C49" s="1132"/>
      <c r="D49" s="1132"/>
      <c r="E49" s="1132"/>
      <c r="F49" s="1132"/>
      <c r="G49" s="1132"/>
      <c r="H49" s="1132"/>
      <c r="I49" s="1132"/>
      <c r="J49" s="1132"/>
      <c r="K49" s="1132"/>
      <c r="L49" s="1132"/>
      <c r="M49" s="1132"/>
      <c r="N49" s="1132"/>
      <c r="O49" s="1132"/>
      <c r="P49" s="1132"/>
      <c r="Q49" s="1132"/>
      <c r="R49" s="1132"/>
      <c r="S49" s="1132"/>
      <c r="T49" s="1132"/>
      <c r="U49" s="1132"/>
      <c r="V49" s="1132"/>
      <c r="W49" s="1132"/>
      <c r="X49" s="1132"/>
      <c r="Y49" s="1132"/>
      <c r="Z49" s="1132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300"/>
    </row>
    <row r="50" spans="1:54" ht="12" customHeight="1">
      <c r="A50" s="1145" t="str">
        <f>ПОДПИСИ!B19</f>
        <v xml:space="preserve"> </v>
      </c>
      <c r="B50" s="1145"/>
      <c r="C50" s="1145"/>
      <c r="D50" s="1145"/>
      <c r="E50" s="1145"/>
      <c r="F50" s="1145"/>
      <c r="G50" s="1145"/>
      <c r="H50" s="1145"/>
      <c r="I50" s="1145"/>
      <c r="J50" s="1145"/>
      <c r="K50" s="1145"/>
      <c r="L50" s="1145"/>
      <c r="M50" s="1145"/>
      <c r="N50" s="1145"/>
      <c r="O50" s="1145"/>
      <c r="P50" s="1145"/>
      <c r="Q50" s="1145"/>
      <c r="R50" s="1145"/>
      <c r="S50" s="1145"/>
      <c r="T50" s="1145"/>
      <c r="U50" s="1145"/>
      <c r="V50" s="1145"/>
      <c r="W50" s="1145"/>
      <c r="X50" s="1145"/>
      <c r="Y50" s="1145"/>
      <c r="Z50" s="1145"/>
      <c r="AA50" s="1145"/>
      <c r="AB50" s="1145"/>
      <c r="AC50" s="1145"/>
      <c r="AD50" s="1145"/>
      <c r="AE50" s="1145"/>
      <c r="AF50" s="1145"/>
      <c r="AG50" s="1145"/>
      <c r="AH50" s="1145"/>
      <c r="AI50" s="1145"/>
      <c r="AJ50" s="1145"/>
      <c r="AK50" s="1145"/>
      <c r="AL50" s="1145"/>
      <c r="AM50" s="1145"/>
      <c r="AN50" s="1145"/>
      <c r="AO50" s="1145"/>
      <c r="AP50" s="1145"/>
      <c r="AQ50" s="1145"/>
      <c r="AR50" s="1145"/>
      <c r="AS50" s="1145"/>
      <c r="AT50" s="1145"/>
      <c r="AU50" s="1145"/>
      <c r="AV50" s="1145"/>
      <c r="AW50" s="1145"/>
      <c r="AX50" s="1145"/>
      <c r="AY50" s="1145"/>
      <c r="AZ50" s="1145"/>
      <c r="BA50" s="300"/>
    </row>
    <row r="51" spans="1:54" ht="11.25" customHeight="1">
      <c r="A51" s="1148" t="str">
        <f>CONCATENATE(ПОДПИСИ!C19," ",ПОДПИСИ!F19)</f>
        <v xml:space="preserve">  </v>
      </c>
      <c r="B51" s="1148"/>
      <c r="C51" s="1148"/>
      <c r="D51" s="1148"/>
      <c r="E51" s="1148"/>
      <c r="F51" s="1148"/>
      <c r="G51" s="1148"/>
      <c r="H51" s="1148"/>
      <c r="I51" s="1148"/>
      <c r="J51" s="1148"/>
      <c r="K51" s="1148"/>
      <c r="L51" s="1148"/>
      <c r="M51" s="1148"/>
      <c r="N51" s="1148"/>
      <c r="O51" s="1148"/>
      <c r="P51" s="1148"/>
      <c r="Q51" s="1148"/>
      <c r="R51" s="1148"/>
      <c r="S51" s="1148"/>
      <c r="T51" s="1148"/>
      <c r="U51" s="1148"/>
      <c r="V51" s="1148"/>
      <c r="W51" s="1148"/>
      <c r="X51" s="1148"/>
      <c r="Y51" s="1148"/>
      <c r="Z51" s="1148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300"/>
    </row>
    <row r="52" spans="1:54" ht="6" customHeight="1">
      <c r="A52" s="1149" t="s">
        <v>787</v>
      </c>
      <c r="B52" s="1149"/>
      <c r="C52" s="1149"/>
      <c r="D52" s="1149"/>
      <c r="E52" s="1149"/>
      <c r="F52" s="1149"/>
      <c r="G52" s="1149"/>
      <c r="H52" s="1149"/>
      <c r="I52" s="1149"/>
      <c r="J52" s="1149"/>
      <c r="K52" s="1149"/>
      <c r="L52" s="1149"/>
      <c r="M52" s="1149"/>
      <c r="N52" s="1149"/>
      <c r="O52" s="1149"/>
      <c r="P52" s="1149"/>
      <c r="Q52" s="1149"/>
      <c r="R52" s="1149"/>
      <c r="S52" s="1149"/>
      <c r="T52" s="1149"/>
      <c r="U52" s="1149"/>
      <c r="V52" s="1149"/>
      <c r="W52" s="1149"/>
      <c r="X52" s="1149"/>
      <c r="Y52" s="1149"/>
      <c r="Z52" s="1149"/>
      <c r="AA52" s="1149"/>
      <c r="AB52" s="1149"/>
      <c r="AC52" s="1149"/>
      <c r="AD52" s="1149"/>
      <c r="AE52" s="1149"/>
      <c r="AF52" s="1149"/>
      <c r="AG52" s="1149"/>
      <c r="AH52" s="1149"/>
      <c r="AI52" s="1149"/>
      <c r="AJ52" s="1149"/>
      <c r="AK52" s="1149"/>
      <c r="AL52" s="1149"/>
      <c r="AM52" s="1149"/>
      <c r="AN52" s="1149"/>
      <c r="AO52" s="1149"/>
      <c r="AP52" s="1149"/>
      <c r="AQ52" s="1149"/>
      <c r="AR52" s="1149"/>
      <c r="AS52" s="1149"/>
      <c r="AT52" s="1149"/>
      <c r="AU52" s="1149"/>
      <c r="AV52" s="1149"/>
      <c r="AW52" s="1149"/>
      <c r="AX52" s="1149"/>
      <c r="AY52" s="1149"/>
      <c r="AZ52" s="1149"/>
      <c r="BA52" s="300"/>
    </row>
    <row r="53" spans="1:54" ht="15" customHeight="1">
      <c r="A53" s="1150"/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300"/>
    </row>
    <row r="54" spans="1:54" ht="15" customHeight="1">
      <c r="A54" s="1136" t="s">
        <v>788</v>
      </c>
      <c r="B54" s="1136"/>
      <c r="C54" s="1136"/>
      <c r="D54" s="1136"/>
      <c r="E54" s="1136"/>
      <c r="F54" s="1136"/>
      <c r="G54" s="1136"/>
      <c r="H54" s="1136"/>
      <c r="I54" s="1136"/>
      <c r="J54" s="1136"/>
      <c r="K54" s="1136"/>
      <c r="L54" s="1136"/>
      <c r="M54" s="1136"/>
      <c r="N54" s="1136"/>
      <c r="O54" s="1136"/>
      <c r="P54" s="1136"/>
      <c r="Q54" s="1136"/>
      <c r="R54" s="1136"/>
      <c r="S54" s="1136"/>
      <c r="T54" s="1136"/>
      <c r="U54" s="1136"/>
      <c r="V54" s="1136"/>
      <c r="W54" s="1136"/>
      <c r="X54" s="1136"/>
      <c r="Y54" s="1136"/>
      <c r="Z54" s="1136"/>
      <c r="AA54" s="1136"/>
      <c r="AB54" s="1136"/>
      <c r="AC54" s="1136"/>
      <c r="AD54" s="1136"/>
      <c r="AE54" s="1136"/>
      <c r="AF54" s="1136"/>
      <c r="AG54" s="1136"/>
      <c r="AH54" s="1136"/>
      <c r="AI54" s="1136"/>
      <c r="AJ54" s="1136"/>
      <c r="AK54" s="1136"/>
      <c r="AL54" s="1136"/>
      <c r="AM54" s="1136"/>
      <c r="AN54" s="1136"/>
      <c r="AO54" s="1136"/>
      <c r="AP54" s="1136"/>
      <c r="AQ54" s="1136"/>
      <c r="AR54" s="1136"/>
      <c r="AS54" s="1136"/>
      <c r="AT54" s="1136"/>
      <c r="AU54" s="1136"/>
      <c r="AV54" s="1136"/>
      <c r="AW54" s="1136"/>
      <c r="AX54" s="1136"/>
      <c r="AY54" s="1136"/>
      <c r="AZ54" s="1136"/>
      <c r="BA54" s="300"/>
    </row>
    <row r="55" spans="1:54" ht="21" customHeight="1">
      <c r="A55" s="1132" t="s">
        <v>789</v>
      </c>
      <c r="B55" s="1132"/>
      <c r="C55" s="1132"/>
      <c r="D55" s="1132"/>
      <c r="E55" s="1132"/>
      <c r="F55" s="1132"/>
      <c r="G55" s="1132"/>
      <c r="H55" s="1132"/>
      <c r="I55" s="1132"/>
      <c r="J55" s="1132"/>
      <c r="K55" s="1132"/>
      <c r="L55" s="1132"/>
      <c r="M55" s="1132"/>
      <c r="N55" s="1132"/>
      <c r="O55" s="1132"/>
      <c r="P55" s="1132"/>
      <c r="Q55" s="1132"/>
      <c r="R55" s="1132"/>
      <c r="S55" s="1132"/>
      <c r="T55" s="1132"/>
      <c r="U55" s="1132"/>
      <c r="V55" s="1132"/>
      <c r="W55" s="1132"/>
      <c r="X55" s="1132"/>
      <c r="Y55" s="1132"/>
      <c r="Z55" s="1132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132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300"/>
    </row>
    <row r="56" spans="1:54" ht="12" customHeight="1">
      <c r="A56" s="1147" t="str">
        <f>ПОДПИСИ!B14</f>
        <v>Инженер-геодезист ООО «БЭСК»</v>
      </c>
      <c r="B56" s="1147"/>
      <c r="C56" s="1147"/>
      <c r="D56" s="1147"/>
      <c r="E56" s="1147"/>
      <c r="F56" s="1147"/>
      <c r="G56" s="1147"/>
      <c r="H56" s="1147"/>
      <c r="I56" s="1147"/>
      <c r="J56" s="1147"/>
      <c r="K56" s="1147"/>
      <c r="L56" s="1147"/>
      <c r="M56" s="1147"/>
      <c r="N56" s="1147"/>
      <c r="O56" s="1147"/>
      <c r="P56" s="1147"/>
      <c r="Q56" s="1147"/>
      <c r="R56" s="1147"/>
      <c r="S56" s="1147"/>
      <c r="T56" s="1147"/>
      <c r="U56" s="1147"/>
      <c r="V56" s="1147"/>
      <c r="W56" s="1147"/>
      <c r="X56" s="1147"/>
      <c r="Y56" s="1147"/>
      <c r="Z56" s="1147"/>
      <c r="AA56" s="1147"/>
      <c r="AB56" s="1147"/>
      <c r="AC56" s="1147"/>
      <c r="AD56" s="1147"/>
      <c r="AE56" s="1147"/>
      <c r="AF56" s="1147"/>
      <c r="AG56" s="1147"/>
      <c r="AH56" s="1147"/>
      <c r="AI56" s="1147"/>
      <c r="AJ56" s="1147"/>
      <c r="AK56" s="1147"/>
      <c r="AL56" s="1147"/>
      <c r="AM56" s="1147"/>
      <c r="AN56" s="1147"/>
      <c r="AO56" s="1147"/>
      <c r="AP56" s="1147"/>
      <c r="AQ56" s="1147"/>
      <c r="AR56" s="1147"/>
      <c r="AS56" s="1147"/>
      <c r="AT56" s="1147"/>
      <c r="AU56" s="1147"/>
      <c r="AV56" s="1147"/>
      <c r="AW56" s="1147"/>
      <c r="AX56" s="1147"/>
      <c r="AY56" s="1147"/>
      <c r="AZ56" s="1147"/>
      <c r="BA56" s="308"/>
      <c r="BB56" s="294"/>
    </row>
    <row r="57" spans="1:54" ht="12" customHeight="1">
      <c r="A57" s="1144" t="str">
        <f>CONCATENATE(ПОДПИСИ!C14," ",ПОДПИСИ!F14)</f>
        <v xml:space="preserve">Алексеенков Д.С. </v>
      </c>
      <c r="B57" s="1144"/>
      <c r="C57" s="1144"/>
      <c r="D57" s="1144"/>
      <c r="E57" s="1144"/>
      <c r="F57" s="1144"/>
      <c r="G57" s="1144"/>
      <c r="H57" s="1144"/>
      <c r="I57" s="1144"/>
      <c r="J57" s="1144"/>
      <c r="K57" s="1144"/>
      <c r="L57" s="1144"/>
      <c r="M57" s="1144"/>
      <c r="N57" s="1144"/>
      <c r="O57" s="1144"/>
      <c r="P57" s="1144"/>
      <c r="Q57" s="1144"/>
      <c r="R57" s="1144"/>
      <c r="S57" s="1144"/>
      <c r="T57" s="1144"/>
      <c r="U57" s="1144"/>
      <c r="V57" s="1144"/>
      <c r="W57" s="1144"/>
      <c r="X57" s="1144"/>
      <c r="Y57" s="1144"/>
      <c r="Z57" s="1144"/>
      <c r="AA57" s="1144"/>
      <c r="AB57" s="1144"/>
      <c r="AC57" s="1144"/>
      <c r="AD57" s="1144"/>
      <c r="AE57" s="1144"/>
      <c r="AF57" s="1144"/>
      <c r="AG57" s="1144"/>
      <c r="AH57" s="1144"/>
      <c r="AI57" s="1144"/>
      <c r="AJ57" s="1144"/>
      <c r="AK57" s="1144"/>
      <c r="AL57" s="1144"/>
      <c r="AM57" s="1144"/>
      <c r="AN57" s="1144"/>
      <c r="AO57" s="1144"/>
      <c r="AP57" s="1144"/>
      <c r="AQ57" s="1144"/>
      <c r="AR57" s="1144"/>
      <c r="AS57" s="1144"/>
      <c r="AT57" s="1144"/>
      <c r="AU57" s="1144"/>
      <c r="AV57" s="1144"/>
      <c r="AW57" s="1144"/>
      <c r="AX57" s="1144"/>
      <c r="AY57" s="1144"/>
      <c r="AZ57" s="1144"/>
      <c r="BA57" s="300"/>
    </row>
    <row r="58" spans="1:54" ht="6" customHeight="1">
      <c r="A58" s="1134" t="s">
        <v>787</v>
      </c>
      <c r="B58" s="1134"/>
      <c r="C58" s="1134"/>
      <c r="D58" s="1134"/>
      <c r="E58" s="1134"/>
      <c r="F58" s="1134"/>
      <c r="G58" s="1134"/>
      <c r="H58" s="1134"/>
      <c r="I58" s="1134"/>
      <c r="J58" s="1134"/>
      <c r="K58" s="1134"/>
      <c r="L58" s="1134"/>
      <c r="M58" s="1134"/>
      <c r="N58" s="1134"/>
      <c r="O58" s="1134"/>
      <c r="P58" s="1134"/>
      <c r="Q58" s="1134"/>
      <c r="R58" s="1134"/>
      <c r="S58" s="1134"/>
      <c r="T58" s="1134"/>
      <c r="U58" s="1134"/>
      <c r="V58" s="1134"/>
      <c r="W58" s="1134"/>
      <c r="X58" s="1134"/>
      <c r="Y58" s="1134"/>
      <c r="Z58" s="1134"/>
      <c r="AA58" s="1134"/>
      <c r="AB58" s="1134"/>
      <c r="AC58" s="1134"/>
      <c r="AD58" s="1134"/>
      <c r="AE58" s="1134"/>
      <c r="AF58" s="1134"/>
      <c r="AG58" s="1134"/>
      <c r="AH58" s="1134"/>
      <c r="AI58" s="1134"/>
      <c r="AJ58" s="1134"/>
      <c r="AK58" s="1134"/>
      <c r="AL58" s="1134"/>
      <c r="AM58" s="1134"/>
      <c r="AN58" s="1134"/>
      <c r="AO58" s="1134"/>
      <c r="AP58" s="1134"/>
      <c r="AQ58" s="1134"/>
      <c r="AR58" s="1134"/>
      <c r="AS58" s="1134"/>
      <c r="AT58" s="1134"/>
      <c r="AU58" s="1134"/>
      <c r="AV58" s="1134"/>
      <c r="AW58" s="1134"/>
      <c r="AX58" s="1134"/>
      <c r="AY58" s="1134"/>
      <c r="AZ58" s="1134"/>
      <c r="BA58" s="300"/>
    </row>
    <row r="59" spans="1:54">
      <c r="A59" s="1135"/>
      <c r="B59" s="1135"/>
      <c r="C59" s="1135"/>
      <c r="D59" s="1135"/>
      <c r="E59" s="1135"/>
      <c r="F59" s="1135"/>
      <c r="G59" s="1135"/>
      <c r="H59" s="1135"/>
      <c r="I59" s="1135"/>
      <c r="J59" s="1135"/>
      <c r="K59" s="1135"/>
      <c r="L59" s="1135"/>
      <c r="M59" s="1135"/>
      <c r="N59" s="1135"/>
      <c r="O59" s="1135"/>
      <c r="P59" s="1135"/>
      <c r="Q59" s="1135"/>
      <c r="R59" s="1135"/>
      <c r="S59" s="1135"/>
      <c r="T59" s="1135"/>
      <c r="U59" s="1135"/>
      <c r="V59" s="1135"/>
      <c r="W59" s="1135"/>
      <c r="X59" s="1135"/>
      <c r="Y59" s="1135"/>
      <c r="Z59" s="1135"/>
      <c r="AA59" s="1135"/>
      <c r="AB59" s="1135"/>
      <c r="AC59" s="1135"/>
      <c r="AD59" s="1135"/>
      <c r="AE59" s="1135"/>
      <c r="AF59" s="1135"/>
      <c r="AG59" s="1135"/>
      <c r="AH59" s="1135"/>
      <c r="AI59" s="1135"/>
      <c r="AJ59" s="1135"/>
      <c r="AK59" s="1135"/>
      <c r="AL59" s="1135"/>
      <c r="AM59" s="1135"/>
      <c r="AN59" s="1135"/>
      <c r="AO59" s="1135"/>
      <c r="AP59" s="1135"/>
      <c r="AQ59" s="1135"/>
      <c r="AR59" s="1135"/>
      <c r="AS59" s="1135"/>
      <c r="AT59" s="1135"/>
      <c r="AU59" s="1135"/>
      <c r="AV59" s="1135"/>
      <c r="AW59" s="1135"/>
      <c r="AX59" s="1135"/>
      <c r="AY59" s="1135"/>
      <c r="AZ59" s="1135"/>
      <c r="BA59" s="300"/>
    </row>
    <row r="60" spans="1:54" ht="15" customHeight="1">
      <c r="A60" s="1136" t="s">
        <v>790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  <c r="BA60" s="300"/>
    </row>
    <row r="61" spans="1:54" ht="15" customHeight="1" outlineLevel="1">
      <c r="A61" s="1100" t="s">
        <v>79</v>
      </c>
      <c r="B61" s="1100"/>
      <c r="C61" s="1100"/>
      <c r="D61" s="1100"/>
      <c r="E61" s="1100"/>
      <c r="F61" s="1100"/>
      <c r="G61" s="1100"/>
      <c r="H61" s="1100"/>
      <c r="I61" s="1100"/>
      <c r="J61" s="1100"/>
      <c r="K61" s="1100"/>
      <c r="L61" s="1100"/>
      <c r="M61" s="1100"/>
      <c r="N61" s="1100"/>
      <c r="O61" s="1100"/>
      <c r="P61" s="1100"/>
      <c r="Q61" s="1100"/>
      <c r="R61" s="1100"/>
      <c r="S61" s="1100"/>
      <c r="T61" s="1100"/>
      <c r="U61" s="1100"/>
      <c r="V61" s="1100"/>
      <c r="W61" s="1100"/>
      <c r="X61" s="1100"/>
      <c r="Y61" s="1100"/>
      <c r="Z61" s="1100"/>
      <c r="AA61" s="1100"/>
      <c r="AB61" s="1100"/>
      <c r="AC61" s="1100"/>
      <c r="AD61" s="1100"/>
      <c r="AE61" s="1100"/>
      <c r="AF61" s="1100"/>
      <c r="AG61" s="1100"/>
      <c r="AH61" s="1100"/>
      <c r="AI61" s="1100"/>
      <c r="AJ61" s="1100"/>
      <c r="AK61" s="1100"/>
      <c r="BA61" s="300"/>
    </row>
    <row r="62" spans="1:54" ht="22.5" customHeight="1" outlineLevel="1">
      <c r="A62" s="1106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300"/>
    </row>
    <row r="63" spans="1:54" ht="9.75" customHeight="1" outlineLevel="1">
      <c r="A63" s="1105" t="s">
        <v>523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300"/>
    </row>
    <row r="64" spans="1:54" ht="21" customHeight="1">
      <c r="A64" s="1132" t="s">
        <v>791</v>
      </c>
      <c r="B64" s="1132"/>
      <c r="C64" s="1132"/>
      <c r="D64" s="1132"/>
      <c r="E64" s="1132"/>
      <c r="F64" s="1132"/>
      <c r="G64" s="1132"/>
      <c r="H64" s="1132"/>
      <c r="I64" s="1132"/>
      <c r="J64" s="1132"/>
      <c r="K64" s="1132"/>
      <c r="L64" s="1132"/>
      <c r="M64" s="1132"/>
      <c r="N64" s="1132"/>
      <c r="O64" s="1132"/>
      <c r="P64" s="1132"/>
      <c r="Q64" s="1132"/>
      <c r="R64" s="1132"/>
      <c r="S64" s="1132"/>
      <c r="T64" s="1132"/>
      <c r="U64" s="1132"/>
      <c r="V64" s="1132"/>
      <c r="W64" s="1132"/>
      <c r="X64" s="1132"/>
      <c r="Y64" s="1132"/>
      <c r="Z64" s="1132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300"/>
    </row>
    <row r="65" spans="1:53" ht="12" customHeight="1">
      <c r="A65" s="1141" t="str">
        <f>ФОРМА!D22</f>
        <v>трансформаторной подстанции</v>
      </c>
      <c r="B65" s="1141"/>
      <c r="C65" s="1141"/>
      <c r="D65" s="1141"/>
      <c r="E65" s="1141"/>
      <c r="F65" s="1141"/>
      <c r="G65" s="1141"/>
      <c r="H65" s="1141"/>
      <c r="I65" s="1141"/>
      <c r="J65" s="1141"/>
      <c r="K65" s="1141"/>
      <c r="L65" s="1141"/>
      <c r="M65" s="1141"/>
      <c r="N65" s="1141"/>
      <c r="O65" s="1141"/>
      <c r="P65" s="1141"/>
      <c r="Q65" s="1141"/>
      <c r="R65" s="1141"/>
      <c r="S65" s="1141"/>
      <c r="T65" s="1141"/>
      <c r="U65" s="1141"/>
      <c r="V65" s="1141"/>
      <c r="W65" s="1141"/>
      <c r="X65" s="1141"/>
      <c r="Y65" s="1141"/>
      <c r="Z65" s="1141"/>
      <c r="AA65" s="1141"/>
      <c r="AB65" s="1141"/>
      <c r="AC65" s="1141"/>
      <c r="AD65" s="1141"/>
      <c r="AE65" s="1141"/>
      <c r="AF65" s="1141"/>
      <c r="AG65" s="1141"/>
      <c r="AH65" s="1141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300"/>
    </row>
    <row r="66" spans="1:53" s="305" customFormat="1" ht="6" customHeight="1">
      <c r="A66" s="1131" t="s">
        <v>431</v>
      </c>
      <c r="B66" s="1131"/>
      <c r="C66" s="1131"/>
      <c r="D66" s="1131"/>
      <c r="E66" s="1131"/>
      <c r="F66" s="1131"/>
      <c r="G66" s="1131"/>
      <c r="H66" s="1131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304"/>
    </row>
    <row r="67" spans="1:53" ht="48" customHeight="1">
      <c r="A67" s="1155" t="s">
        <v>792</v>
      </c>
      <c r="B67" s="1155"/>
      <c r="C67" s="1155"/>
      <c r="D67" s="1155"/>
      <c r="E67" s="1155"/>
      <c r="F67" s="1155"/>
      <c r="G67" s="1155"/>
      <c r="H67" s="1155"/>
      <c r="I67" s="1155"/>
      <c r="J67" s="1155"/>
      <c r="K67" s="1155"/>
      <c r="L67" s="1155"/>
      <c r="M67" s="1155"/>
      <c r="N67" s="1155"/>
      <c r="O67" s="1155"/>
      <c r="P67" s="1155"/>
      <c r="Q67" s="1155"/>
      <c r="R67" s="1155"/>
      <c r="S67" s="1155"/>
      <c r="T67" s="1155"/>
      <c r="U67" s="1155"/>
      <c r="V67" s="1155"/>
      <c r="W67" s="1155"/>
      <c r="X67" s="1155"/>
      <c r="Y67" s="1155"/>
      <c r="Z67" s="1155"/>
      <c r="AA67" s="1155"/>
      <c r="AB67" s="1155"/>
      <c r="AC67" s="1155"/>
      <c r="AD67" s="1155"/>
      <c r="AE67" s="1155"/>
      <c r="AF67" s="1155"/>
      <c r="AG67" s="1155"/>
      <c r="AH67" s="1155"/>
      <c r="AI67" s="1155"/>
      <c r="AJ67" s="1155"/>
      <c r="AK67" s="1155"/>
      <c r="AL67" s="1155"/>
      <c r="AM67" s="1155"/>
      <c r="AN67" s="1155"/>
      <c r="AO67" s="1155"/>
      <c r="AP67" s="1155"/>
      <c r="AQ67" s="1155"/>
      <c r="AR67" s="1155"/>
      <c r="AS67" s="1155"/>
      <c r="AT67" s="1155"/>
      <c r="AU67" s="1155"/>
      <c r="AV67" s="1155"/>
      <c r="AW67" s="1155"/>
      <c r="AX67" s="1155"/>
      <c r="AY67" s="1155"/>
      <c r="AZ67" s="1155"/>
      <c r="BA67" s="300"/>
    </row>
    <row r="68" spans="1:53" ht="11.25" customHeight="1">
      <c r="A68" s="1141" t="str">
        <f>ФОРМА!B9</f>
        <v>СЭС-23-32939-ЭС-ТКР2</v>
      </c>
      <c r="B68" s="1141"/>
      <c r="C68" s="1141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300"/>
    </row>
    <row r="69" spans="1:53" s="305" customFormat="1" ht="6" customHeight="1">
      <c r="A69" s="1149" t="s">
        <v>793</v>
      </c>
      <c r="B69" s="1149"/>
      <c r="C69" s="1149"/>
      <c r="D69" s="1149"/>
      <c r="E69" s="1149"/>
      <c r="F69" s="1149"/>
      <c r="G69" s="1149"/>
      <c r="H69" s="1149"/>
      <c r="I69" s="1149"/>
      <c r="J69" s="1149"/>
      <c r="K69" s="1149"/>
      <c r="L69" s="1149"/>
      <c r="M69" s="1149"/>
      <c r="N69" s="1149"/>
      <c r="O69" s="1149"/>
      <c r="P69" s="1149"/>
      <c r="Q69" s="1149"/>
      <c r="R69" s="1149"/>
      <c r="S69" s="1149"/>
      <c r="T69" s="1149"/>
      <c r="U69" s="1149"/>
      <c r="V69" s="1149"/>
      <c r="W69" s="1149"/>
      <c r="X69" s="1149"/>
      <c r="Y69" s="1149"/>
      <c r="Z69" s="1149"/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304"/>
    </row>
    <row r="70" spans="1:53" ht="13.15" customHeight="1">
      <c r="A70" s="1141" t="str">
        <f>ФОРМА!B8</f>
        <v>ООО «Строительные энергетические технологии»</v>
      </c>
      <c r="B70" s="1141"/>
      <c r="C70" s="1141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300"/>
    </row>
    <row r="71" spans="1:53" s="305" customFormat="1" ht="6" customHeight="1">
      <c r="A71" s="1149" t="s">
        <v>794</v>
      </c>
      <c r="B71" s="1149"/>
      <c r="C71" s="1149"/>
      <c r="D71" s="1149"/>
      <c r="E71" s="1149"/>
      <c r="F71" s="1149"/>
      <c r="G71" s="1149"/>
      <c r="H71" s="1149"/>
      <c r="I71" s="1149"/>
      <c r="J71" s="1149"/>
      <c r="K71" s="1149"/>
      <c r="L71" s="1149"/>
      <c r="M71" s="1149"/>
      <c r="N71" s="1149"/>
      <c r="O71" s="1149"/>
      <c r="P71" s="1149"/>
      <c r="Q71" s="1149"/>
      <c r="R71" s="1149"/>
      <c r="S71" s="1149"/>
      <c r="T71" s="1149"/>
      <c r="U71" s="1149"/>
      <c r="V71" s="1149"/>
      <c r="W71" s="1149"/>
      <c r="X71" s="1149"/>
      <c r="Y71" s="1149"/>
      <c r="Z71" s="1149"/>
      <c r="AA71" s="1149"/>
      <c r="AB71" s="1149"/>
      <c r="AC71" s="1149"/>
      <c r="AD71" s="1149"/>
      <c r="AE71" s="1149"/>
      <c r="AF71" s="1149"/>
      <c r="AG71" s="1149"/>
      <c r="AH71" s="1149"/>
      <c r="AI71" s="1149"/>
      <c r="AJ71" s="1149"/>
      <c r="AK71" s="1149"/>
      <c r="AL71" s="1149"/>
      <c r="AM71" s="1149"/>
      <c r="AN71" s="1149"/>
      <c r="AO71" s="1149"/>
      <c r="AP71" s="1149"/>
      <c r="AQ71" s="1149"/>
      <c r="AR71" s="1149"/>
      <c r="AS71" s="1149"/>
      <c r="AT71" s="1149"/>
      <c r="AU71" s="1149"/>
      <c r="AV71" s="1149"/>
      <c r="AW71" s="1149"/>
      <c r="AX71" s="1149"/>
      <c r="AY71" s="1149"/>
      <c r="AZ71" s="1149"/>
      <c r="BA71" s="1149"/>
    </row>
    <row r="72" spans="1:53" ht="13.15" customHeight="1">
      <c r="A72" s="1141" t="s">
        <v>726</v>
      </c>
      <c r="B72" s="1141"/>
      <c r="C72" s="1141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300"/>
    </row>
    <row r="73" spans="1:53" s="305" customFormat="1" ht="6" customHeight="1">
      <c r="A73" s="1149" t="s">
        <v>795</v>
      </c>
      <c r="B73" s="1149"/>
      <c r="C73" s="1149"/>
      <c r="D73" s="1149"/>
      <c r="E73" s="1149"/>
      <c r="F73" s="1149"/>
      <c r="G73" s="1149"/>
      <c r="H73" s="1149"/>
      <c r="I73" s="1149"/>
      <c r="J73" s="1149"/>
      <c r="K73" s="1149"/>
      <c r="L73" s="1149"/>
      <c r="M73" s="1149"/>
      <c r="N73" s="1149"/>
      <c r="O73" s="1149"/>
      <c r="P73" s="1149"/>
      <c r="Q73" s="1149"/>
      <c r="R73" s="1149"/>
      <c r="S73" s="1149"/>
      <c r="T73" s="1149"/>
      <c r="U73" s="1149"/>
      <c r="V73" s="1149"/>
      <c r="W73" s="1149"/>
      <c r="X73" s="1149"/>
      <c r="Y73" s="1149"/>
      <c r="Z73" s="1149"/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</row>
    <row r="74" spans="1:53" ht="12" customHeight="1">
      <c r="A74" s="1132" t="s">
        <v>593</v>
      </c>
      <c r="B74" s="1132"/>
      <c r="C74" s="1132"/>
      <c r="D74" s="1132"/>
      <c r="E74" s="1132"/>
      <c r="F74" s="1132"/>
      <c r="G74" s="1132"/>
      <c r="H74" s="1132"/>
      <c r="I74" s="1132"/>
      <c r="J74" s="1132"/>
      <c r="K74" s="1132"/>
      <c r="L74" s="1132"/>
      <c r="M74" s="1132"/>
      <c r="N74" s="1132"/>
      <c r="O74" s="1132"/>
      <c r="P74" s="1132"/>
      <c r="Q74" s="1132"/>
      <c r="R74" s="1132"/>
      <c r="S74" s="1132"/>
      <c r="T74" s="1132"/>
      <c r="U74" s="1132"/>
      <c r="V74" s="1132"/>
      <c r="W74" s="1132"/>
      <c r="X74" s="1132"/>
      <c r="Y74" s="1132"/>
      <c r="Z74" s="1132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42"/>
      <c r="V75" s="1142"/>
      <c r="W75" s="1142"/>
      <c r="X75" s="1142"/>
      <c r="Y75" s="1142"/>
      <c r="Z75" s="1142"/>
      <c r="AA75" s="1142"/>
      <c r="AB75" s="1142"/>
      <c r="AC75" s="1142"/>
      <c r="AD75" s="1142"/>
      <c r="AE75" s="1142"/>
      <c r="AF75" s="1142"/>
      <c r="AG75" s="1142"/>
      <c r="AH75" s="1142"/>
      <c r="AI75" s="1142"/>
      <c r="AJ75" s="1142"/>
      <c r="AK75" s="1142"/>
      <c r="AL75" s="1142"/>
      <c r="AM75" s="1142"/>
      <c r="AN75" s="1142"/>
      <c r="AO75" s="1142"/>
      <c r="AP75" s="1142"/>
      <c r="AQ75" s="1142"/>
      <c r="AR75" s="1142"/>
      <c r="AS75" s="1142"/>
      <c r="AT75" s="1142"/>
      <c r="AU75" s="1142"/>
      <c r="AV75" s="1142"/>
      <c r="AW75" s="1142"/>
      <c r="AX75" s="1142"/>
      <c r="AY75" s="1142"/>
      <c r="AZ75" s="1142"/>
      <c r="BA75" s="300"/>
    </row>
    <row r="76" spans="1:53" ht="11.25" customHeight="1">
      <c r="A76" s="1129" t="s">
        <v>86</v>
      </c>
      <c r="B76" s="1129"/>
      <c r="C76" s="1129"/>
      <c r="D76" s="1129"/>
      <c r="E76" s="1129"/>
      <c r="F76" s="1129"/>
      <c r="G76" s="1129"/>
      <c r="H76" s="1129"/>
      <c r="I76" s="1129"/>
      <c r="J76" s="1129"/>
      <c r="K76" s="1129"/>
      <c r="L76" s="1129"/>
      <c r="M76" s="1129"/>
      <c r="N76" s="1129"/>
      <c r="O76" s="1129"/>
      <c r="P76" s="1156" t="s">
        <v>65</v>
      </c>
      <c r="Q76" s="1156"/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56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/>
      <c r="AM76" s="1156"/>
      <c r="AN76" s="1156"/>
      <c r="AO76" s="1156"/>
      <c r="AP76" s="1156"/>
      <c r="AQ76" s="1156"/>
      <c r="AR76" s="1156"/>
      <c r="AS76" s="1156"/>
      <c r="AT76" s="1156"/>
      <c r="AU76" s="1156"/>
      <c r="AV76" s="1156"/>
      <c r="AW76" s="1156"/>
      <c r="AX76" s="1156"/>
      <c r="AY76" s="1156"/>
      <c r="AZ76" s="115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29" t="s">
        <v>90</v>
      </c>
      <c r="B78" s="1129"/>
      <c r="C78" s="1129"/>
      <c r="D78" s="1129"/>
      <c r="E78" s="1129"/>
      <c r="F78" s="1129"/>
      <c r="G78" s="1129"/>
      <c r="H78" s="1129"/>
      <c r="I78" s="1129"/>
      <c r="J78" s="1141">
        <f>ФОРМА!F5</f>
        <v>2</v>
      </c>
      <c r="K78" s="1141"/>
      <c r="L78" s="1141"/>
      <c r="M78" s="1141"/>
      <c r="N78" s="1141"/>
      <c r="O78" s="1141"/>
      <c r="P78" s="1132" t="s">
        <v>796</v>
      </c>
      <c r="Q78" s="1129"/>
      <c r="R78" s="1129"/>
      <c r="S78" s="1129"/>
      <c r="T78" s="1129"/>
      <c r="U78" s="1129"/>
      <c r="V78" s="1129"/>
      <c r="W78" s="1129"/>
      <c r="X78" s="1129"/>
      <c r="Y78" s="1129"/>
      <c r="Z78" s="1129"/>
      <c r="AA78" s="1129"/>
      <c r="AB78" s="1129"/>
      <c r="AC78" s="1129"/>
      <c r="AD78" s="1129"/>
      <c r="AE78" s="1129"/>
      <c r="AF78" s="1129"/>
      <c r="AG78" s="1129"/>
      <c r="AH78" s="1129"/>
      <c r="AI78" s="1129"/>
      <c r="AJ78" s="1129"/>
      <c r="AK78" s="1129"/>
      <c r="AL78" s="1129"/>
      <c r="AM78" s="1129"/>
      <c r="AN78" s="1129"/>
      <c r="AO78" s="1129"/>
      <c r="AP78" s="1129"/>
      <c r="AQ78" s="1129"/>
      <c r="AR78" s="1129"/>
      <c r="AS78" s="1129"/>
      <c r="AT78" s="1129"/>
      <c r="AU78" s="1129"/>
      <c r="AV78" s="1129"/>
      <c r="AW78" s="1129"/>
      <c r="AX78" s="1129"/>
      <c r="AY78" s="1129"/>
      <c r="AZ78" s="1129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40" t="s">
        <v>87</v>
      </c>
      <c r="B80" s="1140"/>
      <c r="C80" s="1140"/>
      <c r="D80" s="1140"/>
      <c r="E80" s="1140"/>
      <c r="F80" s="1140"/>
      <c r="G80" s="1140"/>
      <c r="H80" s="1161" t="str">
        <f>ФОРМА!E22</f>
        <v>План строительства</v>
      </c>
      <c r="I80" s="1161"/>
      <c r="J80" s="1161"/>
      <c r="K80" s="1161"/>
      <c r="L80" s="1161"/>
      <c r="M80" s="1161"/>
      <c r="N80" s="1161"/>
      <c r="O80" s="1161"/>
      <c r="P80" s="1161"/>
      <c r="Q80" s="1161"/>
      <c r="R80" s="1161"/>
      <c r="S80" s="1161"/>
      <c r="T80" s="1161"/>
      <c r="U80" s="1161"/>
      <c r="V80" s="1161"/>
      <c r="W80" s="1161"/>
      <c r="X80" s="1161"/>
      <c r="Y80" s="1161"/>
      <c r="Z80" s="1161"/>
      <c r="AA80" s="1161"/>
      <c r="AB80" s="1161"/>
      <c r="AC80" s="1161"/>
      <c r="AD80" s="1161"/>
      <c r="AE80" s="1161"/>
      <c r="AF80" s="1161"/>
      <c r="AG80" s="1161"/>
      <c r="AH80" s="1161"/>
      <c r="AI80" s="1161"/>
      <c r="AJ80" s="1161"/>
      <c r="AK80" s="1161"/>
      <c r="AL80" s="1161"/>
      <c r="AM80" s="1161"/>
      <c r="AN80" s="1161"/>
      <c r="AO80" s="1161"/>
      <c r="AP80" s="1161"/>
      <c r="AQ80" s="1161"/>
      <c r="AR80" s="1161"/>
      <c r="AS80" s="1161"/>
      <c r="AT80" s="1161"/>
      <c r="AU80" s="1161"/>
      <c r="AV80" s="1161"/>
      <c r="AW80" s="1161"/>
      <c r="AX80" s="1161"/>
      <c r="AY80" s="1161"/>
      <c r="AZ80" s="1161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31" t="s">
        <v>797</v>
      </c>
      <c r="I81" s="1131"/>
      <c r="J81" s="1131"/>
      <c r="K81" s="1131"/>
      <c r="L81" s="1131"/>
      <c r="M81" s="1131"/>
      <c r="N81" s="1131"/>
      <c r="O81" s="1131"/>
      <c r="P81" s="1131"/>
      <c r="Q81" s="1131"/>
      <c r="R81" s="1131"/>
      <c r="S81" s="1131"/>
      <c r="T81" s="1131"/>
      <c r="U81" s="1131"/>
      <c r="V81" s="1131"/>
      <c r="W81" s="1131"/>
      <c r="X81" s="1131"/>
      <c r="Y81" s="1131"/>
      <c r="Z81" s="1131"/>
      <c r="AA81" s="1131"/>
      <c r="AB81" s="1131"/>
      <c r="AC81" s="1131"/>
      <c r="AD81" s="1131"/>
      <c r="AE81" s="1131"/>
      <c r="AF81" s="1131"/>
      <c r="AG81" s="1131"/>
      <c r="AH81" s="1131"/>
      <c r="AI81" s="1131"/>
      <c r="AJ81" s="1131"/>
      <c r="AK81" s="1131"/>
      <c r="AL81" s="1131"/>
      <c r="AM81" s="1131"/>
      <c r="AN81" s="1131"/>
      <c r="AO81" s="1131"/>
      <c r="AP81" s="1131"/>
      <c r="AQ81" s="1131"/>
      <c r="AR81" s="1131"/>
      <c r="AS81" s="1131"/>
      <c r="AT81" s="1131"/>
      <c r="AU81" s="1131"/>
      <c r="AV81" s="1131"/>
      <c r="AW81" s="1131"/>
      <c r="AX81" s="1131"/>
      <c r="AY81" s="1131"/>
      <c r="AZ81" s="1131"/>
      <c r="BA81" s="309"/>
    </row>
    <row r="82" spans="1:53" ht="21" customHeight="1">
      <c r="A82" s="1132" t="s">
        <v>798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1132"/>
      <c r="X82" s="1132"/>
      <c r="Y82" s="1132"/>
      <c r="Z82" s="1132"/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132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300"/>
    </row>
    <row r="83" spans="1:53" ht="30" customHeight="1">
      <c r="A83" s="1158" t="str">
        <f>IF(ПОДПИСИ!B9="",ПОДПИСИ!D5,ПОДПИСИ!D9)</f>
        <v>Филёва Н.О.</v>
      </c>
      <c r="B83" s="1158"/>
      <c r="C83" s="1158"/>
      <c r="D83" s="1158"/>
      <c r="E83" s="1158"/>
      <c r="F83" s="1158"/>
      <c r="G83" s="1158"/>
      <c r="H83" s="1158"/>
      <c r="I83" s="1158"/>
      <c r="J83" s="1158"/>
      <c r="K83" s="1158"/>
      <c r="L83" s="1158"/>
      <c r="M83" s="1158"/>
      <c r="N83" s="1158"/>
      <c r="O83" s="1158"/>
      <c r="P83" s="1158"/>
      <c r="Q83" s="1158"/>
      <c r="R83" s="1158"/>
      <c r="S83" s="1158"/>
      <c r="T83" s="1158"/>
      <c r="U83" s="1158"/>
      <c r="V83" s="1158"/>
      <c r="W83" s="1158"/>
      <c r="X83" s="1158"/>
      <c r="Y83" s="1158"/>
      <c r="Z83" s="1159"/>
      <c r="AA83" s="1159"/>
      <c r="AB83" s="1159"/>
      <c r="AC83" s="1159"/>
      <c r="AD83" s="1159"/>
      <c r="AE83" s="1159"/>
      <c r="AF83" s="1159"/>
      <c r="AG83" s="1159"/>
      <c r="AH83" s="1159"/>
      <c r="AI83" s="1159"/>
      <c r="AJ83" s="1159"/>
      <c r="AK83" s="1159"/>
      <c r="AL83" s="1159"/>
      <c r="AM83" s="1159"/>
      <c r="AN83" s="1159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  <c r="BA83" s="300"/>
    </row>
    <row r="84" spans="1:53" ht="6" customHeight="1">
      <c r="A84" s="1131" t="s">
        <v>799</v>
      </c>
      <c r="B84" s="1131"/>
      <c r="C84" s="1131"/>
      <c r="D84" s="1131"/>
      <c r="E84" s="1131"/>
      <c r="F84" s="1131"/>
      <c r="G84" s="1131"/>
      <c r="H84" s="1131"/>
      <c r="I84" s="1131"/>
      <c r="J84" s="1131"/>
      <c r="K84" s="1131"/>
      <c r="L84" s="1131"/>
      <c r="M84" s="1131"/>
      <c r="N84" s="1131"/>
      <c r="O84" s="1131"/>
      <c r="P84" s="1131"/>
      <c r="Q84" s="1131"/>
      <c r="R84" s="1131"/>
      <c r="S84" s="1131"/>
      <c r="T84" s="1131"/>
      <c r="U84" s="1131"/>
      <c r="V84" s="1131"/>
      <c r="W84" s="1131"/>
      <c r="X84" s="1131"/>
      <c r="Y84" s="113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31" t="s">
        <v>49</v>
      </c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57" t="s">
        <v>783</v>
      </c>
      <c r="B86" s="1157"/>
      <c r="C86" s="1157"/>
      <c r="D86" s="1157"/>
      <c r="E86" s="1157"/>
      <c r="F86" s="1157"/>
      <c r="G86" s="1157"/>
      <c r="H86" s="1157"/>
      <c r="I86" s="1157"/>
      <c r="J86" s="1157"/>
      <c r="K86" s="1157"/>
      <c r="L86" s="1157"/>
      <c r="M86" s="1157"/>
      <c r="N86" s="1157"/>
      <c r="O86" s="1157"/>
      <c r="P86" s="1157"/>
      <c r="Q86" s="1157"/>
      <c r="R86" s="1157"/>
      <c r="S86" s="1157"/>
      <c r="T86" s="1157"/>
      <c r="U86" s="1157"/>
      <c r="V86" s="1157"/>
      <c r="W86" s="1157"/>
      <c r="X86" s="1157"/>
      <c r="Y86" s="1157"/>
      <c r="Z86" s="1157"/>
      <c r="AA86" s="1157"/>
      <c r="AB86" s="1157"/>
      <c r="AC86" s="1157"/>
      <c r="AD86" s="1157"/>
      <c r="AE86" s="1157"/>
      <c r="AF86" s="1157"/>
      <c r="AG86" s="1157"/>
      <c r="AH86" s="1157"/>
      <c r="AI86" s="1157"/>
      <c r="AJ86" s="1157"/>
      <c r="AK86" s="1157"/>
      <c r="AL86" s="1157"/>
      <c r="AM86" s="1157"/>
      <c r="AN86" s="1157"/>
      <c r="AO86" s="1157"/>
      <c r="AP86" s="1157"/>
      <c r="AQ86" s="1157"/>
      <c r="AR86" s="1157"/>
      <c r="AS86" s="1157"/>
      <c r="AT86" s="1157"/>
      <c r="AU86" s="1157"/>
      <c r="AV86" s="1157"/>
      <c r="AW86" s="1157"/>
      <c r="AX86" s="1157"/>
      <c r="AY86" s="1157"/>
      <c r="AZ86" s="1157"/>
      <c r="BA86" s="300"/>
    </row>
    <row r="87" spans="1:53" ht="30.75" customHeight="1">
      <c r="A87" s="1158" t="str">
        <f>ПОДПИСИ!D15</f>
        <v>Матвеев А.С.</v>
      </c>
      <c r="B87" s="1158"/>
      <c r="C87" s="1158"/>
      <c r="D87" s="1158"/>
      <c r="E87" s="1158"/>
      <c r="F87" s="1158"/>
      <c r="G87" s="1158"/>
      <c r="H87" s="1158"/>
      <c r="I87" s="1158"/>
      <c r="J87" s="1158"/>
      <c r="K87" s="1158"/>
      <c r="L87" s="1158"/>
      <c r="M87" s="1158"/>
      <c r="N87" s="1158"/>
      <c r="O87" s="1158"/>
      <c r="P87" s="1158"/>
      <c r="Q87" s="1158"/>
      <c r="R87" s="1158"/>
      <c r="S87" s="1158"/>
      <c r="T87" s="1158"/>
      <c r="U87" s="1158"/>
      <c r="V87" s="1158"/>
      <c r="W87" s="1158"/>
      <c r="X87" s="1158"/>
      <c r="Y87" s="1158"/>
      <c r="Z87" s="1159"/>
      <c r="AA87" s="1159"/>
      <c r="AB87" s="1159"/>
      <c r="AC87" s="1159"/>
      <c r="AD87" s="1159"/>
      <c r="AE87" s="1159"/>
      <c r="AF87" s="1159"/>
      <c r="AG87" s="1159"/>
      <c r="AH87" s="1159"/>
      <c r="AI87" s="1159"/>
      <c r="AJ87" s="1159"/>
      <c r="AK87" s="1159"/>
      <c r="AL87" s="1159"/>
      <c r="AM87" s="1159"/>
      <c r="AN87" s="1159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300"/>
    </row>
    <row r="88" spans="1:53" ht="6" customHeight="1">
      <c r="A88" s="1131" t="s">
        <v>799</v>
      </c>
      <c r="B88" s="1131"/>
      <c r="C88" s="1131"/>
      <c r="D88" s="1131"/>
      <c r="E88" s="1131"/>
      <c r="F88" s="1131"/>
      <c r="G88" s="1131"/>
      <c r="H88" s="1131"/>
      <c r="I88" s="1131"/>
      <c r="J88" s="1131"/>
      <c r="K88" s="1131"/>
      <c r="L88" s="1131"/>
      <c r="M88" s="1131"/>
      <c r="N88" s="1131"/>
      <c r="O88" s="1131"/>
      <c r="P88" s="1131"/>
      <c r="Q88" s="1131"/>
      <c r="R88" s="1131"/>
      <c r="S88" s="1131"/>
      <c r="T88" s="1131"/>
      <c r="U88" s="1131"/>
      <c r="V88" s="1131"/>
      <c r="W88" s="1131"/>
      <c r="X88" s="1131"/>
      <c r="Y88" s="113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31" t="s">
        <v>49</v>
      </c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32" t="s">
        <v>800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1132"/>
      <c r="X90" s="1132"/>
      <c r="Y90" s="1132"/>
      <c r="Z90" s="1132"/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300"/>
    </row>
    <row r="91" spans="1:53" ht="39" customHeight="1">
      <c r="A91" s="1158" t="str">
        <f>ПОДПИСИ!D17</f>
        <v>Матвеев А.С.</v>
      </c>
      <c r="B91" s="1158"/>
      <c r="C91" s="1158"/>
      <c r="D91" s="1158"/>
      <c r="E91" s="1158"/>
      <c r="F91" s="1158"/>
      <c r="G91" s="1158"/>
      <c r="H91" s="1158"/>
      <c r="I91" s="1158"/>
      <c r="J91" s="1158"/>
      <c r="K91" s="1158"/>
      <c r="L91" s="1158"/>
      <c r="M91" s="1158"/>
      <c r="N91" s="1158"/>
      <c r="O91" s="1158"/>
      <c r="P91" s="1158"/>
      <c r="Q91" s="1158"/>
      <c r="R91" s="1158"/>
      <c r="S91" s="1158"/>
      <c r="T91" s="1158"/>
      <c r="U91" s="1158"/>
      <c r="V91" s="1158"/>
      <c r="W91" s="1158"/>
      <c r="X91" s="1158"/>
      <c r="Y91" s="1158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62" t="s">
        <v>64</v>
      </c>
      <c r="AP91" s="1162"/>
      <c r="AQ91" s="1162"/>
      <c r="AR91" s="1162"/>
      <c r="AS91" s="1162"/>
      <c r="AT91" s="1162"/>
      <c r="AU91" s="1162"/>
      <c r="AV91" s="1162"/>
      <c r="AW91" s="1162"/>
      <c r="AX91" s="1162"/>
      <c r="AY91" s="1162"/>
      <c r="AZ91" s="1162"/>
      <c r="BA91" s="300"/>
    </row>
    <row r="92" spans="1:53" ht="6" customHeight="1">
      <c r="A92" s="1131" t="s">
        <v>799</v>
      </c>
      <c r="B92" s="1131"/>
      <c r="C92" s="1131"/>
      <c r="D92" s="1131"/>
      <c r="E92" s="1131"/>
      <c r="F92" s="1131"/>
      <c r="G92" s="1131"/>
      <c r="H92" s="1131"/>
      <c r="I92" s="1131"/>
      <c r="J92" s="1131"/>
      <c r="K92" s="1131"/>
      <c r="L92" s="1131"/>
      <c r="M92" s="1131"/>
      <c r="N92" s="1131"/>
      <c r="O92" s="1131"/>
      <c r="P92" s="1131"/>
      <c r="Q92" s="1131"/>
      <c r="R92" s="1131"/>
      <c r="S92" s="1131"/>
      <c r="T92" s="1131"/>
      <c r="U92" s="1131"/>
      <c r="V92" s="1131"/>
      <c r="W92" s="1131"/>
      <c r="X92" s="1131"/>
      <c r="Y92" s="113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31" t="s">
        <v>49</v>
      </c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32" t="s">
        <v>801</v>
      </c>
      <c r="B94" s="1129"/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V94" s="1129"/>
      <c r="AW94" s="1129"/>
      <c r="AX94" s="1129"/>
      <c r="AY94" s="1129"/>
      <c r="AZ94" s="1129"/>
      <c r="BA94" s="300"/>
    </row>
    <row r="95" spans="1:53" ht="39" customHeight="1">
      <c r="A95" s="1158" t="str">
        <f>ПОДПИСИ!D19</f>
        <v xml:space="preserve"> </v>
      </c>
      <c r="B95" s="1158"/>
      <c r="C95" s="1158"/>
      <c r="D95" s="1158"/>
      <c r="E95" s="1158"/>
      <c r="F95" s="1158"/>
      <c r="G95" s="1158"/>
      <c r="H95" s="1158"/>
      <c r="I95" s="1158"/>
      <c r="J95" s="1158"/>
      <c r="K95" s="1158"/>
      <c r="L95" s="1158"/>
      <c r="M95" s="1158"/>
      <c r="N95" s="1158"/>
      <c r="O95" s="1158"/>
      <c r="P95" s="1158"/>
      <c r="Q95" s="1158"/>
      <c r="R95" s="1158"/>
      <c r="S95" s="1158"/>
      <c r="T95" s="1158"/>
      <c r="U95" s="1158"/>
      <c r="V95" s="1158"/>
      <c r="W95" s="1158"/>
      <c r="X95" s="1158"/>
      <c r="Y95" s="1158"/>
      <c r="Z95" s="1159"/>
      <c r="AA95" s="1159"/>
      <c r="AB95" s="1159"/>
      <c r="AC95" s="1159"/>
      <c r="AD95" s="1159"/>
      <c r="AE95" s="1159"/>
      <c r="AF95" s="1159"/>
      <c r="AG95" s="1159"/>
      <c r="AH95" s="1159"/>
      <c r="AI95" s="1159"/>
      <c r="AJ95" s="1159"/>
      <c r="AK95" s="1159"/>
      <c r="AL95" s="1159"/>
      <c r="AM95" s="1159"/>
      <c r="AN95" s="1159"/>
      <c r="AO95" s="1162" t="s">
        <v>64</v>
      </c>
      <c r="AP95" s="1162"/>
      <c r="AQ95" s="1162"/>
      <c r="AR95" s="1162"/>
      <c r="AS95" s="1162"/>
      <c r="AT95" s="1162"/>
      <c r="AU95" s="1162"/>
      <c r="AV95" s="1162"/>
      <c r="AW95" s="1162"/>
      <c r="AX95" s="1162"/>
      <c r="AY95" s="1162"/>
      <c r="AZ95" s="1162"/>
      <c r="BA95" s="312"/>
    </row>
    <row r="96" spans="1:53" ht="6" customHeight="1">
      <c r="A96" s="1131" t="s">
        <v>799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  <c r="L96" s="1131"/>
      <c r="M96" s="1131"/>
      <c r="N96" s="1131"/>
      <c r="O96" s="1131"/>
      <c r="P96" s="1131"/>
      <c r="Q96" s="1131"/>
      <c r="R96" s="1131"/>
      <c r="S96" s="1131"/>
      <c r="T96" s="1131"/>
      <c r="U96" s="1131"/>
      <c r="V96" s="1131"/>
      <c r="W96" s="1131"/>
      <c r="X96" s="1131"/>
      <c r="Y96" s="113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31" t="s">
        <v>49</v>
      </c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32" t="s">
        <v>789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13"/>
    </row>
    <row r="99" spans="1:55" ht="39" customHeight="1">
      <c r="A99" s="1158" t="str">
        <f>ПОДПИСИ!D14</f>
        <v>Алексеенков Д.С.</v>
      </c>
      <c r="B99" s="1158"/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8"/>
      <c r="P99" s="1158"/>
      <c r="Q99" s="1158"/>
      <c r="R99" s="1158"/>
      <c r="S99" s="1158"/>
      <c r="T99" s="1158"/>
      <c r="U99" s="1158"/>
      <c r="V99" s="1158"/>
      <c r="W99" s="1158"/>
      <c r="X99" s="1158"/>
      <c r="Y99" s="1158"/>
      <c r="Z99" s="1159"/>
      <c r="AA99" s="1159"/>
      <c r="AB99" s="1159"/>
      <c r="AC99" s="1159"/>
      <c r="AD99" s="1159"/>
      <c r="AE99" s="1159"/>
      <c r="AF99" s="1159"/>
      <c r="AG99" s="1159"/>
      <c r="AH99" s="1159"/>
      <c r="AI99" s="1159"/>
      <c r="AJ99" s="1159"/>
      <c r="AK99" s="1159"/>
      <c r="AL99" s="1159"/>
      <c r="AM99" s="1159"/>
      <c r="AN99" s="1159"/>
      <c r="AO99" s="1160"/>
      <c r="AP99" s="1160"/>
      <c r="AQ99" s="1160"/>
      <c r="AR99" s="1160"/>
      <c r="AS99" s="1160"/>
      <c r="AT99" s="1160"/>
      <c r="AU99" s="1160"/>
      <c r="AV99" s="1160"/>
      <c r="AW99" s="1160"/>
      <c r="AX99" s="1160"/>
      <c r="AY99" s="1160"/>
      <c r="AZ99" s="1160"/>
      <c r="BA99" s="315"/>
      <c r="BB99" s="316"/>
      <c r="BC99" s="316"/>
    </row>
    <row r="100" spans="1:55" s="305" customFormat="1" ht="6" customHeight="1">
      <c r="A100" s="1131" t="s">
        <v>799</v>
      </c>
      <c r="B100" s="1131"/>
      <c r="C100" s="1131"/>
      <c r="D100" s="1131"/>
      <c r="E100" s="1131"/>
      <c r="F100" s="1131"/>
      <c r="G100" s="1131"/>
      <c r="H100" s="1131"/>
      <c r="I100" s="1131"/>
      <c r="J100" s="1131"/>
      <c r="K100" s="1131"/>
      <c r="L100" s="1131"/>
      <c r="M100" s="1131"/>
      <c r="N100" s="1131"/>
      <c r="O100" s="1131"/>
      <c r="P100" s="1131"/>
      <c r="Q100" s="1131"/>
      <c r="R100" s="1131"/>
      <c r="S100" s="1131"/>
      <c r="T100" s="1131"/>
      <c r="U100" s="1131"/>
      <c r="V100" s="1131"/>
      <c r="W100" s="1131"/>
      <c r="X100" s="1131"/>
      <c r="Y100" s="113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31" t="s">
        <v>49</v>
      </c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304"/>
    </row>
    <row r="101" spans="1:55">
      <c r="A101" s="1163" t="s">
        <v>942</v>
      </c>
      <c r="B101" s="1163"/>
      <c r="C101" s="1163"/>
      <c r="D101" s="1163"/>
      <c r="E101" s="1163"/>
      <c r="F101" s="1163"/>
      <c r="G101" s="1163"/>
      <c r="H101" s="1163"/>
      <c r="I101" s="1163"/>
      <c r="J101" s="1163"/>
      <c r="K101" s="1163"/>
      <c r="L101" s="1163"/>
      <c r="M101" s="1163"/>
      <c r="N101" s="1163"/>
      <c r="O101" s="1163"/>
      <c r="P101" s="1163"/>
      <c r="Q101" s="1163"/>
      <c r="R101" s="1163"/>
      <c r="S101" s="1163"/>
      <c r="T101" s="1163"/>
      <c r="U101" s="1163"/>
      <c r="V101" s="1163"/>
      <c r="W101" s="1163"/>
      <c r="X101" s="1163"/>
      <c r="Y101" s="1163"/>
      <c r="Z101" s="1163"/>
      <c r="AA101" s="1163"/>
      <c r="AB101" s="1163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V101" s="1163"/>
      <c r="AW101" s="1163"/>
      <c r="AX101" s="1163"/>
      <c r="AY101" s="1163"/>
      <c r="AZ101" s="1163"/>
    </row>
    <row r="102" spans="1:55" ht="27.75" customHeight="1">
      <c r="A102" s="1158" t="str">
        <f>IF(ПОДПИСИ!D9="","",ПОДПИСИ!D5)</f>
        <v>Чечин Д.М.</v>
      </c>
      <c r="B102" s="1158"/>
      <c r="C102" s="1158"/>
      <c r="D102" s="1158"/>
      <c r="E102" s="1158"/>
      <c r="F102" s="1158"/>
      <c r="G102" s="1158"/>
      <c r="H102" s="1158"/>
      <c r="I102" s="1158"/>
      <c r="J102" s="1158"/>
      <c r="K102" s="1158"/>
      <c r="L102" s="1158"/>
      <c r="M102" s="1158"/>
      <c r="N102" s="1158"/>
      <c r="O102" s="1158"/>
      <c r="P102" s="1158"/>
      <c r="Q102" s="1158"/>
      <c r="R102" s="1158"/>
      <c r="S102" s="1158"/>
      <c r="T102" s="1158"/>
      <c r="U102" s="1158"/>
      <c r="V102" s="1158"/>
      <c r="W102" s="1158"/>
      <c r="X102" s="1158"/>
      <c r="Y102" s="1158"/>
      <c r="Z102" s="1159"/>
      <c r="AA102" s="1159"/>
      <c r="AB102" s="1159"/>
      <c r="AC102" s="1159"/>
      <c r="AD102" s="1159"/>
      <c r="AE102" s="1159"/>
      <c r="AF102" s="1159"/>
      <c r="AG102" s="1159"/>
      <c r="AH102" s="1159"/>
      <c r="AI102" s="1159"/>
      <c r="AJ102" s="1159"/>
      <c r="AK102" s="1159"/>
      <c r="AL102" s="1159"/>
      <c r="AM102" s="1159"/>
      <c r="AN102" s="1159"/>
      <c r="AO102" s="1160"/>
      <c r="AP102" s="1160"/>
      <c r="AQ102" s="1160"/>
      <c r="AR102" s="1160"/>
      <c r="AS102" s="1160"/>
      <c r="AT102" s="1160"/>
      <c r="AU102" s="1160"/>
      <c r="AV102" s="1160"/>
      <c r="AW102" s="1160"/>
      <c r="AX102" s="1160"/>
      <c r="AY102" s="1160"/>
      <c r="AZ102" s="1160"/>
    </row>
    <row r="103" spans="1:55" ht="9.75" customHeight="1">
      <c r="A103" s="1131" t="s">
        <v>799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  <c r="L103" s="1131"/>
      <c r="M103" s="1131"/>
      <c r="N103" s="1131"/>
      <c r="O103" s="1131"/>
      <c r="P103" s="1131"/>
      <c r="Q103" s="1131"/>
      <c r="R103" s="1131"/>
      <c r="S103" s="1131"/>
      <c r="T103" s="1131"/>
      <c r="U103" s="1131"/>
      <c r="V103" s="1131"/>
      <c r="W103" s="1131"/>
      <c r="X103" s="1131"/>
      <c r="Y103" s="113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31" t="s">
        <v>49</v>
      </c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4" outlineLevelRow="1"/>
  <cols>
    <col min="1" max="24" width="1.7265625" style="284" customWidth="1"/>
    <col min="25" max="25" width="4.54296875" style="284" customWidth="1"/>
    <col min="26" max="51" width="1.7265625" style="284" customWidth="1"/>
    <col min="52" max="52" width="4.1796875" style="284" customWidth="1"/>
    <col min="53" max="53" width="0.1796875" style="284" hidden="1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65" t="s">
        <v>567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165"/>
      <c r="AW1" s="1165"/>
      <c r="AX1" s="1165"/>
      <c r="AY1" s="1165"/>
      <c r="AZ1" s="1165"/>
      <c r="BA1" s="317"/>
    </row>
    <row r="2" spans="1:63" ht="12" customHeight="1">
      <c r="A2" s="1166" t="s">
        <v>72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  <c r="W3" s="1167"/>
      <c r="X3" s="1167"/>
      <c r="Y3" s="1167"/>
      <c r="Z3" s="1167"/>
      <c r="AA3" s="1167"/>
      <c r="AB3" s="1167"/>
      <c r="AC3" s="1167"/>
      <c r="AD3" s="1167"/>
      <c r="AE3" s="1167"/>
      <c r="AF3" s="1167"/>
      <c r="AG3" s="1167"/>
      <c r="AH3" s="1167"/>
      <c r="AI3" s="1167"/>
      <c r="AJ3" s="1167"/>
      <c r="AK3" s="1167"/>
      <c r="AL3" s="1167"/>
      <c r="AM3" s="1167"/>
      <c r="AN3" s="1167"/>
      <c r="AO3" s="1167"/>
      <c r="AP3" s="1167"/>
      <c r="AQ3" s="1167"/>
      <c r="AR3" s="1167"/>
      <c r="AS3" s="1167"/>
      <c r="AT3" s="1167"/>
      <c r="AU3" s="1167"/>
      <c r="AV3" s="1167"/>
      <c r="AW3" s="1167"/>
      <c r="AX3" s="1167"/>
      <c r="AY3" s="1167"/>
      <c r="AZ3" s="1167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168" t="s">
        <v>804</v>
      </c>
      <c r="B4" s="1168"/>
      <c r="C4" s="1168"/>
      <c r="D4" s="1168"/>
      <c r="E4" s="1168"/>
      <c r="F4" s="1168"/>
      <c r="G4" s="1168"/>
      <c r="H4" s="1168"/>
      <c r="I4" s="1168"/>
      <c r="J4" s="1168"/>
      <c r="K4" s="1168"/>
      <c r="L4" s="1168"/>
      <c r="M4" s="1168"/>
      <c r="N4" s="1168"/>
      <c r="O4" s="1168"/>
      <c r="P4" s="1168"/>
      <c r="Q4" s="1168"/>
      <c r="R4" s="1168"/>
      <c r="S4" s="1168"/>
      <c r="T4" s="1168"/>
      <c r="U4" s="1168"/>
      <c r="V4" s="1168"/>
      <c r="W4" s="1168"/>
      <c r="X4" s="1168"/>
      <c r="Y4" s="1168"/>
      <c r="Z4" s="1168"/>
      <c r="AA4" s="1168"/>
      <c r="AB4" s="1168"/>
      <c r="AC4" s="1168"/>
      <c r="AD4" s="1168"/>
      <c r="AE4" s="1168"/>
      <c r="AF4" s="1168"/>
      <c r="AG4" s="1168"/>
      <c r="AH4" s="1168"/>
      <c r="AI4" s="1168"/>
      <c r="AJ4" s="1168"/>
      <c r="AK4" s="1168"/>
      <c r="AL4" s="1168"/>
      <c r="AM4" s="1168"/>
      <c r="AN4" s="1168"/>
      <c r="AO4" s="1168"/>
      <c r="AP4" s="1168"/>
      <c r="AQ4" s="1168"/>
      <c r="AR4" s="1168"/>
      <c r="AS4" s="1168"/>
      <c r="AT4" s="1168"/>
      <c r="AU4" s="1168"/>
      <c r="AV4" s="1168"/>
      <c r="AW4" s="1168"/>
      <c r="AX4" s="1168"/>
      <c r="AY4" s="1168"/>
      <c r="AZ4" s="116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53" t="s">
        <v>771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3"/>
      <c r="AT5" s="1153"/>
      <c r="AU5" s="1153"/>
      <c r="AV5" s="1153"/>
      <c r="AW5" s="1153"/>
      <c r="AX5" s="1153"/>
      <c r="AY5" s="1153"/>
      <c r="AZ5" s="115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69" t="str">
        <f>ФОРМА!B2</f>
        <v>ПАО "Россети Ленэнерго"</v>
      </c>
      <c r="B6" s="1169"/>
      <c r="C6" s="1169"/>
      <c r="D6" s="1169"/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9"/>
      <c r="S6" s="1169"/>
      <c r="T6" s="1169"/>
      <c r="U6" s="1169"/>
      <c r="V6" s="1169"/>
      <c r="W6" s="1169"/>
      <c r="X6" s="1169"/>
      <c r="Y6" s="1169"/>
      <c r="Z6" s="1169"/>
      <c r="AA6" s="1169"/>
      <c r="AB6" s="1169"/>
      <c r="AC6" s="1169"/>
      <c r="AD6" s="1169"/>
      <c r="AE6" s="1169"/>
      <c r="AF6" s="1169"/>
      <c r="AG6" s="1169"/>
      <c r="AH6" s="1169"/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9"/>
      <c r="AW6" s="1169"/>
      <c r="AX6" s="1169"/>
      <c r="AY6" s="1169"/>
      <c r="AZ6" s="1169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68" t="s">
        <v>805</v>
      </c>
      <c r="B7" s="1168"/>
      <c r="C7" s="1168"/>
      <c r="D7" s="1168"/>
      <c r="E7" s="1168"/>
      <c r="F7" s="1168"/>
      <c r="G7" s="1168"/>
      <c r="H7" s="1168"/>
      <c r="I7" s="1168"/>
      <c r="J7" s="1168"/>
      <c r="K7" s="1168"/>
      <c r="L7" s="1168"/>
      <c r="M7" s="1168"/>
      <c r="N7" s="1168"/>
      <c r="O7" s="1168"/>
      <c r="P7" s="1168"/>
      <c r="Q7" s="1168"/>
      <c r="R7" s="1168"/>
      <c r="S7" s="1168"/>
      <c r="T7" s="1168"/>
      <c r="U7" s="1168"/>
      <c r="V7" s="1168"/>
      <c r="W7" s="1168"/>
      <c r="X7" s="1168"/>
      <c r="Y7" s="1168"/>
      <c r="Z7" s="1168"/>
      <c r="AA7" s="1168"/>
      <c r="AB7" s="1168"/>
      <c r="AC7" s="1168"/>
      <c r="AD7" s="1168"/>
      <c r="AE7" s="1168"/>
      <c r="AF7" s="1168"/>
      <c r="AG7" s="1168"/>
      <c r="AH7" s="1168"/>
      <c r="AI7" s="1168"/>
      <c r="AJ7" s="1168"/>
      <c r="AK7" s="1168"/>
      <c r="AL7" s="1168"/>
      <c r="AM7" s="1168"/>
      <c r="AN7" s="1168"/>
      <c r="AO7" s="1168"/>
      <c r="AP7" s="1168"/>
      <c r="AQ7" s="1168"/>
      <c r="AR7" s="1168"/>
      <c r="AS7" s="1168"/>
      <c r="AT7" s="1168"/>
      <c r="AU7" s="1168"/>
      <c r="AV7" s="1168"/>
      <c r="AW7" s="1168"/>
      <c r="AX7" s="1168"/>
      <c r="AY7" s="1168"/>
      <c r="AZ7" s="116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1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9"/>
      <c r="C8" s="1169"/>
      <c r="D8" s="1169"/>
      <c r="E8" s="1169"/>
      <c r="F8" s="1169"/>
      <c r="G8" s="1169"/>
      <c r="H8" s="1169"/>
      <c r="I8" s="1169"/>
      <c r="J8" s="1169"/>
      <c r="K8" s="1169"/>
      <c r="L8" s="1169"/>
      <c r="M8" s="1169"/>
      <c r="N8" s="1169"/>
      <c r="O8" s="1169"/>
      <c r="P8" s="1169"/>
      <c r="Q8" s="1169"/>
      <c r="R8" s="1169"/>
      <c r="S8" s="1169"/>
      <c r="T8" s="1169"/>
      <c r="U8" s="1169"/>
      <c r="V8" s="1169"/>
      <c r="W8" s="1169"/>
      <c r="X8" s="1169"/>
      <c r="Y8" s="1169"/>
      <c r="Z8" s="1169"/>
      <c r="AA8" s="1169"/>
      <c r="AB8" s="1169"/>
      <c r="AC8" s="1169"/>
      <c r="AD8" s="1169"/>
      <c r="AE8" s="1169"/>
      <c r="AF8" s="1169"/>
      <c r="AG8" s="1169"/>
      <c r="AH8" s="1169"/>
      <c r="AI8" s="1169"/>
      <c r="AJ8" s="1169"/>
      <c r="AK8" s="1169"/>
      <c r="AL8" s="1169"/>
      <c r="AM8" s="1169"/>
      <c r="AN8" s="1169"/>
      <c r="AO8" s="1169"/>
      <c r="AP8" s="1169"/>
      <c r="AQ8" s="1169"/>
      <c r="AR8" s="1169"/>
      <c r="AS8" s="1169"/>
      <c r="AT8" s="1169"/>
      <c r="AU8" s="1169"/>
      <c r="AV8" s="1169"/>
      <c r="AW8" s="1169"/>
      <c r="AX8" s="1169"/>
      <c r="AY8" s="1169"/>
      <c r="AZ8" s="116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170" t="s">
        <v>806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166" t="s">
        <v>775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</row>
    <row r="12" spans="1:63" s="305" customFormat="1" ht="6" customHeight="1">
      <c r="A12" s="1168" t="s">
        <v>805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318"/>
    </row>
    <row r="13" spans="1:63" ht="27.75" customHeight="1">
      <c r="A13" s="11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9"/>
      <c r="C13" s="1169"/>
      <c r="D13" s="1169"/>
      <c r="E13" s="1169"/>
      <c r="F13" s="1169"/>
      <c r="G13" s="1169"/>
      <c r="H13" s="1169"/>
      <c r="I13" s="1169"/>
      <c r="J13" s="1169"/>
      <c r="K13" s="1169"/>
      <c r="L13" s="1169"/>
      <c r="M13" s="1169"/>
      <c r="N13" s="1169"/>
      <c r="O13" s="1169"/>
      <c r="P13" s="1169"/>
      <c r="Q13" s="1169"/>
      <c r="R13" s="1169"/>
      <c r="S13" s="1169"/>
      <c r="T13" s="1169"/>
      <c r="U13" s="1169"/>
      <c r="V13" s="1169"/>
      <c r="W13" s="1169"/>
      <c r="X13" s="1169"/>
      <c r="Y13" s="1169"/>
      <c r="Z13" s="1169"/>
      <c r="AA13" s="1169"/>
      <c r="AB13" s="1169"/>
      <c r="AC13" s="1169"/>
      <c r="AD13" s="1169"/>
      <c r="AE13" s="1169"/>
      <c r="AF13" s="1169"/>
      <c r="AG13" s="1169"/>
      <c r="AH13" s="1169"/>
      <c r="AI13" s="1169"/>
      <c r="AJ13" s="1169"/>
      <c r="AK13" s="1169"/>
      <c r="AL13" s="1169"/>
      <c r="AM13" s="1169"/>
      <c r="AN13" s="1169"/>
      <c r="AO13" s="1169"/>
      <c r="AP13" s="1169"/>
      <c r="AQ13" s="1169"/>
      <c r="AR13" s="1169"/>
      <c r="AS13" s="1169"/>
      <c r="AT13" s="1169"/>
      <c r="AU13" s="1169"/>
      <c r="AV13" s="1169"/>
      <c r="AW13" s="1169"/>
      <c r="AX13" s="1169"/>
      <c r="AY13" s="1169"/>
      <c r="AZ13" s="1169"/>
      <c r="BA13" s="1169"/>
    </row>
    <row r="14" spans="1:63" s="305" customFormat="1" ht="21" customHeight="1">
      <c r="A14" s="1170" t="s">
        <v>807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  <c r="BA14" s="318"/>
    </row>
    <row r="15" spans="1:63" ht="12" customHeight="1">
      <c r="A15" s="1166" t="s">
        <v>74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  <c r="BA15" s="317"/>
    </row>
    <row r="16" spans="1:63" ht="12" customHeight="1">
      <c r="A16" s="1169" t="str">
        <f>ФОРМА!B8</f>
        <v>ООО «Строительные энергетические технологии»</v>
      </c>
      <c r="B16" s="1169"/>
      <c r="C16" s="116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169"/>
      <c r="R16" s="1169"/>
      <c r="S16" s="1169"/>
      <c r="T16" s="1169"/>
      <c r="U16" s="1169"/>
      <c r="V16" s="1169"/>
      <c r="W16" s="1169"/>
      <c r="X16" s="1169"/>
      <c r="Y16" s="1169"/>
      <c r="Z16" s="1169"/>
      <c r="AA16" s="1169"/>
      <c r="AB16" s="1169"/>
      <c r="AC16" s="1169"/>
      <c r="AD16" s="1169"/>
      <c r="AE16" s="1169"/>
      <c r="AF16" s="1169"/>
      <c r="AG16" s="1169"/>
      <c r="AH16" s="1169"/>
      <c r="AI16" s="1169"/>
      <c r="AJ16" s="1169"/>
      <c r="AK16" s="1169"/>
      <c r="AL16" s="1169"/>
      <c r="AM16" s="1169"/>
      <c r="AN16" s="1169"/>
      <c r="AO16" s="1169"/>
      <c r="AP16" s="1169"/>
      <c r="AQ16" s="1169"/>
      <c r="AR16" s="1169"/>
      <c r="AS16" s="1169"/>
      <c r="AT16" s="1169"/>
      <c r="AU16" s="1169"/>
      <c r="AV16" s="1169"/>
      <c r="AW16" s="1169"/>
      <c r="AX16" s="1169"/>
      <c r="AY16" s="1169"/>
      <c r="AZ16" s="1169"/>
      <c r="BA16" s="1169"/>
    </row>
    <row r="17" spans="1:53" s="305" customFormat="1" ht="9">
      <c r="A17" s="1168" t="s">
        <v>805</v>
      </c>
      <c r="B17" s="1168"/>
      <c r="C17" s="1168"/>
      <c r="D17" s="1168"/>
      <c r="E17" s="1168"/>
      <c r="F17" s="1168"/>
      <c r="G17" s="1168"/>
      <c r="H17" s="1168"/>
      <c r="I17" s="1168"/>
      <c r="J17" s="1168"/>
      <c r="K17" s="1168"/>
      <c r="L17" s="1168"/>
      <c r="M17" s="1168"/>
      <c r="N17" s="1168"/>
      <c r="O17" s="1168"/>
      <c r="P17" s="1168"/>
      <c r="Q17" s="1168"/>
      <c r="R17" s="1168"/>
      <c r="S17" s="1168"/>
      <c r="T17" s="1168"/>
      <c r="U17" s="1168"/>
      <c r="V17" s="1168"/>
      <c r="W17" s="1168"/>
      <c r="X17" s="1168"/>
      <c r="Y17" s="1168"/>
      <c r="Z17" s="1168"/>
      <c r="AA17" s="1168"/>
      <c r="AB17" s="1168"/>
      <c r="AC17" s="1168"/>
      <c r="AD17" s="1168"/>
      <c r="AE17" s="1168"/>
      <c r="AF17" s="1168"/>
      <c r="AG17" s="1168"/>
      <c r="AH17" s="1168"/>
      <c r="AI17" s="1168"/>
      <c r="AJ17" s="1168"/>
      <c r="AK17" s="1168"/>
      <c r="AL17" s="1168"/>
      <c r="AM17" s="1168"/>
      <c r="AN17" s="1168"/>
      <c r="AO17" s="1168"/>
      <c r="AP17" s="1168"/>
      <c r="AQ17" s="1168"/>
      <c r="AR17" s="1168"/>
      <c r="AS17" s="1168"/>
      <c r="AT17" s="1168"/>
      <c r="AU17" s="1168"/>
      <c r="AV17" s="1168"/>
      <c r="AW17" s="1168"/>
      <c r="AX17" s="1168"/>
      <c r="AY17" s="1168"/>
      <c r="AZ17" s="1168"/>
      <c r="BA17" s="318"/>
    </row>
    <row r="18" spans="1:53" ht="25.5" customHeight="1">
      <c r="A18" s="11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1169"/>
      <c r="P18" s="1169"/>
      <c r="Q18" s="1169"/>
      <c r="R18" s="1169"/>
      <c r="S18" s="1169"/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317"/>
    </row>
    <row r="19" spans="1:53" s="305" customFormat="1" ht="9" customHeight="1">
      <c r="A19" s="1170" t="s">
        <v>773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  <c r="BA19" s="318"/>
    </row>
    <row r="20" spans="1:53" s="305" customFormat="1" ht="15" customHeight="1">
      <c r="A20" s="1152"/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318"/>
    </row>
    <row r="21" spans="1:53" s="305" customFormat="1" ht="12" customHeight="1">
      <c r="A21" s="1151" t="s">
        <v>808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1173" t="s">
        <v>517</v>
      </c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175" t="s">
        <v>19</v>
      </c>
      <c r="B25" s="1175"/>
      <c r="C25" s="1141">
        <f>ФОРМА!B24</f>
        <v>0</v>
      </c>
      <c r="D25" s="1141"/>
      <c r="E25" s="1141"/>
      <c r="F25" s="1141"/>
      <c r="G25" s="1141"/>
      <c r="H25" s="1141"/>
      <c r="I25" s="1141"/>
      <c r="J25" s="1141"/>
      <c r="K25" s="1141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76"/>
      <c r="AH25" s="1176"/>
      <c r="AI25" s="1176"/>
      <c r="AJ25" s="322"/>
      <c r="AK25" s="322"/>
      <c r="AL25" s="1143">
        <f>ФОРМА!C24</f>
        <v>45354</v>
      </c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76"/>
      <c r="AX25" s="1176"/>
      <c r="AY25" s="1176"/>
      <c r="AZ25" s="1176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68" t="s">
        <v>453</v>
      </c>
      <c r="AM26" s="1168"/>
      <c r="AN26" s="1168"/>
      <c r="AO26" s="1168"/>
      <c r="AP26" s="1168"/>
      <c r="AQ26" s="1168"/>
      <c r="AR26" s="1168"/>
      <c r="AS26" s="1168"/>
      <c r="AT26" s="1168"/>
      <c r="AU26" s="1168"/>
      <c r="AV26" s="1168"/>
      <c r="AW26" s="318"/>
      <c r="AX26" s="318"/>
      <c r="AY26" s="318"/>
      <c r="AZ26" s="318"/>
      <c r="BA26" s="318"/>
    </row>
    <row r="27" spans="1:53" ht="24" customHeight="1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317"/>
    </row>
    <row r="28" spans="1:53" ht="12" customHeight="1">
      <c r="A28" s="1171" t="str">
        <f>IF(ПОДПИСИ!B9="",ПОДПИСИ!B7,ПОДПИСИ!B9)</f>
        <v>Ведущий инженер-геодезист АО "ЛЭСР"</v>
      </c>
      <c r="B28" s="1171"/>
      <c r="C28" s="1171"/>
      <c r="D28" s="1171"/>
      <c r="E28" s="1171"/>
      <c r="F28" s="1171"/>
      <c r="G28" s="1171"/>
      <c r="H28" s="1171"/>
      <c r="I28" s="1171"/>
      <c r="J28" s="1171"/>
      <c r="K28" s="1171"/>
      <c r="L28" s="1171"/>
      <c r="M28" s="1171"/>
      <c r="N28" s="1171"/>
      <c r="O28" s="1171"/>
      <c r="P28" s="1171"/>
      <c r="Q28" s="1171"/>
      <c r="R28" s="1171"/>
      <c r="S28" s="1171"/>
      <c r="T28" s="1171"/>
      <c r="U28" s="1171"/>
      <c r="V28" s="1171"/>
      <c r="W28" s="1171"/>
      <c r="X28" s="1171"/>
      <c r="Y28" s="1171"/>
      <c r="Z28" s="1171"/>
      <c r="AA28" s="1171"/>
      <c r="AB28" s="1171"/>
      <c r="AC28" s="1171"/>
      <c r="AD28" s="1171"/>
      <c r="AE28" s="1171"/>
      <c r="AF28" s="1171"/>
      <c r="AG28" s="1171"/>
      <c r="AH28" s="1171"/>
      <c r="AI28" s="1171"/>
      <c r="AJ28" s="1171"/>
      <c r="AK28" s="1171"/>
      <c r="AL28" s="1171"/>
      <c r="AM28" s="1171"/>
      <c r="AN28" s="1171"/>
      <c r="AO28" s="1171"/>
      <c r="AP28" s="1171"/>
      <c r="AQ28" s="1171"/>
      <c r="AR28" s="1171"/>
      <c r="AS28" s="1171"/>
      <c r="AT28" s="1171"/>
      <c r="AU28" s="1171"/>
      <c r="AV28" s="1171"/>
      <c r="AW28" s="1171"/>
      <c r="AX28" s="1171"/>
      <c r="AY28" s="1171"/>
      <c r="AZ28" s="1171"/>
      <c r="BA28" s="317"/>
    </row>
    <row r="29" spans="1:53" ht="12" customHeight="1">
      <c r="A29" s="1172" t="str">
        <f>IF(ПОДПИСИ!C9="",ПОДПИСИ!C7,CONCATENATE(ПОДПИСИ!C9,", ",ПОДПИСИ!F9))</f>
        <v xml:space="preserve">Филёва Н.О.,  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317"/>
    </row>
    <row r="30" spans="1:53" ht="15" customHeight="1">
      <c r="A30" s="1170" t="s">
        <v>781</v>
      </c>
      <c r="B30" s="1170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317"/>
    </row>
    <row r="31" spans="1:53" ht="12.65" customHeight="1">
      <c r="A31" s="1152"/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17"/>
    </row>
    <row r="32" spans="1:53" ht="21.75" customHeight="1">
      <c r="A32" s="1151" t="s">
        <v>809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  <c r="BA32" s="317"/>
    </row>
    <row r="33" spans="1:52" ht="12" customHeight="1">
      <c r="A33" s="1177" t="s">
        <v>783</v>
      </c>
      <c r="B33" s="1178"/>
      <c r="C33" s="1178"/>
      <c r="D33" s="1178"/>
      <c r="E33" s="1178"/>
      <c r="F33" s="1178"/>
      <c r="G33" s="1178"/>
      <c r="H33" s="1178"/>
      <c r="I33" s="1178"/>
      <c r="J33" s="1178"/>
      <c r="K33" s="1178"/>
      <c r="L33" s="1178"/>
      <c r="M33" s="1178"/>
      <c r="N33" s="1178"/>
      <c r="O33" s="1178"/>
      <c r="P33" s="1178"/>
      <c r="Q33" s="1178"/>
      <c r="R33" s="1178"/>
      <c r="S33" s="1178"/>
      <c r="T33" s="1178"/>
      <c r="U33" s="1178"/>
      <c r="V33" s="1178"/>
      <c r="W33" s="1178"/>
      <c r="X33" s="1178"/>
      <c r="Y33" s="1178"/>
      <c r="Z33" s="1178"/>
      <c r="AA33" s="1178"/>
      <c r="AB33" s="1178"/>
      <c r="AC33" s="1178"/>
      <c r="AD33" s="1178"/>
      <c r="AE33" s="1178"/>
      <c r="AF33" s="1178"/>
      <c r="AG33" s="1178"/>
      <c r="AH33" s="1178"/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</row>
    <row r="34" spans="1:52" ht="12" customHeight="1">
      <c r="A34" s="1154" t="str">
        <f>ПОДПИСИ!B15</f>
        <v xml:space="preserve">Заместитель генерального директора ООО «БЭСК» </v>
      </c>
      <c r="B34" s="1154"/>
      <c r="C34" s="1154"/>
      <c r="D34" s="1154"/>
      <c r="E34" s="1154"/>
      <c r="F34" s="1154"/>
      <c r="G34" s="1154"/>
      <c r="H34" s="1154"/>
      <c r="I34" s="1154"/>
      <c r="J34" s="1154"/>
      <c r="K34" s="1154"/>
      <c r="L34" s="1154"/>
      <c r="M34" s="1154"/>
      <c r="N34" s="1154"/>
      <c r="O34" s="1154"/>
      <c r="P34" s="1154"/>
      <c r="Q34" s="1154"/>
      <c r="R34" s="1154"/>
      <c r="S34" s="1154"/>
      <c r="T34" s="1154"/>
      <c r="U34" s="1154"/>
      <c r="V34" s="1154"/>
      <c r="W34" s="1154"/>
      <c r="X34" s="1154"/>
      <c r="Y34" s="1154"/>
      <c r="Z34" s="1154"/>
      <c r="AA34" s="1154"/>
      <c r="AB34" s="1154"/>
      <c r="AC34" s="1154"/>
      <c r="AD34" s="1154"/>
      <c r="AE34" s="1154"/>
      <c r="AF34" s="1154"/>
      <c r="AG34" s="1154"/>
      <c r="AH34" s="1154"/>
      <c r="AI34" s="1154"/>
      <c r="AJ34" s="1154"/>
      <c r="AK34" s="1154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</row>
    <row r="35" spans="1:52" ht="12" customHeight="1">
      <c r="A35" s="1179" t="str">
        <f>CONCATENATE(ПОДПИСИ!C15," ",ПОДПИСИ!F15)</f>
        <v xml:space="preserve">Матвеев А.С. </v>
      </c>
      <c r="B35" s="1179"/>
      <c r="C35" s="1179"/>
      <c r="D35" s="1179"/>
      <c r="E35" s="1179"/>
      <c r="F35" s="1179"/>
      <c r="G35" s="1179"/>
      <c r="H35" s="1179"/>
      <c r="I35" s="1179"/>
      <c r="J35" s="1179"/>
      <c r="K35" s="1179"/>
      <c r="L35" s="1179"/>
      <c r="M35" s="1179"/>
      <c r="N35" s="1179"/>
      <c r="O35" s="1179"/>
      <c r="P35" s="1179"/>
      <c r="Q35" s="1179"/>
      <c r="R35" s="1179"/>
      <c r="S35" s="1179"/>
      <c r="T35" s="1179"/>
      <c r="U35" s="1179"/>
      <c r="V35" s="1179"/>
      <c r="W35" s="1179"/>
      <c r="X35" s="1179"/>
      <c r="Y35" s="1179"/>
      <c r="Z35" s="1179"/>
      <c r="AA35" s="1179"/>
      <c r="AB35" s="1179"/>
      <c r="AC35" s="1179"/>
      <c r="AD35" s="1179"/>
      <c r="AE35" s="1179"/>
      <c r="AF35" s="1179"/>
      <c r="AG35" s="1179"/>
      <c r="AH35" s="1179"/>
      <c r="AI35" s="1179"/>
      <c r="AJ35" s="1179"/>
      <c r="AK35" s="1179"/>
      <c r="AL35" s="1179"/>
      <c r="AM35" s="1179"/>
      <c r="AN35" s="1179"/>
      <c r="AO35" s="1179"/>
      <c r="AP35" s="1179"/>
      <c r="AQ35" s="1179"/>
      <c r="AR35" s="1179"/>
      <c r="AS35" s="1179"/>
      <c r="AT35" s="1179"/>
      <c r="AU35" s="1179"/>
      <c r="AV35" s="1179"/>
      <c r="AW35" s="1179"/>
      <c r="AX35" s="1179"/>
      <c r="AY35" s="1179"/>
      <c r="AZ35" s="1179"/>
    </row>
    <row r="36" spans="1:52" ht="6" customHeight="1">
      <c r="A36" s="1180" t="s">
        <v>810</v>
      </c>
      <c r="B36" s="1180"/>
      <c r="C36" s="1180"/>
      <c r="D36" s="1180"/>
      <c r="E36" s="1180"/>
      <c r="F36" s="1180"/>
      <c r="G36" s="1180"/>
      <c r="H36" s="1180"/>
      <c r="I36" s="1180"/>
      <c r="J36" s="1180"/>
      <c r="K36" s="1180"/>
      <c r="L36" s="1180"/>
      <c r="M36" s="1180"/>
      <c r="N36" s="1180"/>
      <c r="O36" s="1180"/>
      <c r="P36" s="1180"/>
      <c r="Q36" s="1180"/>
      <c r="R36" s="1180"/>
      <c r="S36" s="1180"/>
      <c r="T36" s="1180"/>
      <c r="U36" s="1180"/>
      <c r="V36" s="1180"/>
      <c r="W36" s="1180"/>
      <c r="X36" s="1180"/>
      <c r="Y36" s="1180"/>
      <c r="Z36" s="1180"/>
      <c r="AA36" s="1180"/>
      <c r="AB36" s="1180"/>
      <c r="AC36" s="1180"/>
      <c r="AD36" s="1180"/>
      <c r="AE36" s="1180"/>
      <c r="AF36" s="1180"/>
      <c r="AG36" s="1180"/>
      <c r="AH36" s="1180"/>
      <c r="AI36" s="1180"/>
      <c r="AJ36" s="1180"/>
      <c r="AK36" s="1180"/>
      <c r="AL36" s="1180"/>
      <c r="AM36" s="1180"/>
      <c r="AN36" s="1180"/>
      <c r="AO36" s="1180"/>
      <c r="AP36" s="1180"/>
      <c r="AQ36" s="1180"/>
      <c r="AR36" s="1180"/>
      <c r="AS36" s="1180"/>
      <c r="AT36" s="1180"/>
      <c r="AU36" s="1180"/>
      <c r="AV36" s="1180"/>
      <c r="AW36" s="1180"/>
      <c r="AX36" s="1180"/>
      <c r="AY36" s="1180"/>
      <c r="AZ36" s="1180"/>
    </row>
    <row r="37" spans="1:52" ht="24" customHeight="1">
      <c r="A37" s="1153" t="s">
        <v>811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</row>
    <row r="38" spans="1:52" ht="12" customHeight="1">
      <c r="A38" s="1154" t="str">
        <f>ПОДПИСИ!B17</f>
        <v xml:space="preserve">Заместитель генерального директора ООО «БЭСК» 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  <c r="L38" s="1154"/>
      <c r="M38" s="1154"/>
      <c r="N38" s="1154"/>
      <c r="O38" s="1154"/>
      <c r="P38" s="1154"/>
      <c r="Q38" s="1154"/>
      <c r="R38" s="1154"/>
      <c r="S38" s="1154"/>
      <c r="T38" s="1154"/>
      <c r="U38" s="1154"/>
      <c r="V38" s="1154"/>
      <c r="W38" s="1154"/>
      <c r="X38" s="1154"/>
      <c r="Y38" s="1154"/>
      <c r="Z38" s="1154"/>
      <c r="AA38" s="1154"/>
      <c r="AB38" s="1154"/>
      <c r="AC38" s="1154"/>
      <c r="AD38" s="1154"/>
      <c r="AE38" s="1154"/>
      <c r="AF38" s="1154"/>
      <c r="AG38" s="1154"/>
      <c r="AH38" s="1154"/>
      <c r="AI38" s="1154"/>
      <c r="AJ38" s="1154"/>
      <c r="AK38" s="1154"/>
      <c r="AL38" s="1154"/>
      <c r="AM38" s="1154"/>
      <c r="AN38" s="1154"/>
      <c r="AO38" s="1154"/>
      <c r="AP38" s="1154"/>
      <c r="AQ38" s="1154"/>
      <c r="AR38" s="1154"/>
      <c r="AS38" s="1154"/>
      <c r="AT38" s="1154"/>
      <c r="AU38" s="1154"/>
      <c r="AV38" s="1154"/>
      <c r="AW38" s="1154"/>
      <c r="AX38" s="1154"/>
      <c r="AY38" s="1154"/>
      <c r="AZ38" s="1154"/>
    </row>
    <row r="39" spans="1:52" ht="12" customHeight="1">
      <c r="A39" s="1154" t="str">
        <f>CONCATENATE(ПОДПИСИ!C17," ",ПОДПИСИ!F17)</f>
        <v xml:space="preserve">Матвеев А.С. </v>
      </c>
      <c r="B39" s="1154"/>
      <c r="C39" s="1154"/>
      <c r="D39" s="1154"/>
      <c r="E39" s="1154"/>
      <c r="F39" s="1154"/>
      <c r="G39" s="1154"/>
      <c r="H39" s="1154"/>
      <c r="I39" s="1154"/>
      <c r="J39" s="1154"/>
      <c r="K39" s="1154"/>
      <c r="L39" s="1154"/>
      <c r="M39" s="1154"/>
      <c r="N39" s="1154"/>
      <c r="O39" s="1154"/>
      <c r="P39" s="1154"/>
      <c r="Q39" s="1154"/>
      <c r="R39" s="1154"/>
      <c r="S39" s="1154"/>
      <c r="T39" s="1154"/>
      <c r="U39" s="1154"/>
      <c r="V39" s="1154"/>
      <c r="W39" s="1154"/>
      <c r="X39" s="1154"/>
      <c r="Y39" s="1154"/>
      <c r="Z39" s="1154"/>
      <c r="AA39" s="1154"/>
      <c r="AB39" s="1154"/>
      <c r="AC39" s="1154"/>
      <c r="AD39" s="1154"/>
      <c r="AE39" s="1154"/>
      <c r="AF39" s="1154"/>
      <c r="AG39" s="1154"/>
      <c r="AH39" s="1154"/>
      <c r="AI39" s="1154"/>
      <c r="AJ39" s="1154"/>
      <c r="AK39" s="1154"/>
      <c r="AL39" s="1154"/>
      <c r="AM39" s="1154"/>
      <c r="AN39" s="1154"/>
      <c r="AO39" s="1154"/>
      <c r="AP39" s="1154"/>
      <c r="AQ39" s="1154"/>
      <c r="AR39" s="1154"/>
      <c r="AS39" s="1154"/>
      <c r="AT39" s="1154"/>
      <c r="AU39" s="1154"/>
      <c r="AV39" s="1154"/>
      <c r="AW39" s="1154"/>
      <c r="AX39" s="1154"/>
      <c r="AY39" s="1154"/>
      <c r="AZ39" s="1154"/>
    </row>
    <row r="40" spans="1:52" ht="15" customHeight="1">
      <c r="A40" s="1151" t="s">
        <v>781</v>
      </c>
      <c r="B40" s="1151"/>
      <c r="C40" s="1151"/>
      <c r="D40" s="1151"/>
      <c r="E40" s="1151"/>
      <c r="F40" s="1151"/>
      <c r="G40" s="1151"/>
      <c r="H40" s="1151"/>
      <c r="I40" s="1151"/>
      <c r="J40" s="1151"/>
      <c r="K40" s="1151"/>
      <c r="L40" s="1151"/>
      <c r="M40" s="1151"/>
      <c r="N40" s="1151"/>
      <c r="O40" s="1151"/>
      <c r="P40" s="1151"/>
      <c r="Q40" s="1151"/>
      <c r="R40" s="1151"/>
      <c r="S40" s="1151"/>
      <c r="T40" s="1151"/>
      <c r="U40" s="1151"/>
      <c r="V40" s="1151"/>
      <c r="W40" s="1151"/>
      <c r="X40" s="1151"/>
      <c r="Y40" s="1151"/>
      <c r="Z40" s="1151"/>
      <c r="AA40" s="1151"/>
      <c r="AB40" s="1151"/>
      <c r="AC40" s="1151"/>
      <c r="AD40" s="1151"/>
      <c r="AE40" s="1151"/>
      <c r="AF40" s="1151"/>
      <c r="AG40" s="1151"/>
      <c r="AH40" s="1151"/>
      <c r="AI40" s="1151"/>
      <c r="AJ40" s="1151"/>
      <c r="AK40" s="1151"/>
      <c r="AL40" s="1151"/>
      <c r="AM40" s="1151"/>
      <c r="AN40" s="1151"/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/>
      <c r="AY40" s="1151"/>
      <c r="AZ40" s="1151"/>
    </row>
    <row r="41" spans="1:52" ht="12" customHeight="1">
      <c r="A41" s="1152"/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52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</row>
    <row r="42" spans="1:52" ht="6.75" customHeight="1">
      <c r="A42" s="1151" t="s">
        <v>812</v>
      </c>
      <c r="B42" s="1151"/>
      <c r="C42" s="1151"/>
      <c r="D42" s="1151"/>
      <c r="E42" s="1151"/>
      <c r="F42" s="1151"/>
      <c r="G42" s="1151"/>
      <c r="H42" s="1151"/>
      <c r="I42" s="1151"/>
      <c r="J42" s="1151"/>
      <c r="K42" s="1151"/>
      <c r="L42" s="1151"/>
      <c r="M42" s="1151"/>
      <c r="N42" s="1151"/>
      <c r="O42" s="1151"/>
      <c r="P42" s="1151"/>
      <c r="Q42" s="1151"/>
      <c r="R42" s="1151"/>
      <c r="S42" s="1151"/>
      <c r="T42" s="1151"/>
      <c r="U42" s="1151"/>
      <c r="V42" s="1151"/>
      <c r="W42" s="1151"/>
      <c r="X42" s="1151"/>
      <c r="Y42" s="1151"/>
      <c r="Z42" s="1151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151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</row>
    <row r="43" spans="1:52" ht="35.25" customHeight="1">
      <c r="A43" s="1153" t="s">
        <v>813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</row>
    <row r="44" spans="1:52" ht="12" customHeight="1">
      <c r="A44" s="1154" t="str">
        <f>ПОДПИСИ!B19</f>
        <v xml:space="preserve">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</row>
    <row r="45" spans="1:52" ht="12" customHeight="1">
      <c r="A45" s="1154" t="str">
        <f>CONCATENATE(ПОДПИСИ!C19," ",ПОДПИСИ!F19)</f>
        <v xml:space="preserve"> 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</row>
    <row r="46" spans="1:52" ht="6" customHeight="1">
      <c r="A46" s="1151" t="s">
        <v>787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</row>
    <row r="47" spans="1:52" ht="12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</row>
    <row r="48" spans="1:52" ht="15" customHeight="1">
      <c r="A48" s="1151" t="s">
        <v>788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4" ht="36" customHeight="1">
      <c r="A49" s="1177" t="s">
        <v>814</v>
      </c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1177"/>
      <c r="P49" s="1177"/>
      <c r="Q49" s="1177"/>
      <c r="R49" s="1177"/>
      <c r="S49" s="1177"/>
      <c r="T49" s="1177"/>
      <c r="U49" s="1177"/>
      <c r="V49" s="1177"/>
      <c r="W49" s="1177"/>
      <c r="X49" s="1177"/>
      <c r="Y49" s="1177"/>
      <c r="Z49" s="1177"/>
      <c r="AA49" s="1177"/>
      <c r="AB49" s="1177"/>
      <c r="AC49" s="1177"/>
      <c r="AD49" s="1177"/>
      <c r="AE49" s="1177"/>
      <c r="AF49" s="1177"/>
      <c r="AG49" s="1177"/>
      <c r="AH49" s="1177"/>
      <c r="AI49" s="1177"/>
      <c r="AJ49" s="1177"/>
      <c r="AK49" s="1177"/>
      <c r="AL49" s="1177"/>
      <c r="AM49" s="1177"/>
      <c r="AN49" s="1177"/>
      <c r="AO49" s="1177"/>
      <c r="AP49" s="1177"/>
      <c r="AQ49" s="1177"/>
      <c r="AR49" s="1177"/>
      <c r="AS49" s="1177"/>
      <c r="AT49" s="1177"/>
      <c r="AU49" s="1177"/>
      <c r="AV49" s="1177"/>
      <c r="AW49" s="1177"/>
      <c r="AX49" s="1177"/>
      <c r="AY49" s="1177"/>
      <c r="AZ49" s="1177"/>
    </row>
    <row r="50" spans="1:54" ht="12" customHeight="1">
      <c r="A50" s="1185" t="str">
        <f>ПОДПИСИ!B14</f>
        <v>Инженер-геодезист ООО «БЭСК»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  <c r="BA50" s="323"/>
      <c r="BB50" s="294"/>
    </row>
    <row r="51" spans="1:54" ht="12" customHeight="1">
      <c r="A51" s="1104" t="str">
        <f>CONCATENATE(ПОДПИСИ!C14," ",ПОДПИСИ!F14)</f>
        <v xml:space="preserve">Алексеенков Д.С. </v>
      </c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N51" s="1104"/>
      <c r="O51" s="1104"/>
      <c r="P51" s="1104"/>
      <c r="Q51" s="1104"/>
      <c r="R51" s="1104"/>
      <c r="S51" s="1104"/>
      <c r="T51" s="1104"/>
      <c r="U51" s="1104"/>
      <c r="V51" s="1104"/>
      <c r="W51" s="1104"/>
      <c r="X51" s="1104"/>
      <c r="Y51" s="1104"/>
      <c r="Z51" s="1104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</row>
    <row r="52" spans="1:54" ht="6" customHeight="1">
      <c r="A52" s="1170" t="s">
        <v>787</v>
      </c>
      <c r="B52" s="1170"/>
      <c r="C52" s="1170"/>
      <c r="D52" s="1170"/>
      <c r="E52" s="1170"/>
      <c r="F52" s="1170"/>
      <c r="G52" s="1170"/>
      <c r="H52" s="1170"/>
      <c r="I52" s="1170"/>
      <c r="J52" s="1170"/>
      <c r="K52" s="1170"/>
      <c r="L52" s="1170"/>
      <c r="M52" s="1170"/>
      <c r="N52" s="1170"/>
      <c r="O52" s="1170"/>
      <c r="P52" s="1170"/>
      <c r="Q52" s="1170"/>
      <c r="R52" s="1170"/>
      <c r="S52" s="1170"/>
      <c r="T52" s="1170"/>
      <c r="U52" s="1170"/>
      <c r="V52" s="1170"/>
      <c r="W52" s="1170"/>
      <c r="X52" s="1170"/>
      <c r="Y52" s="1170"/>
      <c r="Z52" s="1170"/>
      <c r="AA52" s="1170"/>
      <c r="AB52" s="1170"/>
      <c r="AC52" s="1170"/>
      <c r="AD52" s="1170"/>
      <c r="AE52" s="1170"/>
      <c r="AF52" s="1170"/>
      <c r="AG52" s="1170"/>
      <c r="AH52" s="1170"/>
      <c r="AI52" s="1170"/>
      <c r="AJ52" s="1170"/>
      <c r="AK52" s="1170"/>
      <c r="AL52" s="1170"/>
      <c r="AM52" s="1170"/>
      <c r="AN52" s="1170"/>
      <c r="AO52" s="1170"/>
      <c r="AP52" s="1170"/>
      <c r="AQ52" s="1170"/>
      <c r="AR52" s="1170"/>
      <c r="AS52" s="1170"/>
      <c r="AT52" s="1170"/>
      <c r="AU52" s="1170"/>
      <c r="AV52" s="1170"/>
      <c r="AW52" s="1170"/>
      <c r="AX52" s="1170"/>
      <c r="AY52" s="1170"/>
      <c r="AZ52" s="1170"/>
    </row>
    <row r="53" spans="1:54" ht="12" customHeight="1">
      <c r="A53" s="1186"/>
      <c r="B53" s="1186"/>
      <c r="C53" s="1186"/>
      <c r="D53" s="1186"/>
      <c r="E53" s="1186"/>
      <c r="F53" s="1186"/>
      <c r="G53" s="1186"/>
      <c r="H53" s="1186"/>
      <c r="I53" s="1186"/>
      <c r="J53" s="1186"/>
      <c r="K53" s="1186"/>
      <c r="L53" s="1186"/>
      <c r="M53" s="1186"/>
      <c r="N53" s="1186"/>
      <c r="O53" s="1186"/>
      <c r="P53" s="1186"/>
      <c r="Q53" s="1186"/>
      <c r="R53" s="1186"/>
      <c r="S53" s="1186"/>
      <c r="T53" s="1186"/>
      <c r="U53" s="1186"/>
      <c r="V53" s="1186"/>
      <c r="W53" s="1186"/>
      <c r="X53" s="1186"/>
      <c r="Y53" s="1186"/>
      <c r="Z53" s="1186"/>
      <c r="AA53" s="1186"/>
      <c r="AB53" s="1186"/>
      <c r="AC53" s="1186"/>
      <c r="AD53" s="1186"/>
      <c r="AE53" s="1186"/>
      <c r="AF53" s="1186"/>
      <c r="AG53" s="1186"/>
      <c r="AH53" s="1186"/>
      <c r="AI53" s="1186"/>
      <c r="AJ53" s="1186"/>
      <c r="AK53" s="1186"/>
      <c r="AL53" s="1186"/>
      <c r="AM53" s="1186"/>
      <c r="AN53" s="1186"/>
      <c r="AO53" s="1186"/>
      <c r="AP53" s="1186"/>
      <c r="AQ53" s="1186"/>
      <c r="AR53" s="1186"/>
      <c r="AS53" s="1186"/>
      <c r="AT53" s="1186"/>
      <c r="AU53" s="1186"/>
      <c r="AV53" s="1186"/>
      <c r="AW53" s="1186"/>
      <c r="AX53" s="1186"/>
      <c r="AY53" s="1186"/>
      <c r="AZ53" s="1186"/>
    </row>
    <row r="54" spans="1:54" ht="15" customHeight="1">
      <c r="A54" s="1151" t="s">
        <v>788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</row>
    <row r="55" spans="1:54" ht="15" customHeight="1" outlineLevel="1">
      <c r="A55" s="1100" t="s">
        <v>79</v>
      </c>
      <c r="B55" s="1100"/>
      <c r="C55" s="1100"/>
      <c r="D55" s="1100"/>
      <c r="E55" s="1100"/>
      <c r="F55" s="1100"/>
      <c r="G55" s="1100"/>
      <c r="H55" s="1100"/>
      <c r="I55" s="1100"/>
      <c r="J55" s="1100"/>
      <c r="K55" s="1100"/>
      <c r="L55" s="1100"/>
      <c r="M55" s="1100"/>
      <c r="N55" s="1100"/>
      <c r="O55" s="1100"/>
      <c r="P55" s="1100"/>
      <c r="Q55" s="1100"/>
      <c r="R55" s="1100"/>
      <c r="S55" s="1100"/>
      <c r="T55" s="1100"/>
      <c r="U55" s="1100"/>
      <c r="V55" s="1100"/>
      <c r="W55" s="1100"/>
      <c r="X55" s="1100"/>
      <c r="Y55" s="1100"/>
      <c r="Z55" s="1100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</row>
    <row r="56" spans="1:54" outlineLevel="1">
      <c r="A56" s="1106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106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</row>
    <row r="57" spans="1:54" ht="9" customHeight="1" outlineLevel="1">
      <c r="A57" s="1105" t="s">
        <v>523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1105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</row>
    <row r="58" spans="1:54" ht="12" customHeight="1">
      <c r="A58" s="1178" t="s">
        <v>429</v>
      </c>
      <c r="B58" s="1178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8"/>
      <c r="N58" s="1178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8"/>
      <c r="Z58" s="1178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8"/>
      <c r="AL58" s="1178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8"/>
      <c r="AX58" s="1178"/>
      <c r="AY58" s="1178"/>
      <c r="AZ58" s="1178"/>
    </row>
    <row r="59" spans="1:54" ht="12" customHeight="1">
      <c r="A59" s="1181" t="str">
        <f>ФОРМА!D24</f>
        <v>кабельной линии 10кВ</v>
      </c>
      <c r="B59" s="1181"/>
      <c r="C59" s="1181"/>
      <c r="D59" s="1181"/>
      <c r="E59" s="1181"/>
      <c r="F59" s="1181"/>
      <c r="G59" s="1181"/>
      <c r="H59" s="1181"/>
      <c r="I59" s="1181"/>
      <c r="J59" s="1181"/>
      <c r="K59" s="1181"/>
      <c r="L59" s="1181"/>
      <c r="M59" s="1181"/>
      <c r="N59" s="1181"/>
      <c r="O59" s="1181"/>
      <c r="P59" s="1181"/>
      <c r="Q59" s="1181"/>
      <c r="R59" s="1181"/>
      <c r="S59" s="1181"/>
      <c r="T59" s="1181"/>
      <c r="U59" s="1181"/>
      <c r="V59" s="1181"/>
      <c r="W59" s="1181"/>
      <c r="X59" s="1181"/>
      <c r="Y59" s="1181"/>
      <c r="Z59" s="1181"/>
      <c r="AA59" s="1181"/>
      <c r="AB59" s="1181"/>
      <c r="AC59" s="1181"/>
      <c r="AD59" s="1181"/>
      <c r="AE59" s="1181"/>
      <c r="AF59" s="1181"/>
      <c r="AG59" s="1181"/>
      <c r="AH59" s="1181"/>
      <c r="AI59" s="1181"/>
      <c r="AJ59" s="1181"/>
      <c r="AK59" s="1181"/>
      <c r="AL59" s="1181"/>
      <c r="AM59" s="1181"/>
      <c r="AN59" s="1181"/>
      <c r="AO59" s="1181"/>
      <c r="AP59" s="1181"/>
      <c r="AQ59" s="1181"/>
      <c r="AR59" s="1181"/>
      <c r="AS59" s="1181"/>
      <c r="AT59" s="1181"/>
      <c r="AU59" s="1181"/>
      <c r="AV59" s="1181"/>
      <c r="AW59" s="1181"/>
      <c r="AX59" s="1181"/>
      <c r="AY59" s="1181"/>
      <c r="AZ59" s="1181"/>
    </row>
    <row r="60" spans="1:54" ht="12" customHeight="1">
      <c r="A60" s="1182" t="s">
        <v>430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</row>
    <row r="61" spans="1:54" ht="39.75" customHeight="1">
      <c r="A61" s="11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83"/>
      <c r="C61" s="1183"/>
      <c r="D61" s="1183"/>
      <c r="E61" s="1183"/>
      <c r="F61" s="1183"/>
      <c r="G61" s="1183"/>
      <c r="H61" s="1183"/>
      <c r="I61" s="1183"/>
      <c r="J61" s="1183"/>
      <c r="K61" s="1183"/>
      <c r="L61" s="1183"/>
      <c r="M61" s="1183"/>
      <c r="N61" s="1183"/>
      <c r="O61" s="1183"/>
      <c r="P61" s="1183"/>
      <c r="Q61" s="1183"/>
      <c r="R61" s="1183"/>
      <c r="S61" s="1183"/>
      <c r="T61" s="1183"/>
      <c r="U61" s="1183"/>
      <c r="V61" s="1183"/>
      <c r="W61" s="1183"/>
      <c r="X61" s="1183"/>
      <c r="Y61" s="1183"/>
      <c r="Z61" s="1183"/>
      <c r="AA61" s="1183"/>
      <c r="AB61" s="1183"/>
      <c r="AC61" s="1183"/>
      <c r="AD61" s="1183"/>
      <c r="AE61" s="1183"/>
      <c r="AF61" s="1183"/>
      <c r="AG61" s="1183"/>
      <c r="AH61" s="1183"/>
      <c r="AI61" s="1183"/>
      <c r="AJ61" s="1183"/>
      <c r="AK61" s="1183"/>
      <c r="AL61" s="1183"/>
      <c r="AM61" s="1183"/>
      <c r="AN61" s="1183"/>
      <c r="AO61" s="1183"/>
      <c r="AP61" s="1183"/>
      <c r="AQ61" s="1183"/>
      <c r="AR61" s="1183"/>
      <c r="AS61" s="1183"/>
      <c r="AT61" s="1183"/>
      <c r="AU61" s="1183"/>
      <c r="AV61" s="1183"/>
      <c r="AW61" s="1183"/>
      <c r="AX61" s="1183"/>
      <c r="AY61" s="1183"/>
      <c r="AZ61" s="1183"/>
    </row>
    <row r="62" spans="1:54" ht="6" customHeight="1">
      <c r="A62" s="1184" t="s">
        <v>431</v>
      </c>
      <c r="B62" s="1184"/>
      <c r="C62" s="1184"/>
      <c r="D62" s="1184"/>
      <c r="E62" s="1184"/>
      <c r="F62" s="1184"/>
      <c r="G62" s="1184"/>
      <c r="H62" s="1184"/>
      <c r="I62" s="1184"/>
      <c r="J62" s="1184"/>
      <c r="K62" s="1184"/>
      <c r="L62" s="1184"/>
      <c r="M62" s="1184"/>
      <c r="N62" s="1184"/>
      <c r="O62" s="1184"/>
      <c r="P62" s="1184"/>
      <c r="Q62" s="1184"/>
      <c r="R62" s="1184"/>
      <c r="S62" s="1184"/>
      <c r="T62" s="1184"/>
      <c r="U62" s="1184"/>
      <c r="V62" s="1184"/>
      <c r="W62" s="1184"/>
      <c r="X62" s="1184"/>
      <c r="Y62" s="1184"/>
      <c r="Z62" s="1184"/>
      <c r="AA62" s="1184"/>
      <c r="AB62" s="1184"/>
      <c r="AC62" s="1184"/>
      <c r="AD62" s="1184"/>
      <c r="AE62" s="1184"/>
      <c r="AF62" s="1184"/>
      <c r="AG62" s="1184"/>
      <c r="AH62" s="1184"/>
      <c r="AI62" s="1184"/>
      <c r="AJ62" s="1184"/>
      <c r="AK62" s="1184"/>
      <c r="AL62" s="1184"/>
      <c r="AM62" s="1184"/>
      <c r="AN62" s="1184"/>
      <c r="AO62" s="1184"/>
      <c r="AP62" s="1184"/>
      <c r="AQ62" s="1184"/>
      <c r="AR62" s="1184"/>
      <c r="AS62" s="1184"/>
      <c r="AT62" s="1184"/>
      <c r="AU62" s="1184"/>
      <c r="AV62" s="1184"/>
      <c r="AW62" s="1184"/>
      <c r="AX62" s="1184"/>
      <c r="AY62" s="1184"/>
      <c r="AZ62" s="1184"/>
    </row>
    <row r="63" spans="1:54" ht="12" customHeight="1">
      <c r="A63" s="1190" t="s">
        <v>432</v>
      </c>
      <c r="B63" s="1190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0"/>
      <c r="N63" s="1190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0"/>
      <c r="Z63" s="1190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0"/>
      <c r="AL63" s="1190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0"/>
      <c r="AX63" s="1190"/>
      <c r="AY63" s="1190"/>
      <c r="AZ63" s="1190"/>
    </row>
    <row r="64" spans="1:54" ht="12" customHeight="1">
      <c r="A64" s="1190" t="s">
        <v>433</v>
      </c>
      <c r="B64" s="1190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0"/>
      <c r="N64" s="1190"/>
      <c r="O64" s="1190"/>
      <c r="P64" s="1190"/>
      <c r="Q64" s="1190"/>
      <c r="R64" s="1190"/>
      <c r="S64" s="1190"/>
      <c r="T64" s="1190"/>
      <c r="U64" s="1181" t="str">
        <f>ФОРМА!B9</f>
        <v>СЭС-23-32939-ЭС-ТКР2</v>
      </c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80" t="s">
        <v>568</v>
      </c>
      <c r="V65" s="1180"/>
      <c r="W65" s="1180"/>
      <c r="X65" s="1180"/>
      <c r="Y65" s="1180"/>
      <c r="Z65" s="1180"/>
      <c r="AA65" s="1180"/>
      <c r="AB65" s="1180"/>
      <c r="AC65" s="1180"/>
      <c r="AD65" s="1180"/>
      <c r="AE65" s="1180"/>
      <c r="AF65" s="1180"/>
      <c r="AG65" s="1180"/>
      <c r="AH65" s="1180"/>
      <c r="AI65" s="1180"/>
      <c r="AJ65" s="1180"/>
      <c r="AK65" s="1180"/>
      <c r="AL65" s="1180"/>
      <c r="AM65" s="1180"/>
      <c r="AN65" s="1180"/>
      <c r="AO65" s="1180"/>
      <c r="AP65" s="1180"/>
      <c r="AQ65" s="1180"/>
      <c r="AR65" s="1180"/>
      <c r="AS65" s="1180"/>
      <c r="AT65" s="1180"/>
      <c r="AU65" s="1180"/>
      <c r="AV65" s="1180"/>
      <c r="AW65" s="1180"/>
      <c r="AX65" s="1180"/>
      <c r="AY65" s="1180"/>
      <c r="AZ65" s="1180"/>
    </row>
    <row r="66" spans="1:56" ht="12" customHeight="1">
      <c r="A66" s="1181" t="str">
        <f>ФОРМА!B8</f>
        <v>ООО «Строительные энергетические технологии»</v>
      </c>
      <c r="B66" s="1181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1"/>
      <c r="N66" s="1181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1"/>
      <c r="Z66" s="1181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1"/>
      <c r="AL66" s="1181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1"/>
      <c r="AX66" s="1181"/>
      <c r="AY66" s="1181"/>
      <c r="AZ66" s="1181"/>
    </row>
    <row r="67" spans="1:56" s="302" customFormat="1" ht="6" customHeight="1">
      <c r="A67" s="1184" t="s">
        <v>571</v>
      </c>
      <c r="B67" s="1184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</row>
    <row r="68" spans="1:56" ht="12" customHeight="1">
      <c r="A68" s="1187" t="s">
        <v>434</v>
      </c>
      <c r="B68" s="1187"/>
      <c r="C68" s="1187"/>
      <c r="D68" s="1187"/>
      <c r="E68" s="1187"/>
      <c r="F68" s="1187"/>
      <c r="G68" s="1187"/>
      <c r="H68" s="1187"/>
      <c r="I68" s="1187"/>
      <c r="J68" s="1187"/>
      <c r="K68" s="1187"/>
      <c r="L68" s="1187"/>
      <c r="M68" s="1187"/>
      <c r="N68" s="1187"/>
      <c r="O68" s="1187"/>
      <c r="P68" s="1187"/>
      <c r="Q68" s="1187"/>
      <c r="R68" s="1187"/>
      <c r="S68" s="1188" t="s">
        <v>435</v>
      </c>
      <c r="T68" s="1188"/>
      <c r="U68" s="1188"/>
      <c r="V68" s="1188"/>
      <c r="W68" s="1188"/>
      <c r="X68" s="1188"/>
      <c r="Y68" s="1188"/>
      <c r="Z68" s="1188"/>
      <c r="AA68" s="1188"/>
      <c r="AB68" s="1188"/>
      <c r="AC68" s="1188"/>
      <c r="AD68" s="1188"/>
      <c r="AE68" s="1188"/>
      <c r="AF68" s="1188"/>
      <c r="AG68" s="1188"/>
      <c r="AH68" s="1188"/>
      <c r="AI68" s="1188"/>
      <c r="AJ68" s="1188"/>
      <c r="AK68" s="1188"/>
      <c r="AL68" s="1188"/>
      <c r="AM68" s="1188"/>
      <c r="AN68" s="1188"/>
      <c r="AO68" s="1188"/>
      <c r="AP68" s="1188"/>
      <c r="AQ68" s="1188"/>
      <c r="AR68" s="1188"/>
      <c r="AS68" s="1188"/>
      <c r="AT68" s="1188"/>
      <c r="AU68" s="1188"/>
      <c r="AV68" s="1188"/>
      <c r="AW68" s="1188"/>
      <c r="AX68" s="1188"/>
      <c r="AY68" s="1188"/>
      <c r="AZ68" s="1188"/>
    </row>
    <row r="69" spans="1:56" ht="12" customHeight="1">
      <c r="A69" s="1189" t="s">
        <v>520</v>
      </c>
      <c r="B69" s="1189"/>
      <c r="C69" s="1189"/>
      <c r="D69" s="1189"/>
      <c r="E69" s="1189"/>
      <c r="F69" s="1189"/>
      <c r="G69" s="1189"/>
      <c r="H69" s="1189"/>
      <c r="I69" s="1189"/>
      <c r="J69" s="1189"/>
      <c r="K69" s="1189"/>
      <c r="L69" s="1189"/>
      <c r="M69" s="1189"/>
      <c r="N69" s="1189"/>
      <c r="O69" s="1189"/>
      <c r="P69" s="1189"/>
      <c r="Q69" s="1189"/>
      <c r="R69" s="1189"/>
      <c r="S69" s="1189"/>
      <c r="T69" s="1189"/>
      <c r="U69" s="1189"/>
      <c r="V69" s="1189"/>
      <c r="W69" s="1189"/>
      <c r="X69" s="1189"/>
      <c r="Y69" s="1189"/>
      <c r="Z69" s="1189"/>
      <c r="AA69" s="1189"/>
      <c r="AB69" s="1189"/>
      <c r="AC69" s="1189"/>
      <c r="AD69" s="1189"/>
      <c r="AE69" s="1189"/>
      <c r="AF69" s="1189"/>
      <c r="AG69" s="1189"/>
      <c r="AH69" s="1189"/>
      <c r="AI69" s="1189"/>
      <c r="AJ69" s="1189"/>
      <c r="AK69" s="1189"/>
      <c r="AL69" s="1189"/>
      <c r="AM69" s="1189"/>
      <c r="AN69" s="1189"/>
      <c r="AO69" s="1189"/>
      <c r="AP69" s="1189"/>
      <c r="AQ69" s="1189"/>
      <c r="AR69" s="1189"/>
      <c r="AS69" s="1189"/>
      <c r="AT69" s="1189"/>
      <c r="AU69" s="1189"/>
      <c r="AV69" s="1189"/>
      <c r="AW69" s="1189"/>
      <c r="AX69" s="1189"/>
      <c r="AY69" s="1189"/>
      <c r="AZ69" s="1189"/>
      <c r="BD69" s="291"/>
    </row>
    <row r="70" spans="1:56" ht="12" customHeight="1">
      <c r="A70" s="1178" t="s">
        <v>436</v>
      </c>
      <c r="B70" s="1178"/>
      <c r="C70" s="1178"/>
      <c r="D70" s="1178"/>
      <c r="E70" s="1178"/>
      <c r="F70" s="1178"/>
      <c r="G70" s="1178"/>
      <c r="H70" s="1178"/>
      <c r="I70" s="1178"/>
      <c r="J70" s="1178"/>
      <c r="K70" s="1178"/>
      <c r="L70" s="1178"/>
      <c r="M70" s="1178"/>
      <c r="N70" s="1178"/>
      <c r="O70" s="1178"/>
      <c r="P70" s="1178"/>
      <c r="Q70" s="1178"/>
      <c r="R70" s="1178"/>
      <c r="S70" s="1178"/>
      <c r="T70" s="1178"/>
      <c r="U70" s="1178"/>
      <c r="V70" s="1178"/>
      <c r="W70" s="1178"/>
      <c r="X70" s="1178"/>
      <c r="Y70" s="1178"/>
      <c r="Z70" s="1178"/>
      <c r="AA70" s="1178"/>
      <c r="AB70" s="1178"/>
      <c r="AC70" s="1178"/>
      <c r="AD70" s="1178"/>
      <c r="AE70" s="1178"/>
      <c r="AF70" s="1178"/>
      <c r="AG70" s="1178"/>
      <c r="AH70" s="1178"/>
      <c r="AI70" s="1178"/>
      <c r="AJ70" s="1178"/>
      <c r="AK70" s="1178"/>
      <c r="AL70" s="1178"/>
      <c r="AM70" s="1178"/>
      <c r="AN70" s="1178"/>
      <c r="AO70" s="1178"/>
      <c r="AP70" s="1178"/>
      <c r="AQ70" s="1178"/>
      <c r="AR70" s="1178"/>
      <c r="AS70" s="1178"/>
      <c r="AT70" s="1178"/>
      <c r="AU70" s="1178"/>
      <c r="AV70" s="1178"/>
      <c r="AW70" s="1178"/>
      <c r="AX70" s="1178"/>
      <c r="AY70" s="1178"/>
      <c r="AZ70" s="1178"/>
      <c r="BA70" s="1178"/>
      <c r="BD70" s="291"/>
    </row>
    <row r="71" spans="1:56" ht="12" customHeight="1">
      <c r="A71" s="1178" t="s">
        <v>521</v>
      </c>
      <c r="B71" s="1178"/>
      <c r="C71" s="1178"/>
      <c r="D71" s="1178"/>
      <c r="E71" s="1178"/>
      <c r="F71" s="1178"/>
      <c r="G71" s="1178"/>
      <c r="H71" s="1178"/>
      <c r="I71" s="1178"/>
      <c r="J71" s="1178"/>
      <c r="K71" s="1178"/>
      <c r="L71" s="1178"/>
      <c r="M71" s="1178"/>
      <c r="N71" s="1178"/>
      <c r="O71" s="1178"/>
      <c r="P71" s="1178"/>
      <c r="Q71" s="1178"/>
      <c r="R71" s="1178"/>
      <c r="S71" s="1178"/>
      <c r="T71" s="1178"/>
      <c r="U71" s="1178"/>
      <c r="V71" s="1178"/>
      <c r="W71" s="1178"/>
      <c r="X71" s="1178"/>
      <c r="Y71" s="1178"/>
      <c r="Z71" s="1178"/>
      <c r="AA71" s="1178"/>
      <c r="AB71" s="1178"/>
      <c r="AC71" s="1178"/>
      <c r="AD71" s="1178"/>
      <c r="AE71" s="1178"/>
      <c r="AF71" s="1178"/>
      <c r="AG71" s="1178"/>
      <c r="AH71" s="1178"/>
      <c r="AI71" s="1178"/>
      <c r="AJ71" s="1178"/>
      <c r="AK71" s="1178"/>
      <c r="AL71" s="1178"/>
      <c r="AM71" s="1178"/>
      <c r="AN71" s="1178"/>
      <c r="AO71" s="1178"/>
      <c r="AP71" s="1178"/>
      <c r="AQ71" s="1178"/>
      <c r="AR71" s="1178"/>
      <c r="AS71" s="1178"/>
      <c r="AT71" s="1178"/>
      <c r="AU71" s="1178"/>
      <c r="AV71" s="1178"/>
      <c r="AW71" s="1178"/>
      <c r="AX71" s="1178"/>
      <c r="AY71" s="1178"/>
      <c r="AZ71" s="1178"/>
      <c r="BA71" s="326"/>
      <c r="BD71" s="297"/>
    </row>
    <row r="72" spans="1:56" ht="12" customHeight="1">
      <c r="A72" s="1188" t="str">
        <f>ФОРМА!B9</f>
        <v>СЭС-23-32939-ЭС-ТКР2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D72" s="297"/>
    </row>
    <row r="73" spans="1:56" s="327" customFormat="1" ht="6" customHeight="1">
      <c r="A73" s="1195" t="s">
        <v>568</v>
      </c>
      <c r="B73" s="1195"/>
      <c r="C73" s="1195"/>
      <c r="D73" s="1195"/>
      <c r="E73" s="1195"/>
      <c r="F73" s="1195"/>
      <c r="G73" s="1195"/>
      <c r="H73" s="1195"/>
      <c r="I73" s="1195"/>
      <c r="J73" s="1195"/>
      <c r="K73" s="1195"/>
      <c r="L73" s="1195"/>
      <c r="M73" s="1195"/>
      <c r="N73" s="1195"/>
      <c r="O73" s="1195"/>
      <c r="P73" s="1195"/>
      <c r="Q73" s="1195"/>
      <c r="R73" s="1195"/>
      <c r="S73" s="1195"/>
      <c r="T73" s="1195"/>
      <c r="U73" s="1195"/>
      <c r="V73" s="1195"/>
      <c r="W73" s="1195"/>
      <c r="X73" s="1195"/>
      <c r="Y73" s="1195"/>
      <c r="Z73" s="1195"/>
      <c r="AA73" s="1195"/>
      <c r="AB73" s="1195"/>
      <c r="AC73" s="1195"/>
      <c r="AD73" s="1195"/>
      <c r="AE73" s="1195"/>
      <c r="AF73" s="1195"/>
      <c r="AG73" s="1195"/>
      <c r="AH73" s="1195"/>
      <c r="AI73" s="1195"/>
      <c r="AJ73" s="1195"/>
      <c r="AK73" s="1195"/>
      <c r="AL73" s="1195"/>
      <c r="AM73" s="1195"/>
      <c r="AN73" s="1195"/>
      <c r="AO73" s="1195"/>
      <c r="AP73" s="1195"/>
      <c r="AQ73" s="1195"/>
      <c r="AR73" s="1195"/>
      <c r="AS73" s="1195"/>
      <c r="AT73" s="1195"/>
      <c r="AU73" s="1195"/>
      <c r="AV73" s="1195"/>
      <c r="AW73" s="1195"/>
      <c r="AX73" s="1195"/>
      <c r="AY73" s="1195"/>
      <c r="AZ73" s="1195"/>
    </row>
    <row r="74" spans="1:56" ht="12" customHeight="1">
      <c r="A74" s="1099" t="str">
        <f>ФОРМА!B8</f>
        <v>ООО «Строительные энергетические технологии»</v>
      </c>
      <c r="B74" s="1099"/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D74" s="297"/>
    </row>
    <row r="75" spans="1:56" s="328" customFormat="1" ht="6" customHeight="1">
      <c r="A75" s="1195" t="s">
        <v>570</v>
      </c>
      <c r="B75" s="1195"/>
      <c r="C75" s="1195"/>
      <c r="D75" s="1195"/>
      <c r="E75" s="1195"/>
      <c r="F75" s="1195"/>
      <c r="G75" s="1195"/>
      <c r="H75" s="1195"/>
      <c r="I75" s="1195"/>
      <c r="J75" s="1195"/>
      <c r="K75" s="1195"/>
      <c r="L75" s="1195"/>
      <c r="M75" s="1195"/>
      <c r="N75" s="1195"/>
      <c r="O75" s="1195"/>
      <c r="P75" s="1195"/>
      <c r="Q75" s="1195"/>
      <c r="R75" s="1195"/>
      <c r="S75" s="1195"/>
      <c r="T75" s="1195"/>
      <c r="U75" s="1195"/>
      <c r="V75" s="1195"/>
      <c r="W75" s="1195"/>
      <c r="X75" s="1195"/>
      <c r="Y75" s="1195"/>
      <c r="Z75" s="1195"/>
      <c r="AA75" s="1195"/>
      <c r="AB75" s="1195"/>
      <c r="AC75" s="1195"/>
      <c r="AD75" s="1195"/>
      <c r="AE75" s="1195"/>
      <c r="AF75" s="1195"/>
      <c r="AG75" s="1195"/>
      <c r="AH75" s="1195"/>
      <c r="AI75" s="1195"/>
      <c r="AJ75" s="1195"/>
      <c r="AK75" s="1195"/>
      <c r="AL75" s="1195"/>
      <c r="AM75" s="1195"/>
      <c r="AN75" s="1195"/>
      <c r="AO75" s="1195"/>
      <c r="AP75" s="1195"/>
      <c r="AQ75" s="1195"/>
      <c r="AR75" s="1195"/>
      <c r="AS75" s="1195"/>
      <c r="AT75" s="1195"/>
      <c r="AU75" s="1195"/>
      <c r="AV75" s="1195"/>
      <c r="AW75" s="1195"/>
      <c r="AX75" s="1195"/>
      <c r="AY75" s="1195"/>
      <c r="AZ75" s="1195"/>
    </row>
    <row r="76" spans="1:56" ht="12" customHeight="1">
      <c r="A76" s="1196" t="s">
        <v>726</v>
      </c>
      <c r="B76" s="1196"/>
      <c r="C76" s="1196"/>
      <c r="D76" s="1196"/>
      <c r="E76" s="1196"/>
      <c r="F76" s="1196"/>
      <c r="G76" s="1196"/>
      <c r="H76" s="1196"/>
      <c r="I76" s="1196"/>
      <c r="J76" s="1196"/>
      <c r="K76" s="1196"/>
      <c r="L76" s="1196"/>
      <c r="M76" s="1196"/>
      <c r="N76" s="1196"/>
      <c r="O76" s="1196"/>
      <c r="P76" s="1196"/>
      <c r="Q76" s="1196"/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</row>
    <row r="77" spans="1:56" s="314" customFormat="1" ht="6" customHeight="1">
      <c r="A77" s="1197" t="s">
        <v>569</v>
      </c>
      <c r="B77" s="1197"/>
      <c r="C77" s="1197"/>
      <c r="D77" s="1197"/>
      <c r="E77" s="1197"/>
      <c r="F77" s="1197"/>
      <c r="G77" s="1197"/>
      <c r="H77" s="1197"/>
      <c r="I77" s="1197"/>
      <c r="J77" s="1197"/>
      <c r="K77" s="1197"/>
      <c r="L77" s="1197"/>
      <c r="M77" s="1197"/>
      <c r="N77" s="1197"/>
      <c r="O77" s="1197"/>
      <c r="P77" s="1197"/>
      <c r="Q77" s="1197"/>
      <c r="R77" s="1197"/>
      <c r="S77" s="1197"/>
      <c r="T77" s="1197"/>
      <c r="U77" s="1197"/>
      <c r="V77" s="1197"/>
      <c r="W77" s="1197"/>
      <c r="X77" s="1197"/>
      <c r="Y77" s="1197"/>
      <c r="Z77" s="1197"/>
      <c r="AA77" s="1197"/>
      <c r="AB77" s="1197"/>
      <c r="AC77" s="1197"/>
      <c r="AD77" s="1197"/>
      <c r="AE77" s="1197"/>
      <c r="AF77" s="1197"/>
      <c r="AG77" s="1197"/>
      <c r="AH77" s="1197"/>
      <c r="AI77" s="1197"/>
      <c r="AJ77" s="1197"/>
      <c r="AK77" s="1197"/>
      <c r="AL77" s="1197"/>
      <c r="AM77" s="1197"/>
      <c r="AN77" s="1197"/>
      <c r="AO77" s="1197"/>
      <c r="AP77" s="1197"/>
      <c r="AQ77" s="1197"/>
      <c r="AR77" s="1197"/>
      <c r="AS77" s="1197"/>
      <c r="AT77" s="1197"/>
      <c r="AU77" s="1197"/>
      <c r="AV77" s="1197"/>
      <c r="AW77" s="1197"/>
      <c r="AX77" s="1197"/>
      <c r="AY77" s="1197"/>
      <c r="AZ77" s="1197"/>
    </row>
    <row r="78" spans="1:56">
      <c r="A78" s="1193" t="s">
        <v>437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1"/>
      <c r="V79" s="1191"/>
      <c r="W79" s="1191"/>
      <c r="X79" s="1191"/>
      <c r="Y79" s="1191"/>
      <c r="Z79" s="1191"/>
      <c r="AA79" s="1191"/>
      <c r="AB79" s="1191"/>
      <c r="AC79" s="1191"/>
      <c r="AD79" s="1191"/>
      <c r="AE79" s="1191"/>
      <c r="AF79" s="1191"/>
      <c r="AG79" s="1191"/>
      <c r="AH79" s="1191"/>
      <c r="AI79" s="1191"/>
      <c r="AJ79" s="1191"/>
      <c r="AK79" s="1191"/>
      <c r="AL79" s="1191"/>
      <c r="AM79" s="1191"/>
      <c r="AN79" s="1191"/>
      <c r="AO79" s="1191"/>
      <c r="AP79" s="1191"/>
      <c r="AQ79" s="1191"/>
      <c r="AR79" s="1191"/>
      <c r="AS79" s="1191"/>
      <c r="AT79" s="1191"/>
      <c r="AU79" s="1191"/>
      <c r="AV79" s="1191"/>
      <c r="AW79" s="1191"/>
      <c r="AX79" s="1191"/>
      <c r="AY79" s="1191"/>
      <c r="AZ79" s="1191"/>
    </row>
    <row r="80" spans="1:56" ht="12" customHeight="1">
      <c r="A80" s="1100" t="s">
        <v>86</v>
      </c>
      <c r="B80" s="1100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0"/>
      <c r="N80" s="1100"/>
      <c r="O80" s="1100"/>
      <c r="P80" s="1192" t="s">
        <v>65</v>
      </c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</row>
    <row r="81" spans="1:53" ht="11.25" customHeight="1"/>
    <row r="82" spans="1:53" ht="12" customHeight="1">
      <c r="A82" s="1193" t="s">
        <v>90</v>
      </c>
      <c r="B82" s="1193"/>
      <c r="C82" s="1193"/>
      <c r="D82" s="1193"/>
      <c r="E82" s="1193"/>
      <c r="F82" s="1193"/>
      <c r="G82" s="1193"/>
      <c r="H82" s="1193"/>
      <c r="I82" s="1193"/>
      <c r="J82" s="1194">
        <f>ФОРМА!F5</f>
        <v>2</v>
      </c>
      <c r="K82" s="1194"/>
      <c r="L82" s="1194"/>
      <c r="M82" s="1194"/>
      <c r="N82" s="1194"/>
      <c r="O82" s="1194"/>
      <c r="P82" s="1100" t="s">
        <v>796</v>
      </c>
      <c r="Q82" s="1100"/>
      <c r="R82" s="1100"/>
      <c r="S82" s="1100"/>
      <c r="T82" s="1100"/>
      <c r="U82" s="1100"/>
      <c r="V82" s="1100"/>
      <c r="W82" s="1100"/>
      <c r="X82" s="1100"/>
      <c r="Y82" s="1100"/>
      <c r="Z82" s="1100"/>
      <c r="AA82" s="1100"/>
      <c r="AB82" s="1100"/>
      <c r="AC82" s="1100"/>
      <c r="AD82" s="1100"/>
      <c r="AE82" s="1100"/>
      <c r="AF82" s="1100"/>
      <c r="AG82" s="1100"/>
      <c r="AH82" s="1100"/>
      <c r="AI82" s="1100"/>
      <c r="AJ82" s="1100"/>
      <c r="AK82" s="1100"/>
      <c r="AL82" s="1100"/>
      <c r="AM82" s="1100"/>
      <c r="AN82" s="1100"/>
      <c r="AO82" s="1100"/>
      <c r="AP82" s="1100"/>
      <c r="AQ82" s="1100"/>
      <c r="AR82" s="1100"/>
      <c r="AS82" s="1100"/>
      <c r="AT82" s="1100"/>
      <c r="AU82" s="1100"/>
      <c r="AV82" s="1100"/>
      <c r="AW82" s="1100"/>
      <c r="AX82" s="1100"/>
      <c r="AY82" s="1100"/>
      <c r="AZ82" s="1100"/>
    </row>
    <row r="84" spans="1:53" ht="12" customHeight="1">
      <c r="A84" s="1193" t="s">
        <v>87</v>
      </c>
      <c r="B84" s="1193"/>
      <c r="C84" s="1193"/>
      <c r="D84" s="1193"/>
      <c r="E84" s="1193"/>
      <c r="F84" s="1193"/>
      <c r="G84" s="1193"/>
      <c r="H84" s="1202" t="s">
        <v>722</v>
      </c>
      <c r="I84" s="1202"/>
      <c r="J84" s="1202"/>
      <c r="K84" s="1202"/>
      <c r="L84" s="1202"/>
      <c r="M84" s="1202"/>
      <c r="N84" s="1202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2"/>
      <c r="Z84" s="1202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2"/>
      <c r="AL84" s="1202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2"/>
      <c r="AX84" s="1202"/>
      <c r="AY84" s="1202"/>
      <c r="AZ84" s="1202"/>
    </row>
    <row r="85" spans="1:53" s="325" customFormat="1" ht="6" customHeight="1">
      <c r="H85" s="1203" t="s">
        <v>522</v>
      </c>
      <c r="I85" s="1203"/>
      <c r="J85" s="1203"/>
      <c r="K85" s="1203"/>
      <c r="L85" s="1203"/>
      <c r="M85" s="1203"/>
      <c r="N85" s="1203"/>
      <c r="O85" s="1203"/>
      <c r="P85" s="1203"/>
      <c r="Q85" s="1203"/>
      <c r="R85" s="1203"/>
      <c r="S85" s="1203"/>
      <c r="T85" s="1203"/>
      <c r="U85" s="1203"/>
      <c r="V85" s="1203"/>
      <c r="W85" s="1203"/>
      <c r="X85" s="1203"/>
      <c r="Y85" s="1203"/>
      <c r="Z85" s="1203"/>
      <c r="AA85" s="1203"/>
      <c r="AB85" s="1203"/>
      <c r="AC85" s="1203"/>
      <c r="AD85" s="1203"/>
      <c r="AE85" s="1203"/>
      <c r="AF85" s="1203"/>
      <c r="AG85" s="1203"/>
      <c r="AH85" s="1203"/>
      <c r="AI85" s="1203"/>
      <c r="AJ85" s="1203"/>
      <c r="AK85" s="1203"/>
      <c r="AL85" s="1203"/>
      <c r="AM85" s="1203"/>
      <c r="AN85" s="1203"/>
      <c r="AO85" s="1203"/>
      <c r="AP85" s="1203"/>
      <c r="AQ85" s="1203"/>
      <c r="AR85" s="1203"/>
      <c r="AS85" s="1203"/>
      <c r="AT85" s="1203"/>
      <c r="AU85" s="1203"/>
      <c r="AV85" s="1203"/>
      <c r="AW85" s="1203"/>
      <c r="AX85" s="1203"/>
      <c r="AY85" s="1203"/>
      <c r="AZ85" s="1203"/>
    </row>
    <row r="86" spans="1:53" ht="24" customHeight="1">
      <c r="A86" s="1198" t="s">
        <v>780</v>
      </c>
      <c r="B86" s="1198"/>
      <c r="C86" s="1198"/>
      <c r="D86" s="1198"/>
      <c r="E86" s="1198"/>
      <c r="F86" s="1198"/>
      <c r="G86" s="1198"/>
      <c r="H86" s="1198"/>
      <c r="I86" s="1198"/>
      <c r="J86" s="1198"/>
      <c r="K86" s="1198"/>
      <c r="L86" s="1198"/>
      <c r="M86" s="1198"/>
      <c r="N86" s="1198"/>
      <c r="O86" s="1198"/>
      <c r="P86" s="1198"/>
      <c r="Q86" s="1198"/>
      <c r="R86" s="1198"/>
      <c r="S86" s="1198"/>
      <c r="T86" s="1198"/>
      <c r="U86" s="1198"/>
      <c r="V86" s="1198"/>
      <c r="W86" s="1198"/>
      <c r="X86" s="1198"/>
      <c r="Y86" s="1198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8"/>
      <c r="AP86" s="1198"/>
      <c r="AQ86" s="1198"/>
      <c r="AR86" s="1198"/>
      <c r="AS86" s="1198"/>
      <c r="AT86" s="1198"/>
      <c r="AU86" s="1198"/>
      <c r="AV86" s="1198"/>
      <c r="AW86" s="1198"/>
      <c r="AX86" s="1198"/>
      <c r="AY86" s="1198"/>
      <c r="AZ86" s="1198"/>
    </row>
    <row r="87" spans="1:53" ht="27" customHeight="1">
      <c r="A87" s="1204" t="str">
        <f>IF(ПОДПИСИ!B9="",ПОДПИСИ!D7,ПОДПИСИ!D9)</f>
        <v>Филёва Н.О.</v>
      </c>
      <c r="B87" s="1204"/>
      <c r="C87" s="1204"/>
      <c r="D87" s="1204"/>
      <c r="E87" s="1204"/>
      <c r="F87" s="1204"/>
      <c r="G87" s="1204"/>
      <c r="H87" s="1204"/>
      <c r="I87" s="1204"/>
      <c r="J87" s="1204"/>
      <c r="K87" s="1204"/>
      <c r="L87" s="1204"/>
      <c r="M87" s="1204"/>
      <c r="N87" s="1204"/>
      <c r="O87" s="1204"/>
      <c r="P87" s="1204"/>
      <c r="Q87" s="1204"/>
      <c r="R87" s="1204"/>
      <c r="S87" s="1204"/>
      <c r="T87" s="1204"/>
      <c r="U87" s="1204"/>
      <c r="V87" s="1204"/>
      <c r="W87" s="1204"/>
      <c r="X87" s="1204"/>
      <c r="Y87" s="1204"/>
      <c r="Z87" s="1205"/>
      <c r="AA87" s="1205"/>
      <c r="AB87" s="1205"/>
      <c r="AC87" s="1205"/>
      <c r="AD87" s="1205"/>
      <c r="AE87" s="1205"/>
      <c r="AF87" s="1205"/>
      <c r="AG87" s="1205"/>
      <c r="AH87" s="1205"/>
      <c r="AI87" s="1205"/>
      <c r="AJ87" s="1205"/>
      <c r="AK87" s="1205"/>
      <c r="AL87" s="1205"/>
      <c r="AM87" s="1205"/>
      <c r="AN87" s="1205"/>
      <c r="AO87" s="1206"/>
      <c r="AP87" s="1206"/>
      <c r="AQ87" s="1206"/>
      <c r="AR87" s="1206"/>
      <c r="AS87" s="1206"/>
      <c r="AT87" s="1206"/>
      <c r="AU87" s="1206"/>
      <c r="AV87" s="1206"/>
      <c r="AW87" s="1206"/>
      <c r="AX87" s="1206"/>
      <c r="AY87" s="1206"/>
      <c r="AZ87" s="1206"/>
    </row>
    <row r="88" spans="1:53" s="314" customFormat="1" ht="6" customHeight="1">
      <c r="A88" s="1180" t="s">
        <v>799</v>
      </c>
      <c r="B88" s="1180"/>
      <c r="C88" s="1180"/>
      <c r="D88" s="1180"/>
      <c r="E88" s="1180"/>
      <c r="F88" s="1180"/>
      <c r="G88" s="1180"/>
      <c r="H88" s="1180"/>
      <c r="I88" s="1180"/>
      <c r="J88" s="1180"/>
      <c r="K88" s="1180"/>
      <c r="L88" s="1180"/>
      <c r="M88" s="1180"/>
      <c r="N88" s="1180"/>
      <c r="O88" s="1180"/>
      <c r="P88" s="1180"/>
      <c r="Q88" s="1180"/>
      <c r="R88" s="1180"/>
      <c r="S88" s="1180"/>
      <c r="T88" s="1180"/>
      <c r="U88" s="1180"/>
      <c r="V88" s="1180"/>
      <c r="W88" s="1180"/>
      <c r="X88" s="1180"/>
      <c r="Y88" s="118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80" t="s">
        <v>49</v>
      </c>
      <c r="AP88" s="1180"/>
      <c r="AQ88" s="1180"/>
      <c r="AR88" s="1180"/>
      <c r="AS88" s="1180"/>
      <c r="AT88" s="1180"/>
      <c r="AU88" s="1180"/>
      <c r="AV88" s="1180"/>
      <c r="AW88" s="1180"/>
      <c r="AX88" s="1180"/>
      <c r="AY88" s="1180"/>
      <c r="AZ88" s="1180"/>
    </row>
    <row r="89" spans="1:53" ht="6" customHeight="1"/>
    <row r="90" spans="1:53" ht="12" customHeight="1">
      <c r="A90" s="1198" t="s">
        <v>815</v>
      </c>
      <c r="B90" s="1100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0"/>
      <c r="N90" s="1100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0"/>
      <c r="Z90" s="1100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0"/>
      <c r="AL90" s="1100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0"/>
      <c r="AX90" s="1100"/>
      <c r="AY90" s="1100"/>
      <c r="AZ90" s="1100"/>
    </row>
    <row r="91" spans="1:53" ht="27" customHeight="1">
      <c r="A91" s="1199" t="str">
        <f>ПОДПИСИ!D15</f>
        <v>Матвеев А.С.</v>
      </c>
      <c r="B91" s="1199"/>
      <c r="C91" s="1199"/>
      <c r="D91" s="1199"/>
      <c r="E91" s="1199"/>
      <c r="F91" s="1199"/>
      <c r="G91" s="1199"/>
      <c r="H91" s="1199"/>
      <c r="I91" s="1199"/>
      <c r="J91" s="1199"/>
      <c r="K91" s="1199"/>
      <c r="L91" s="1199"/>
      <c r="M91" s="1199"/>
      <c r="N91" s="1199"/>
      <c r="O91" s="1199"/>
      <c r="P91" s="1199"/>
      <c r="Q91" s="1199"/>
      <c r="R91" s="1199"/>
      <c r="S91" s="1199"/>
      <c r="T91" s="1199"/>
      <c r="U91" s="1199"/>
      <c r="V91" s="1199"/>
      <c r="W91" s="1199"/>
      <c r="X91" s="1199"/>
      <c r="Y91" s="1199"/>
      <c r="Z91" s="1200"/>
      <c r="AA91" s="1200"/>
      <c r="AB91" s="1200"/>
      <c r="AC91" s="1200"/>
      <c r="AD91" s="1200"/>
      <c r="AE91" s="1200"/>
      <c r="AF91" s="1200"/>
      <c r="AG91" s="1200"/>
      <c r="AH91" s="1200"/>
      <c r="AI91" s="1200"/>
      <c r="AJ91" s="1200"/>
      <c r="AK91" s="1200"/>
      <c r="AL91" s="1200"/>
      <c r="AM91" s="1200"/>
      <c r="AN91" s="1200"/>
      <c r="AO91" s="1201"/>
      <c r="AP91" s="1201"/>
      <c r="AQ91" s="1201"/>
      <c r="AR91" s="1201"/>
      <c r="AS91" s="1201"/>
      <c r="AT91" s="1201"/>
      <c r="AU91" s="1201"/>
      <c r="AV91" s="1201"/>
      <c r="AW91" s="1201"/>
      <c r="AX91" s="1201"/>
      <c r="AY91" s="1201"/>
      <c r="AZ91" s="1201"/>
      <c r="BA91" s="330"/>
    </row>
    <row r="92" spans="1:53" s="333" customFormat="1" ht="6" customHeight="1">
      <c r="A92" s="1180" t="s">
        <v>799</v>
      </c>
      <c r="B92" s="1180"/>
      <c r="C92" s="1180"/>
      <c r="D92" s="1180"/>
      <c r="E92" s="1180"/>
      <c r="F92" s="1180"/>
      <c r="G92" s="1180"/>
      <c r="H92" s="1180"/>
      <c r="I92" s="1180"/>
      <c r="J92" s="1180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  <c r="U92" s="1180"/>
      <c r="V92" s="1180"/>
      <c r="W92" s="1180"/>
      <c r="X92" s="1180"/>
      <c r="Y92" s="118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80" t="s">
        <v>49</v>
      </c>
      <c r="AP92" s="1180"/>
      <c r="AQ92" s="1180"/>
      <c r="AR92" s="1180"/>
      <c r="AS92" s="1180"/>
      <c r="AT92" s="1180"/>
      <c r="AU92" s="1180"/>
      <c r="AV92" s="1180"/>
      <c r="AW92" s="1180"/>
      <c r="AX92" s="1180"/>
      <c r="AY92" s="1180"/>
      <c r="AZ92" s="1180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209" t="s">
        <v>811</v>
      </c>
      <c r="B94" s="1209"/>
      <c r="C94" s="1209"/>
      <c r="D94" s="1209"/>
      <c r="E94" s="1209"/>
      <c r="F94" s="1209"/>
      <c r="G94" s="1209"/>
      <c r="H94" s="1209"/>
      <c r="I94" s="1209"/>
      <c r="J94" s="1209"/>
      <c r="K94" s="1209"/>
      <c r="L94" s="1209"/>
      <c r="M94" s="1209"/>
      <c r="N94" s="1209"/>
      <c r="O94" s="1209"/>
      <c r="P94" s="1209"/>
      <c r="Q94" s="1209"/>
      <c r="R94" s="1209"/>
      <c r="S94" s="1209"/>
      <c r="T94" s="1209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209"/>
      <c r="AT94" s="1209"/>
      <c r="AU94" s="1209"/>
      <c r="AV94" s="1209"/>
      <c r="AW94" s="1209"/>
      <c r="AX94" s="1209"/>
      <c r="AY94" s="1209"/>
      <c r="AZ94" s="1209"/>
      <c r="BA94" s="330"/>
    </row>
    <row r="95" spans="1:53" ht="27" customHeight="1">
      <c r="A95" s="1199" t="str">
        <f>ПОДПИСИ!D17</f>
        <v>Матвеев А.С.</v>
      </c>
      <c r="B95" s="1199"/>
      <c r="C95" s="1199"/>
      <c r="D95" s="1199"/>
      <c r="E95" s="1199"/>
      <c r="F95" s="1199"/>
      <c r="G95" s="1199"/>
      <c r="H95" s="1199"/>
      <c r="I95" s="1199"/>
      <c r="J95" s="1199"/>
      <c r="K95" s="1199"/>
      <c r="L95" s="1199"/>
      <c r="M95" s="1199"/>
      <c r="N95" s="1199"/>
      <c r="O95" s="1199"/>
      <c r="P95" s="1199"/>
      <c r="Q95" s="1199"/>
      <c r="R95" s="1199"/>
      <c r="S95" s="1199"/>
      <c r="T95" s="1199"/>
      <c r="U95" s="1199"/>
      <c r="V95" s="1199"/>
      <c r="W95" s="1199"/>
      <c r="X95" s="1199"/>
      <c r="Y95" s="1199"/>
      <c r="Z95" s="1200"/>
      <c r="AA95" s="1200"/>
      <c r="AB95" s="1200"/>
      <c r="AC95" s="1200"/>
      <c r="AD95" s="1200"/>
      <c r="AE95" s="1200"/>
      <c r="AF95" s="1200"/>
      <c r="AG95" s="1200"/>
      <c r="AH95" s="1200"/>
      <c r="AI95" s="1200"/>
      <c r="AJ95" s="1200"/>
      <c r="AK95" s="1200"/>
      <c r="AL95" s="1200"/>
      <c r="AM95" s="1200"/>
      <c r="AN95" s="1200"/>
      <c r="AO95" s="1210" t="s">
        <v>64</v>
      </c>
      <c r="AP95" s="1210"/>
      <c r="AQ95" s="1210"/>
      <c r="AR95" s="1210"/>
      <c r="AS95" s="1210"/>
      <c r="AT95" s="1210"/>
      <c r="AU95" s="1210"/>
      <c r="AV95" s="1210"/>
      <c r="AW95" s="1210"/>
      <c r="AX95" s="1210"/>
      <c r="AY95" s="1210"/>
      <c r="AZ95" s="1210"/>
      <c r="BA95" s="1210"/>
    </row>
    <row r="96" spans="1:53" ht="6" customHeight="1">
      <c r="A96" s="1180" t="s">
        <v>799</v>
      </c>
      <c r="B96" s="1180"/>
      <c r="C96" s="1180"/>
      <c r="D96" s="1180"/>
      <c r="E96" s="1180"/>
      <c r="F96" s="1180"/>
      <c r="G96" s="1180"/>
      <c r="H96" s="1180"/>
      <c r="I96" s="1180"/>
      <c r="J96" s="1180"/>
      <c r="K96" s="1180"/>
      <c r="L96" s="1180"/>
      <c r="M96" s="1180"/>
      <c r="N96" s="1180"/>
      <c r="O96" s="1180"/>
      <c r="P96" s="1180"/>
      <c r="Q96" s="1180"/>
      <c r="R96" s="1180"/>
      <c r="S96" s="1180"/>
      <c r="T96" s="1180"/>
      <c r="U96" s="1180"/>
      <c r="V96" s="1180"/>
      <c r="W96" s="1180"/>
      <c r="X96" s="1180"/>
      <c r="Y96" s="118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80" t="s">
        <v>49</v>
      </c>
      <c r="AP96" s="1180"/>
      <c r="AQ96" s="1180"/>
      <c r="AR96" s="1180"/>
      <c r="AS96" s="1180"/>
      <c r="AT96" s="1180"/>
      <c r="AU96" s="1180"/>
      <c r="AV96" s="1180"/>
      <c r="AW96" s="1180"/>
      <c r="AX96" s="1180"/>
      <c r="AY96" s="1180"/>
      <c r="AZ96" s="1180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207" t="s">
        <v>801</v>
      </c>
      <c r="B98" s="1208"/>
      <c r="C98" s="1208"/>
      <c r="D98" s="1208"/>
      <c r="E98" s="1208"/>
      <c r="F98" s="1208"/>
      <c r="G98" s="1208"/>
      <c r="H98" s="1208"/>
      <c r="I98" s="1208"/>
      <c r="J98" s="1208"/>
      <c r="K98" s="1208"/>
      <c r="L98" s="1208"/>
      <c r="M98" s="1208"/>
      <c r="N98" s="1208"/>
      <c r="O98" s="1208"/>
      <c r="P98" s="1208"/>
      <c r="Q98" s="1208"/>
      <c r="R98" s="1208"/>
      <c r="S98" s="1208"/>
      <c r="T98" s="1208"/>
      <c r="U98" s="1208"/>
      <c r="V98" s="1208"/>
      <c r="W98" s="1208"/>
      <c r="X98" s="1208"/>
      <c r="Y98" s="1208"/>
      <c r="Z98" s="1208"/>
      <c r="AA98" s="1208"/>
      <c r="AB98" s="1208"/>
      <c r="AC98" s="1208"/>
      <c r="AD98" s="1208"/>
      <c r="AE98" s="1208"/>
      <c r="AF98" s="1208"/>
      <c r="AG98" s="1208"/>
      <c r="AH98" s="1208"/>
      <c r="AI98" s="1208"/>
      <c r="AJ98" s="1208"/>
      <c r="AK98" s="1208"/>
      <c r="AL98" s="1208"/>
      <c r="AM98" s="1208"/>
      <c r="AN98" s="1208"/>
      <c r="AO98" s="1208"/>
      <c r="AP98" s="1208"/>
      <c r="AQ98" s="1208"/>
      <c r="AR98" s="1208"/>
      <c r="AS98" s="1208"/>
      <c r="AT98" s="1208"/>
      <c r="AU98" s="1208"/>
      <c r="AV98" s="1208"/>
      <c r="AW98" s="1208"/>
      <c r="AX98" s="1208"/>
      <c r="AY98" s="1208"/>
      <c r="AZ98" s="1208"/>
      <c r="BA98" s="330"/>
    </row>
    <row r="99" spans="1:55" ht="27" customHeight="1">
      <c r="A99" s="1199" t="str">
        <f>ПОДПИСИ!D19</f>
        <v xml:space="preserve"> </v>
      </c>
      <c r="B99" s="1199"/>
      <c r="C99" s="1199"/>
      <c r="D99" s="1199"/>
      <c r="E99" s="1199"/>
      <c r="F99" s="1199"/>
      <c r="G99" s="1199"/>
      <c r="H99" s="1199"/>
      <c r="I99" s="1199"/>
      <c r="J99" s="1199"/>
      <c r="K99" s="1199"/>
      <c r="L99" s="1199"/>
      <c r="M99" s="1199"/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200"/>
      <c r="AA99" s="1200"/>
      <c r="AB99" s="1200"/>
      <c r="AC99" s="1200"/>
      <c r="AD99" s="1200"/>
      <c r="AE99" s="1200"/>
      <c r="AF99" s="1200"/>
      <c r="AG99" s="1200"/>
      <c r="AH99" s="1200"/>
      <c r="AI99" s="1200"/>
      <c r="AJ99" s="1200"/>
      <c r="AK99" s="1200"/>
      <c r="AL99" s="1200"/>
      <c r="AM99" s="1200"/>
      <c r="AN99" s="1200"/>
      <c r="AO99" s="1201" t="s">
        <v>64</v>
      </c>
      <c r="AP99" s="1201"/>
      <c r="AQ99" s="1201"/>
      <c r="AR99" s="1201"/>
      <c r="AS99" s="1201"/>
      <c r="AT99" s="1201"/>
      <c r="AU99" s="1201"/>
      <c r="AV99" s="1201"/>
      <c r="AW99" s="1201"/>
      <c r="AX99" s="1201"/>
      <c r="AY99" s="1201"/>
      <c r="AZ99" s="1201"/>
      <c r="BA99" s="336"/>
    </row>
    <row r="100" spans="1:55" ht="6" customHeight="1">
      <c r="A100" s="1180" t="s">
        <v>799</v>
      </c>
      <c r="B100" s="1180"/>
      <c r="C100" s="1180"/>
      <c r="D100" s="1180"/>
      <c r="E100" s="1180"/>
      <c r="F100" s="1180"/>
      <c r="G100" s="1180"/>
      <c r="H100" s="1180"/>
      <c r="I100" s="1180"/>
      <c r="J100" s="1180"/>
      <c r="K100" s="1180"/>
      <c r="L100" s="1180"/>
      <c r="M100" s="1180"/>
      <c r="N100" s="1180"/>
      <c r="O100" s="1180"/>
      <c r="P100" s="1180"/>
      <c r="Q100" s="1180"/>
      <c r="R100" s="1180"/>
      <c r="S100" s="1180"/>
      <c r="T100" s="1180"/>
      <c r="U100" s="1180"/>
      <c r="V100" s="1180"/>
      <c r="W100" s="1180"/>
      <c r="X100" s="1180"/>
      <c r="Y100" s="118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80" t="s">
        <v>49</v>
      </c>
      <c r="AP100" s="1180"/>
      <c r="AQ100" s="1180"/>
      <c r="AR100" s="1180"/>
      <c r="AS100" s="1180"/>
      <c r="AT100" s="1180"/>
      <c r="AU100" s="1180"/>
      <c r="AV100" s="1180"/>
      <c r="AW100" s="1180"/>
      <c r="AX100" s="1180"/>
      <c r="AY100" s="1180"/>
      <c r="AZ100" s="1180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207" t="s">
        <v>816</v>
      </c>
      <c r="B102" s="1207"/>
      <c r="C102" s="1207"/>
      <c r="D102" s="1207"/>
      <c r="E102" s="1207"/>
      <c r="F102" s="1207"/>
      <c r="G102" s="1207"/>
      <c r="H102" s="1207"/>
      <c r="I102" s="1207"/>
      <c r="J102" s="1207"/>
      <c r="K102" s="1207"/>
      <c r="L102" s="1207"/>
      <c r="M102" s="1207"/>
      <c r="N102" s="1207"/>
      <c r="O102" s="1207"/>
      <c r="P102" s="1207"/>
      <c r="Q102" s="1207"/>
      <c r="R102" s="1207"/>
      <c r="S102" s="1207"/>
      <c r="T102" s="1207"/>
      <c r="U102" s="1207"/>
      <c r="V102" s="1207"/>
      <c r="W102" s="1207"/>
      <c r="X102" s="1207"/>
      <c r="Y102" s="1207"/>
      <c r="Z102" s="1207"/>
      <c r="AA102" s="1207"/>
      <c r="AB102" s="1207"/>
      <c r="AC102" s="1207"/>
      <c r="AD102" s="1207"/>
      <c r="AE102" s="1207"/>
      <c r="AF102" s="1207"/>
      <c r="AG102" s="1207"/>
      <c r="AH102" s="1207"/>
      <c r="AI102" s="1207"/>
      <c r="AJ102" s="1207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07"/>
      <c r="AZ102" s="1207"/>
      <c r="BA102" s="330"/>
    </row>
    <row r="103" spans="1:55" ht="27" customHeight="1">
      <c r="A103" s="1199" t="str">
        <f>ПОДПИСИ!D14</f>
        <v>Алексеенков Д.С.</v>
      </c>
      <c r="B103" s="1199"/>
      <c r="C103" s="1199"/>
      <c r="D103" s="1199"/>
      <c r="E103" s="1199"/>
      <c r="F103" s="1199"/>
      <c r="G103" s="1199"/>
      <c r="H103" s="1199"/>
      <c r="I103" s="1199"/>
      <c r="J103" s="1199"/>
      <c r="K103" s="1199"/>
      <c r="L103" s="1199"/>
      <c r="M103" s="1199"/>
      <c r="N103" s="1199"/>
      <c r="O103" s="1199"/>
      <c r="P103" s="1199"/>
      <c r="Q103" s="1199"/>
      <c r="R103" s="1199"/>
      <c r="S103" s="1199"/>
      <c r="T103" s="1199"/>
      <c r="U103" s="1199"/>
      <c r="V103" s="1199"/>
      <c r="W103" s="1199"/>
      <c r="X103" s="1199"/>
      <c r="Y103" s="1199"/>
      <c r="Z103" s="1200"/>
      <c r="AA103" s="1200"/>
      <c r="AB103" s="1200"/>
      <c r="AC103" s="1200"/>
      <c r="AD103" s="1200"/>
      <c r="AE103" s="1200"/>
      <c r="AF103" s="1200"/>
      <c r="AG103" s="1200"/>
      <c r="AH103" s="1200"/>
      <c r="AI103" s="1200"/>
      <c r="AJ103" s="1200"/>
      <c r="AK103" s="1200"/>
      <c r="AL103" s="1200"/>
      <c r="AM103" s="1200"/>
      <c r="AN103" s="1200"/>
      <c r="AO103" s="1201"/>
      <c r="AP103" s="1201"/>
      <c r="AQ103" s="1201"/>
      <c r="AR103" s="1201"/>
      <c r="AS103" s="1201"/>
      <c r="AT103" s="1201"/>
      <c r="AU103" s="1201"/>
      <c r="AV103" s="1201"/>
      <c r="AW103" s="1201"/>
      <c r="AX103" s="1201"/>
      <c r="AY103" s="1201"/>
      <c r="AZ103" s="1201"/>
      <c r="BA103" s="337"/>
      <c r="BB103" s="316"/>
      <c r="BC103" s="316"/>
    </row>
    <row r="104" spans="1:55" s="305" customFormat="1" ht="6" customHeight="1">
      <c r="A104" s="1180" t="s">
        <v>799</v>
      </c>
      <c r="B104" s="1180"/>
      <c r="C104" s="1180"/>
      <c r="D104" s="1180"/>
      <c r="E104" s="1180"/>
      <c r="F104" s="1180"/>
      <c r="G104" s="1180"/>
      <c r="H104" s="1180"/>
      <c r="I104" s="1180"/>
      <c r="J104" s="1180"/>
      <c r="K104" s="1180"/>
      <c r="L104" s="1180"/>
      <c r="M104" s="1180"/>
      <c r="N104" s="1180"/>
      <c r="O104" s="1180"/>
      <c r="P104" s="1180"/>
      <c r="Q104" s="1180"/>
      <c r="R104" s="1180"/>
      <c r="S104" s="1180"/>
      <c r="T104" s="1180"/>
      <c r="U104" s="1180"/>
      <c r="V104" s="1180"/>
      <c r="W104" s="1180"/>
      <c r="X104" s="1180"/>
      <c r="Y104" s="118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80" t="s">
        <v>49</v>
      </c>
      <c r="AP104" s="1180"/>
      <c r="AQ104" s="1180"/>
      <c r="AR104" s="1180"/>
      <c r="AS104" s="1180"/>
      <c r="AT104" s="1180"/>
      <c r="AU104" s="1180"/>
      <c r="AV104" s="1180"/>
      <c r="AW104" s="1180"/>
      <c r="AX104" s="1180"/>
      <c r="AY104" s="1180"/>
      <c r="AZ104" s="1180"/>
    </row>
    <row r="105" spans="1:55">
      <c r="A105" s="1163" t="s">
        <v>942</v>
      </c>
      <c r="B105" s="1163"/>
      <c r="C105" s="1163"/>
      <c r="D105" s="1163"/>
      <c r="E105" s="1163"/>
      <c r="F105" s="1163"/>
      <c r="G105" s="1163"/>
      <c r="H105" s="1163"/>
      <c r="I105" s="1163"/>
      <c r="J105" s="1163"/>
      <c r="K105" s="1163"/>
      <c r="L105" s="1163"/>
      <c r="M105" s="1163"/>
      <c r="N105" s="1163"/>
      <c r="O105" s="1163"/>
      <c r="P105" s="1163"/>
      <c r="Q105" s="1163"/>
      <c r="R105" s="1163"/>
      <c r="S105" s="1163"/>
      <c r="T105" s="1163"/>
      <c r="U105" s="1163"/>
      <c r="V105" s="1163"/>
      <c r="W105" s="1163"/>
      <c r="X105" s="1163"/>
      <c r="Y105" s="1163"/>
      <c r="Z105" s="1163"/>
      <c r="AA105" s="1163"/>
      <c r="AB105" s="1163"/>
      <c r="AC105" s="1163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V105" s="1163"/>
      <c r="AW105" s="1163"/>
      <c r="AX105" s="1163"/>
      <c r="AY105" s="1163"/>
      <c r="AZ105" s="1163"/>
    </row>
    <row r="106" spans="1:55" ht="27" customHeight="1">
      <c r="A106" s="1158" t="str">
        <f>IF(ПОДПИСИ!D9="","",ПОДПИСИ!D7)</f>
        <v>Чечин Д.М.</v>
      </c>
      <c r="B106" s="1158"/>
      <c r="C106" s="1158"/>
      <c r="D106" s="1158"/>
      <c r="E106" s="1158"/>
      <c r="F106" s="1158"/>
      <c r="G106" s="1158"/>
      <c r="H106" s="1158"/>
      <c r="I106" s="1158"/>
      <c r="J106" s="1158"/>
      <c r="K106" s="1158"/>
      <c r="L106" s="1158"/>
      <c r="M106" s="1158"/>
      <c r="N106" s="1158"/>
      <c r="O106" s="1158"/>
      <c r="P106" s="1158"/>
      <c r="Q106" s="1158"/>
      <c r="R106" s="1158"/>
      <c r="S106" s="1158"/>
      <c r="T106" s="1158"/>
      <c r="U106" s="1158"/>
      <c r="V106" s="1158"/>
      <c r="W106" s="1158"/>
      <c r="X106" s="1158"/>
      <c r="Y106" s="1158"/>
      <c r="Z106" s="1159"/>
      <c r="AA106" s="1159"/>
      <c r="AB106" s="1159"/>
      <c r="AC106" s="1159"/>
      <c r="AD106" s="1159"/>
      <c r="AE106" s="1159"/>
      <c r="AF106" s="1159"/>
      <c r="AG106" s="1159"/>
      <c r="AH106" s="1159"/>
      <c r="AI106" s="1159"/>
      <c r="AJ106" s="1159"/>
      <c r="AK106" s="1159"/>
      <c r="AL106" s="1159"/>
      <c r="AM106" s="1159"/>
      <c r="AN106" s="1159"/>
      <c r="AO106" s="1160"/>
      <c r="AP106" s="1160"/>
      <c r="AQ106" s="1160"/>
      <c r="AR106" s="1160"/>
      <c r="AS106" s="1160"/>
      <c r="AT106" s="1160"/>
      <c r="AU106" s="1160"/>
      <c r="AV106" s="1160"/>
      <c r="AW106" s="1160"/>
      <c r="AX106" s="1160"/>
      <c r="AY106" s="1160"/>
      <c r="AZ106" s="1160"/>
    </row>
    <row r="107" spans="1:55" ht="6.75" customHeight="1">
      <c r="A107" s="1131" t="s">
        <v>799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  <c r="L107" s="1131"/>
      <c r="M107" s="1131"/>
      <c r="N107" s="1131"/>
      <c r="O107" s="1131"/>
      <c r="P107" s="1131"/>
      <c r="Q107" s="1131"/>
      <c r="R107" s="1131"/>
      <c r="S107" s="1131"/>
      <c r="T107" s="1131"/>
      <c r="U107" s="1131"/>
      <c r="V107" s="1131"/>
      <c r="W107" s="1131"/>
      <c r="X107" s="1131"/>
      <c r="Y107" s="113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31" t="s">
        <v>49</v>
      </c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4" outlineLevelRow="1"/>
  <cols>
    <col min="1" max="24" width="1.7265625" style="284" customWidth="1"/>
    <col min="25" max="25" width="4.54296875" style="284" customWidth="1"/>
    <col min="26" max="51" width="1.7265625" style="284" customWidth="1"/>
    <col min="52" max="52" width="4.1796875" style="284" customWidth="1"/>
    <col min="53" max="53" width="0.1796875" style="284" hidden="1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65" t="s">
        <v>567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165"/>
      <c r="AW1" s="1165"/>
      <c r="AX1" s="1165"/>
      <c r="AY1" s="1165"/>
      <c r="AZ1" s="1165"/>
      <c r="BA1" s="317"/>
    </row>
    <row r="2" spans="1:63" ht="12" customHeight="1">
      <c r="A2" s="1166" t="s">
        <v>72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  <c r="W3" s="1167"/>
      <c r="X3" s="1167"/>
      <c r="Y3" s="1167"/>
      <c r="Z3" s="1167"/>
      <c r="AA3" s="1167"/>
      <c r="AB3" s="1167"/>
      <c r="AC3" s="1167"/>
      <c r="AD3" s="1167"/>
      <c r="AE3" s="1167"/>
      <c r="AF3" s="1167"/>
      <c r="AG3" s="1167"/>
      <c r="AH3" s="1167"/>
      <c r="AI3" s="1167"/>
      <c r="AJ3" s="1167"/>
      <c r="AK3" s="1167"/>
      <c r="AL3" s="1167"/>
      <c r="AM3" s="1167"/>
      <c r="AN3" s="1167"/>
      <c r="AO3" s="1167"/>
      <c r="AP3" s="1167"/>
      <c r="AQ3" s="1167"/>
      <c r="AR3" s="1167"/>
      <c r="AS3" s="1167"/>
      <c r="AT3" s="1167"/>
      <c r="AU3" s="1167"/>
      <c r="AV3" s="1167"/>
      <c r="AW3" s="1167"/>
      <c r="AX3" s="1167"/>
      <c r="AY3" s="1167"/>
      <c r="AZ3" s="1167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168" t="s">
        <v>804</v>
      </c>
      <c r="B4" s="1168"/>
      <c r="C4" s="1168"/>
      <c r="D4" s="1168"/>
      <c r="E4" s="1168"/>
      <c r="F4" s="1168"/>
      <c r="G4" s="1168"/>
      <c r="H4" s="1168"/>
      <c r="I4" s="1168"/>
      <c r="J4" s="1168"/>
      <c r="K4" s="1168"/>
      <c r="L4" s="1168"/>
      <c r="M4" s="1168"/>
      <c r="N4" s="1168"/>
      <c r="O4" s="1168"/>
      <c r="P4" s="1168"/>
      <c r="Q4" s="1168"/>
      <c r="R4" s="1168"/>
      <c r="S4" s="1168"/>
      <c r="T4" s="1168"/>
      <c r="U4" s="1168"/>
      <c r="V4" s="1168"/>
      <c r="W4" s="1168"/>
      <c r="X4" s="1168"/>
      <c r="Y4" s="1168"/>
      <c r="Z4" s="1168"/>
      <c r="AA4" s="1168"/>
      <c r="AB4" s="1168"/>
      <c r="AC4" s="1168"/>
      <c r="AD4" s="1168"/>
      <c r="AE4" s="1168"/>
      <c r="AF4" s="1168"/>
      <c r="AG4" s="1168"/>
      <c r="AH4" s="1168"/>
      <c r="AI4" s="1168"/>
      <c r="AJ4" s="1168"/>
      <c r="AK4" s="1168"/>
      <c r="AL4" s="1168"/>
      <c r="AM4" s="1168"/>
      <c r="AN4" s="1168"/>
      <c r="AO4" s="1168"/>
      <c r="AP4" s="1168"/>
      <c r="AQ4" s="1168"/>
      <c r="AR4" s="1168"/>
      <c r="AS4" s="1168"/>
      <c r="AT4" s="1168"/>
      <c r="AU4" s="1168"/>
      <c r="AV4" s="1168"/>
      <c r="AW4" s="1168"/>
      <c r="AX4" s="1168"/>
      <c r="AY4" s="1168"/>
      <c r="AZ4" s="116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53" t="s">
        <v>771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3"/>
      <c r="AT5" s="1153"/>
      <c r="AU5" s="1153"/>
      <c r="AV5" s="1153"/>
      <c r="AW5" s="1153"/>
      <c r="AX5" s="1153"/>
      <c r="AY5" s="1153"/>
      <c r="AZ5" s="115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69" t="str">
        <f>ФОРМА!B2</f>
        <v>ПАО "Россети Ленэнерго"</v>
      </c>
      <c r="B6" s="1169"/>
      <c r="C6" s="1169"/>
      <c r="D6" s="1169"/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9"/>
      <c r="S6" s="1169"/>
      <c r="T6" s="1169"/>
      <c r="U6" s="1169"/>
      <c r="V6" s="1169"/>
      <c r="W6" s="1169"/>
      <c r="X6" s="1169"/>
      <c r="Y6" s="1169"/>
      <c r="Z6" s="1169"/>
      <c r="AA6" s="1169"/>
      <c r="AB6" s="1169"/>
      <c r="AC6" s="1169"/>
      <c r="AD6" s="1169"/>
      <c r="AE6" s="1169"/>
      <c r="AF6" s="1169"/>
      <c r="AG6" s="1169"/>
      <c r="AH6" s="1169"/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9"/>
      <c r="AW6" s="1169"/>
      <c r="AX6" s="1169"/>
      <c r="AY6" s="1169"/>
      <c r="AZ6" s="1169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68" t="s">
        <v>805</v>
      </c>
      <c r="B7" s="1168"/>
      <c r="C7" s="1168"/>
      <c r="D7" s="1168"/>
      <c r="E7" s="1168"/>
      <c r="F7" s="1168"/>
      <c r="G7" s="1168"/>
      <c r="H7" s="1168"/>
      <c r="I7" s="1168"/>
      <c r="J7" s="1168"/>
      <c r="K7" s="1168"/>
      <c r="L7" s="1168"/>
      <c r="M7" s="1168"/>
      <c r="N7" s="1168"/>
      <c r="O7" s="1168"/>
      <c r="P7" s="1168"/>
      <c r="Q7" s="1168"/>
      <c r="R7" s="1168"/>
      <c r="S7" s="1168"/>
      <c r="T7" s="1168"/>
      <c r="U7" s="1168"/>
      <c r="V7" s="1168"/>
      <c r="W7" s="1168"/>
      <c r="X7" s="1168"/>
      <c r="Y7" s="1168"/>
      <c r="Z7" s="1168"/>
      <c r="AA7" s="1168"/>
      <c r="AB7" s="1168"/>
      <c r="AC7" s="1168"/>
      <c r="AD7" s="1168"/>
      <c r="AE7" s="1168"/>
      <c r="AF7" s="1168"/>
      <c r="AG7" s="1168"/>
      <c r="AH7" s="1168"/>
      <c r="AI7" s="1168"/>
      <c r="AJ7" s="1168"/>
      <c r="AK7" s="1168"/>
      <c r="AL7" s="1168"/>
      <c r="AM7" s="1168"/>
      <c r="AN7" s="1168"/>
      <c r="AO7" s="1168"/>
      <c r="AP7" s="1168"/>
      <c r="AQ7" s="1168"/>
      <c r="AR7" s="1168"/>
      <c r="AS7" s="1168"/>
      <c r="AT7" s="1168"/>
      <c r="AU7" s="1168"/>
      <c r="AV7" s="1168"/>
      <c r="AW7" s="1168"/>
      <c r="AX7" s="1168"/>
      <c r="AY7" s="1168"/>
      <c r="AZ7" s="116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1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  <c r="R8" s="1211"/>
      <c r="S8" s="1211"/>
      <c r="T8" s="1211"/>
      <c r="U8" s="1211"/>
      <c r="V8" s="1211"/>
      <c r="W8" s="1211"/>
      <c r="X8" s="1211"/>
      <c r="Y8" s="1211"/>
      <c r="Z8" s="1211"/>
      <c r="AA8" s="1211"/>
      <c r="AB8" s="1211"/>
      <c r="AC8" s="1211"/>
      <c r="AD8" s="1211"/>
      <c r="AE8" s="1211"/>
      <c r="AF8" s="1211"/>
      <c r="AG8" s="1211"/>
      <c r="AH8" s="1211"/>
      <c r="AI8" s="1211"/>
      <c r="AJ8" s="1211"/>
      <c r="AK8" s="1211"/>
      <c r="AL8" s="1211"/>
      <c r="AM8" s="1211"/>
      <c r="AN8" s="1211"/>
      <c r="AO8" s="1211"/>
      <c r="AP8" s="1211"/>
      <c r="AQ8" s="1211"/>
      <c r="AR8" s="1211"/>
      <c r="AS8" s="1211"/>
      <c r="AT8" s="1211"/>
      <c r="AU8" s="1211"/>
      <c r="AV8" s="1211"/>
      <c r="AW8" s="1211"/>
      <c r="AX8" s="1211"/>
      <c r="AY8" s="1211"/>
      <c r="AZ8" s="121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170" t="s">
        <v>806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166" t="s">
        <v>775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11" t="str">
        <f>ФОРМА!B3</f>
        <v>ООО «БЭСК»</v>
      </c>
      <c r="B11" s="1211"/>
      <c r="C11" s="1211"/>
      <c r="D11" s="1211"/>
      <c r="E11" s="1211"/>
      <c r="F11" s="1211"/>
      <c r="G11" s="1211"/>
      <c r="H11" s="1211"/>
      <c r="I11" s="1211"/>
      <c r="J11" s="1211"/>
      <c r="K11" s="1211"/>
      <c r="L11" s="1211"/>
      <c r="M11" s="1211"/>
      <c r="N11" s="1211"/>
      <c r="O11" s="1211"/>
      <c r="P11" s="1211"/>
      <c r="Q11" s="1211"/>
      <c r="R11" s="1211"/>
      <c r="S11" s="1211"/>
      <c r="T11" s="1211"/>
      <c r="U11" s="1211"/>
      <c r="V11" s="1211"/>
      <c r="W11" s="1211"/>
      <c r="X11" s="1211"/>
      <c r="Y11" s="1211"/>
      <c r="Z11" s="1211"/>
      <c r="AA11" s="1211"/>
      <c r="AB11" s="1211"/>
      <c r="AC11" s="1211"/>
      <c r="AD11" s="1211"/>
      <c r="AE11" s="1211"/>
      <c r="AF11" s="1211"/>
      <c r="AG11" s="1211"/>
      <c r="AH11" s="1211"/>
      <c r="AI11" s="1211"/>
      <c r="AJ11" s="1211"/>
      <c r="AK11" s="1211"/>
      <c r="AL11" s="1211"/>
      <c r="AM11" s="1211"/>
      <c r="AN11" s="1211"/>
      <c r="AO11" s="1211"/>
      <c r="AP11" s="1211"/>
      <c r="AQ11" s="1211"/>
      <c r="AR11" s="1211"/>
      <c r="AS11" s="1211"/>
      <c r="AT11" s="1211"/>
      <c r="AU11" s="1211"/>
      <c r="AV11" s="1211"/>
      <c r="AW11" s="1211"/>
      <c r="AX11" s="1211"/>
      <c r="AY11" s="1211"/>
      <c r="AZ11" s="1211"/>
      <c r="BA11" s="1211"/>
    </row>
    <row r="12" spans="1:63" s="305" customFormat="1" ht="6" customHeight="1">
      <c r="A12" s="1168" t="s">
        <v>805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318"/>
    </row>
    <row r="13" spans="1:63" ht="24" customHeight="1">
      <c r="A13" s="12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</row>
    <row r="14" spans="1:63" s="305" customFormat="1" ht="21" customHeight="1">
      <c r="A14" s="1170" t="s">
        <v>807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  <c r="BA14" s="318"/>
    </row>
    <row r="15" spans="1:63" ht="14.25" customHeight="1">
      <c r="A15" s="1166" t="s">
        <v>74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  <c r="BA15" s="317"/>
    </row>
    <row r="16" spans="1:63" ht="12" customHeight="1">
      <c r="A16" s="1211" t="str">
        <f>ФОРМА!B8</f>
        <v>ООО «Строительные энергетические технологии»</v>
      </c>
      <c r="B16" s="1211"/>
      <c r="C16" s="1211"/>
      <c r="D16" s="1211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1211"/>
      <c r="S16" s="1211"/>
      <c r="T16" s="1211"/>
      <c r="U16" s="1211"/>
      <c r="V16" s="1211"/>
      <c r="W16" s="1211"/>
      <c r="X16" s="1211"/>
      <c r="Y16" s="1211"/>
      <c r="Z16" s="1211"/>
      <c r="AA16" s="1211"/>
      <c r="AB16" s="1211"/>
      <c r="AC16" s="1211"/>
      <c r="AD16" s="1211"/>
      <c r="AE16" s="1211"/>
      <c r="AF16" s="1211"/>
      <c r="AG16" s="1211"/>
      <c r="AH16" s="1211"/>
      <c r="AI16" s="1211"/>
      <c r="AJ16" s="1211"/>
      <c r="AK16" s="1211"/>
      <c r="AL16" s="1211"/>
      <c r="AM16" s="1211"/>
      <c r="AN16" s="1211"/>
      <c r="AO16" s="1211"/>
      <c r="AP16" s="1211"/>
      <c r="AQ16" s="1211"/>
      <c r="AR16" s="1211"/>
      <c r="AS16" s="1211"/>
      <c r="AT16" s="1211"/>
      <c r="AU16" s="1211"/>
      <c r="AV16" s="1211"/>
      <c r="AW16" s="1211"/>
      <c r="AX16" s="1211"/>
      <c r="AY16" s="1211"/>
      <c r="AZ16" s="1211"/>
      <c r="BA16" s="1211"/>
    </row>
    <row r="17" spans="1:53" s="305" customFormat="1" ht="9">
      <c r="A17" s="1168" t="s">
        <v>805</v>
      </c>
      <c r="B17" s="1168"/>
      <c r="C17" s="1168"/>
      <c r="D17" s="1168"/>
      <c r="E17" s="1168"/>
      <c r="F17" s="1168"/>
      <c r="G17" s="1168"/>
      <c r="H17" s="1168"/>
      <c r="I17" s="1168"/>
      <c r="J17" s="1168"/>
      <c r="K17" s="1168"/>
      <c r="L17" s="1168"/>
      <c r="M17" s="1168"/>
      <c r="N17" s="1168"/>
      <c r="O17" s="1168"/>
      <c r="P17" s="1168"/>
      <c r="Q17" s="1168"/>
      <c r="R17" s="1168"/>
      <c r="S17" s="1168"/>
      <c r="T17" s="1168"/>
      <c r="U17" s="1168"/>
      <c r="V17" s="1168"/>
      <c r="W17" s="1168"/>
      <c r="X17" s="1168"/>
      <c r="Y17" s="1168"/>
      <c r="Z17" s="1168"/>
      <c r="AA17" s="1168"/>
      <c r="AB17" s="1168"/>
      <c r="AC17" s="1168"/>
      <c r="AD17" s="1168"/>
      <c r="AE17" s="1168"/>
      <c r="AF17" s="1168"/>
      <c r="AG17" s="1168"/>
      <c r="AH17" s="1168"/>
      <c r="AI17" s="1168"/>
      <c r="AJ17" s="1168"/>
      <c r="AK17" s="1168"/>
      <c r="AL17" s="1168"/>
      <c r="AM17" s="1168"/>
      <c r="AN17" s="1168"/>
      <c r="AO17" s="1168"/>
      <c r="AP17" s="1168"/>
      <c r="AQ17" s="1168"/>
      <c r="AR17" s="1168"/>
      <c r="AS17" s="1168"/>
      <c r="AT17" s="1168"/>
      <c r="AU17" s="1168"/>
      <c r="AV17" s="1168"/>
      <c r="AW17" s="1168"/>
      <c r="AX17" s="1168"/>
      <c r="AY17" s="1168"/>
      <c r="AZ17" s="1168"/>
      <c r="BA17" s="318"/>
    </row>
    <row r="18" spans="1:53" ht="22.15" customHeight="1">
      <c r="A18" s="12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  <c r="L18" s="1211"/>
      <c r="M18" s="1211"/>
      <c r="N18" s="1211"/>
      <c r="O18" s="1211"/>
      <c r="P18" s="1211"/>
      <c r="Q18" s="1211"/>
      <c r="R18" s="1211"/>
      <c r="S18" s="1211"/>
      <c r="T18" s="1211"/>
      <c r="U18" s="1211"/>
      <c r="V18" s="1211"/>
      <c r="W18" s="1211"/>
      <c r="X18" s="1211"/>
      <c r="Y18" s="1211"/>
      <c r="Z18" s="1211"/>
      <c r="AA18" s="1211"/>
      <c r="AB18" s="1211"/>
      <c r="AC18" s="1211"/>
      <c r="AD18" s="1211"/>
      <c r="AE18" s="1211"/>
      <c r="AF18" s="1211"/>
      <c r="AG18" s="1211"/>
      <c r="AH18" s="1211"/>
      <c r="AI18" s="1211"/>
      <c r="AJ18" s="1211"/>
      <c r="AK18" s="1211"/>
      <c r="AL18" s="1211"/>
      <c r="AM18" s="1211"/>
      <c r="AN18" s="1211"/>
      <c r="AO18" s="1211"/>
      <c r="AP18" s="1211"/>
      <c r="AQ18" s="1211"/>
      <c r="AR18" s="1211"/>
      <c r="AS18" s="1211"/>
      <c r="AT18" s="1211"/>
      <c r="AU18" s="1211"/>
      <c r="AV18" s="1211"/>
      <c r="AW18" s="1211"/>
      <c r="AX18" s="1211"/>
      <c r="AY18" s="1211"/>
      <c r="AZ18" s="1211"/>
      <c r="BA18" s="317"/>
    </row>
    <row r="19" spans="1:53" s="305" customFormat="1" ht="6" customHeight="1">
      <c r="A19" s="1212" t="s">
        <v>773</v>
      </c>
      <c r="B19" s="1212"/>
      <c r="C19" s="1212"/>
      <c r="D19" s="1212"/>
      <c r="E19" s="1212"/>
      <c r="F19" s="1212"/>
      <c r="G19" s="1212"/>
      <c r="H19" s="1212"/>
      <c r="I19" s="1212"/>
      <c r="J19" s="1212"/>
      <c r="K19" s="1212"/>
      <c r="L19" s="1212"/>
      <c r="M19" s="1212"/>
      <c r="N19" s="1212"/>
      <c r="O19" s="1212"/>
      <c r="P19" s="1212"/>
      <c r="Q19" s="1212"/>
      <c r="R19" s="1212"/>
      <c r="S19" s="1212"/>
      <c r="T19" s="1212"/>
      <c r="U19" s="1212"/>
      <c r="V19" s="1212"/>
      <c r="W19" s="1212"/>
      <c r="X19" s="1212"/>
      <c r="Y19" s="1212"/>
      <c r="Z19" s="1212"/>
      <c r="AA19" s="1212"/>
      <c r="AB19" s="1212"/>
      <c r="AC19" s="1212"/>
      <c r="AD19" s="1212"/>
      <c r="AE19" s="1212"/>
      <c r="AF19" s="1212"/>
      <c r="AG19" s="1212"/>
      <c r="AH19" s="1212"/>
      <c r="AI19" s="1212"/>
      <c r="AJ19" s="1212"/>
      <c r="AK19" s="1212"/>
      <c r="AL19" s="1212"/>
      <c r="AM19" s="1212"/>
      <c r="AN19" s="1212"/>
      <c r="AO19" s="1212"/>
      <c r="AP19" s="1212"/>
      <c r="AQ19" s="1212"/>
      <c r="AR19" s="1212"/>
      <c r="AS19" s="1212"/>
      <c r="AT19" s="1212"/>
      <c r="AU19" s="1212"/>
      <c r="AV19" s="1212"/>
      <c r="AW19" s="1212"/>
      <c r="AX19" s="1212"/>
      <c r="AY19" s="1212"/>
      <c r="AZ19" s="1212"/>
      <c r="BA19" s="318"/>
    </row>
    <row r="20" spans="1:53" s="305" customFormat="1" ht="15" customHeight="1">
      <c r="A20" s="1152"/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318"/>
    </row>
    <row r="21" spans="1:53" s="305" customFormat="1" ht="15" customHeight="1">
      <c r="A21" s="1151" t="s">
        <v>808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18"/>
    </row>
    <row r="22" spans="1:53" ht="5.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1173" t="s">
        <v>517</v>
      </c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175" t="s">
        <v>19</v>
      </c>
      <c r="B25" s="1175"/>
      <c r="C25" s="1141">
        <f>ФОРМА!B25</f>
        <v>0</v>
      </c>
      <c r="D25" s="1141"/>
      <c r="E25" s="1141"/>
      <c r="F25" s="1141"/>
      <c r="G25" s="1141"/>
      <c r="H25" s="1141"/>
      <c r="I25" s="1141"/>
      <c r="J25" s="1141"/>
      <c r="K25" s="1141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76"/>
      <c r="AH25" s="1176"/>
      <c r="AI25" s="1176"/>
      <c r="AJ25" s="322"/>
      <c r="AK25" s="322"/>
      <c r="AL25" s="1143">
        <f>ФОРМА!C25</f>
        <v>45354</v>
      </c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76"/>
      <c r="AX25" s="1176"/>
      <c r="AY25" s="1176"/>
      <c r="AZ25" s="1176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68" t="s">
        <v>453</v>
      </c>
      <c r="AM26" s="1168"/>
      <c r="AN26" s="1168"/>
      <c r="AO26" s="1168"/>
      <c r="AP26" s="1168"/>
      <c r="AQ26" s="1168"/>
      <c r="AR26" s="1168"/>
      <c r="AS26" s="1168"/>
      <c r="AT26" s="1168"/>
      <c r="AU26" s="1168"/>
      <c r="AV26" s="1168"/>
      <c r="AW26" s="318"/>
      <c r="AX26" s="318"/>
      <c r="AY26" s="318"/>
      <c r="AZ26" s="318"/>
      <c r="BA26" s="318"/>
    </row>
    <row r="27" spans="1:53" ht="24" customHeight="1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317"/>
    </row>
    <row r="28" spans="1:53" ht="12" customHeight="1">
      <c r="A28" s="1171" t="str">
        <f>IF(ПОДПИСИ!B9="",ПОДПИСИ!B6,ПОДПИСИ!B9)</f>
        <v>Ведущий инженер-геодезист АО "ЛЭСР"</v>
      </c>
      <c r="B28" s="1171"/>
      <c r="C28" s="1171"/>
      <c r="D28" s="1171"/>
      <c r="E28" s="1171"/>
      <c r="F28" s="1171"/>
      <c r="G28" s="1171"/>
      <c r="H28" s="1171"/>
      <c r="I28" s="1171"/>
      <c r="J28" s="1171"/>
      <c r="K28" s="1171"/>
      <c r="L28" s="1171"/>
      <c r="M28" s="1171"/>
      <c r="N28" s="1171"/>
      <c r="O28" s="1171"/>
      <c r="P28" s="1171"/>
      <c r="Q28" s="1171"/>
      <c r="R28" s="1171"/>
      <c r="S28" s="1171"/>
      <c r="T28" s="1171"/>
      <c r="U28" s="1171"/>
      <c r="V28" s="1171"/>
      <c r="W28" s="1171"/>
      <c r="X28" s="1171"/>
      <c r="Y28" s="1171"/>
      <c r="Z28" s="1171"/>
      <c r="AA28" s="1171"/>
      <c r="AB28" s="1171"/>
      <c r="AC28" s="1171"/>
      <c r="AD28" s="1171"/>
      <c r="AE28" s="1171"/>
      <c r="AF28" s="1171"/>
      <c r="AG28" s="1171"/>
      <c r="AH28" s="1171"/>
      <c r="AI28" s="1171"/>
      <c r="AJ28" s="1171"/>
      <c r="AK28" s="1171"/>
      <c r="AL28" s="1171"/>
      <c r="AM28" s="1171"/>
      <c r="AN28" s="1171"/>
      <c r="AO28" s="1171"/>
      <c r="AP28" s="1171"/>
      <c r="AQ28" s="1171"/>
      <c r="AR28" s="1171"/>
      <c r="AS28" s="1171"/>
      <c r="AT28" s="1171"/>
      <c r="AU28" s="1171"/>
      <c r="AV28" s="1171"/>
      <c r="AW28" s="1171"/>
      <c r="AX28" s="1171"/>
      <c r="AY28" s="1171"/>
      <c r="AZ28" s="1171"/>
      <c r="BA28" s="317"/>
    </row>
    <row r="29" spans="1:53" ht="12" customHeight="1">
      <c r="A29" s="1172" t="str">
        <f>IF(ПОДПИСИ!C9="",ПОДПИСИ!C6,CONCATENATE(ПОДПИСИ!C9,", ",ПОДПИСИ!F9))</f>
        <v xml:space="preserve">Филёва Н.О.,  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317"/>
    </row>
    <row r="30" spans="1:53" ht="13.9" customHeight="1">
      <c r="A30" s="1170" t="s">
        <v>781</v>
      </c>
      <c r="B30" s="1170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317"/>
    </row>
    <row r="31" spans="1:53" ht="15" customHeight="1">
      <c r="A31" s="1152"/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17"/>
    </row>
    <row r="32" spans="1:53" ht="21.75" customHeight="1">
      <c r="A32" s="1151" t="s">
        <v>809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  <c r="BA32" s="317"/>
    </row>
    <row r="33" spans="1:52" ht="12" customHeight="1">
      <c r="A33" s="1177" t="s">
        <v>783</v>
      </c>
      <c r="B33" s="1178"/>
      <c r="C33" s="1178"/>
      <c r="D33" s="1178"/>
      <c r="E33" s="1178"/>
      <c r="F33" s="1178"/>
      <c r="G33" s="1178"/>
      <c r="H33" s="1178"/>
      <c r="I33" s="1178"/>
      <c r="J33" s="1178"/>
      <c r="K33" s="1178"/>
      <c r="L33" s="1178"/>
      <c r="M33" s="1178"/>
      <c r="N33" s="1178"/>
      <c r="O33" s="1178"/>
      <c r="P33" s="1178"/>
      <c r="Q33" s="1178"/>
      <c r="R33" s="1178"/>
      <c r="S33" s="1178"/>
      <c r="T33" s="1178"/>
      <c r="U33" s="1178"/>
      <c r="V33" s="1178"/>
      <c r="W33" s="1178"/>
      <c r="X33" s="1178"/>
      <c r="Y33" s="1178"/>
      <c r="Z33" s="1178"/>
      <c r="AA33" s="1178"/>
      <c r="AB33" s="1178"/>
      <c r="AC33" s="1178"/>
      <c r="AD33" s="1178"/>
      <c r="AE33" s="1178"/>
      <c r="AF33" s="1178"/>
      <c r="AG33" s="1178"/>
      <c r="AH33" s="1178"/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</row>
    <row r="34" spans="1:52" ht="12" customHeight="1">
      <c r="A34" s="1154" t="str">
        <f>ПОДПИСИ!B15</f>
        <v xml:space="preserve">Заместитель генерального директора ООО «БЭСК» </v>
      </c>
      <c r="B34" s="1154"/>
      <c r="C34" s="1154"/>
      <c r="D34" s="1154"/>
      <c r="E34" s="1154"/>
      <c r="F34" s="1154"/>
      <c r="G34" s="1154"/>
      <c r="H34" s="1154"/>
      <c r="I34" s="1154"/>
      <c r="J34" s="1154"/>
      <c r="K34" s="1154"/>
      <c r="L34" s="1154"/>
      <c r="M34" s="1154"/>
      <c r="N34" s="1154"/>
      <c r="O34" s="1154"/>
      <c r="P34" s="1154"/>
      <c r="Q34" s="1154"/>
      <c r="R34" s="1154"/>
      <c r="S34" s="1154"/>
      <c r="T34" s="1154"/>
      <c r="U34" s="1154"/>
      <c r="V34" s="1154"/>
      <c r="W34" s="1154"/>
      <c r="X34" s="1154"/>
      <c r="Y34" s="1154"/>
      <c r="Z34" s="1154"/>
      <c r="AA34" s="1154"/>
      <c r="AB34" s="1154"/>
      <c r="AC34" s="1154"/>
      <c r="AD34" s="1154"/>
      <c r="AE34" s="1154"/>
      <c r="AF34" s="1154"/>
      <c r="AG34" s="1154"/>
      <c r="AH34" s="1154"/>
      <c r="AI34" s="1154"/>
      <c r="AJ34" s="1154"/>
      <c r="AK34" s="1154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</row>
    <row r="35" spans="1:52" ht="12" customHeight="1">
      <c r="A35" s="1179" t="str">
        <f>CONCATENATE(ПОДПИСИ!C15," ",ПОДПИСИ!F15)</f>
        <v xml:space="preserve">Матвеев А.С. </v>
      </c>
      <c r="B35" s="1179"/>
      <c r="C35" s="1179"/>
      <c r="D35" s="1179"/>
      <c r="E35" s="1179"/>
      <c r="F35" s="1179"/>
      <c r="G35" s="1179"/>
      <c r="H35" s="1179"/>
      <c r="I35" s="1179"/>
      <c r="J35" s="1179"/>
      <c r="K35" s="1179"/>
      <c r="L35" s="1179"/>
      <c r="M35" s="1179"/>
      <c r="N35" s="1179"/>
      <c r="O35" s="1179"/>
      <c r="P35" s="1179"/>
      <c r="Q35" s="1179"/>
      <c r="R35" s="1179"/>
      <c r="S35" s="1179"/>
      <c r="T35" s="1179"/>
      <c r="U35" s="1179"/>
      <c r="V35" s="1179"/>
      <c r="W35" s="1179"/>
      <c r="X35" s="1179"/>
      <c r="Y35" s="1179"/>
      <c r="Z35" s="1179"/>
      <c r="AA35" s="1179"/>
      <c r="AB35" s="1179"/>
      <c r="AC35" s="1179"/>
      <c r="AD35" s="1179"/>
      <c r="AE35" s="1179"/>
      <c r="AF35" s="1179"/>
      <c r="AG35" s="1179"/>
      <c r="AH35" s="1179"/>
      <c r="AI35" s="1179"/>
      <c r="AJ35" s="1179"/>
      <c r="AK35" s="1179"/>
      <c r="AL35" s="1179"/>
      <c r="AM35" s="1179"/>
      <c r="AN35" s="1179"/>
      <c r="AO35" s="1179"/>
      <c r="AP35" s="1179"/>
      <c r="AQ35" s="1179"/>
      <c r="AR35" s="1179"/>
      <c r="AS35" s="1179"/>
      <c r="AT35" s="1179"/>
      <c r="AU35" s="1179"/>
      <c r="AV35" s="1179"/>
      <c r="AW35" s="1179"/>
      <c r="AX35" s="1179"/>
      <c r="AY35" s="1179"/>
      <c r="AZ35" s="1179"/>
    </row>
    <row r="36" spans="1:52" ht="6" customHeight="1">
      <c r="A36" s="1180" t="s">
        <v>810</v>
      </c>
      <c r="B36" s="1180"/>
      <c r="C36" s="1180"/>
      <c r="D36" s="1180"/>
      <c r="E36" s="1180"/>
      <c r="F36" s="1180"/>
      <c r="G36" s="1180"/>
      <c r="H36" s="1180"/>
      <c r="I36" s="1180"/>
      <c r="J36" s="1180"/>
      <c r="K36" s="1180"/>
      <c r="L36" s="1180"/>
      <c r="M36" s="1180"/>
      <c r="N36" s="1180"/>
      <c r="O36" s="1180"/>
      <c r="P36" s="1180"/>
      <c r="Q36" s="1180"/>
      <c r="R36" s="1180"/>
      <c r="S36" s="1180"/>
      <c r="T36" s="1180"/>
      <c r="U36" s="1180"/>
      <c r="V36" s="1180"/>
      <c r="W36" s="1180"/>
      <c r="X36" s="1180"/>
      <c r="Y36" s="1180"/>
      <c r="Z36" s="1180"/>
      <c r="AA36" s="1180"/>
      <c r="AB36" s="1180"/>
      <c r="AC36" s="1180"/>
      <c r="AD36" s="1180"/>
      <c r="AE36" s="1180"/>
      <c r="AF36" s="1180"/>
      <c r="AG36" s="1180"/>
      <c r="AH36" s="1180"/>
      <c r="AI36" s="1180"/>
      <c r="AJ36" s="1180"/>
      <c r="AK36" s="1180"/>
      <c r="AL36" s="1180"/>
      <c r="AM36" s="1180"/>
      <c r="AN36" s="1180"/>
      <c r="AO36" s="1180"/>
      <c r="AP36" s="1180"/>
      <c r="AQ36" s="1180"/>
      <c r="AR36" s="1180"/>
      <c r="AS36" s="1180"/>
      <c r="AT36" s="1180"/>
      <c r="AU36" s="1180"/>
      <c r="AV36" s="1180"/>
      <c r="AW36" s="1180"/>
      <c r="AX36" s="1180"/>
      <c r="AY36" s="1180"/>
      <c r="AZ36" s="1180"/>
    </row>
    <row r="37" spans="1:52" ht="24" customHeight="1">
      <c r="A37" s="1153" t="s">
        <v>811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</row>
    <row r="38" spans="1:52" ht="12" customHeight="1">
      <c r="A38" s="1154" t="str">
        <f>ПОДПИСИ!B17</f>
        <v xml:space="preserve">Заместитель генерального директора ООО «БЭСК» 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  <c r="L38" s="1154"/>
      <c r="M38" s="1154"/>
      <c r="N38" s="1154"/>
      <c r="O38" s="1154"/>
      <c r="P38" s="1154"/>
      <c r="Q38" s="1154"/>
      <c r="R38" s="1154"/>
      <c r="S38" s="1154"/>
      <c r="T38" s="1154"/>
      <c r="U38" s="1154"/>
      <c r="V38" s="1154"/>
      <c r="W38" s="1154"/>
      <c r="X38" s="1154"/>
      <c r="Y38" s="1154"/>
      <c r="Z38" s="1154"/>
      <c r="AA38" s="1154"/>
      <c r="AB38" s="1154"/>
      <c r="AC38" s="1154"/>
      <c r="AD38" s="1154"/>
      <c r="AE38" s="1154"/>
      <c r="AF38" s="1154"/>
      <c r="AG38" s="1154"/>
      <c r="AH38" s="1154"/>
      <c r="AI38" s="1154"/>
      <c r="AJ38" s="1154"/>
      <c r="AK38" s="1154"/>
      <c r="AL38" s="1154"/>
      <c r="AM38" s="1154"/>
      <c r="AN38" s="1154"/>
      <c r="AO38" s="1154"/>
      <c r="AP38" s="1154"/>
      <c r="AQ38" s="1154"/>
      <c r="AR38" s="1154"/>
      <c r="AS38" s="1154"/>
      <c r="AT38" s="1154"/>
      <c r="AU38" s="1154"/>
      <c r="AV38" s="1154"/>
      <c r="AW38" s="1154"/>
      <c r="AX38" s="1154"/>
      <c r="AY38" s="1154"/>
      <c r="AZ38" s="1154"/>
    </row>
    <row r="39" spans="1:52" ht="12" customHeight="1">
      <c r="A39" s="1154" t="str">
        <f>CONCATENATE(ПОДПИСИ!C17," ",ПОДПИСИ!F17)</f>
        <v xml:space="preserve">Матвеев А.С. </v>
      </c>
      <c r="B39" s="1154"/>
      <c r="C39" s="1154"/>
      <c r="D39" s="1154"/>
      <c r="E39" s="1154"/>
      <c r="F39" s="1154"/>
      <c r="G39" s="1154"/>
      <c r="H39" s="1154"/>
      <c r="I39" s="1154"/>
      <c r="J39" s="1154"/>
      <c r="K39" s="1154"/>
      <c r="L39" s="1154"/>
      <c r="M39" s="1154"/>
      <c r="N39" s="1154"/>
      <c r="O39" s="1154"/>
      <c r="P39" s="1154"/>
      <c r="Q39" s="1154"/>
      <c r="R39" s="1154"/>
      <c r="S39" s="1154"/>
      <c r="T39" s="1154"/>
      <c r="U39" s="1154"/>
      <c r="V39" s="1154"/>
      <c r="W39" s="1154"/>
      <c r="X39" s="1154"/>
      <c r="Y39" s="1154"/>
      <c r="Z39" s="1154"/>
      <c r="AA39" s="1154"/>
      <c r="AB39" s="1154"/>
      <c r="AC39" s="1154"/>
      <c r="AD39" s="1154"/>
      <c r="AE39" s="1154"/>
      <c r="AF39" s="1154"/>
      <c r="AG39" s="1154"/>
      <c r="AH39" s="1154"/>
      <c r="AI39" s="1154"/>
      <c r="AJ39" s="1154"/>
      <c r="AK39" s="1154"/>
      <c r="AL39" s="1154"/>
      <c r="AM39" s="1154"/>
      <c r="AN39" s="1154"/>
      <c r="AO39" s="1154"/>
      <c r="AP39" s="1154"/>
      <c r="AQ39" s="1154"/>
      <c r="AR39" s="1154"/>
      <c r="AS39" s="1154"/>
      <c r="AT39" s="1154"/>
      <c r="AU39" s="1154"/>
      <c r="AV39" s="1154"/>
      <c r="AW39" s="1154"/>
      <c r="AX39" s="1154"/>
      <c r="AY39" s="1154"/>
      <c r="AZ39" s="1154"/>
    </row>
    <row r="40" spans="1:52" ht="15" customHeight="1">
      <c r="A40" s="1151" t="s">
        <v>781</v>
      </c>
      <c r="B40" s="1151"/>
      <c r="C40" s="1151"/>
      <c r="D40" s="1151"/>
      <c r="E40" s="1151"/>
      <c r="F40" s="1151"/>
      <c r="G40" s="1151"/>
      <c r="H40" s="1151"/>
      <c r="I40" s="1151"/>
      <c r="J40" s="1151"/>
      <c r="K40" s="1151"/>
      <c r="L40" s="1151"/>
      <c r="M40" s="1151"/>
      <c r="N40" s="1151"/>
      <c r="O40" s="1151"/>
      <c r="P40" s="1151"/>
      <c r="Q40" s="1151"/>
      <c r="R40" s="1151"/>
      <c r="S40" s="1151"/>
      <c r="T40" s="1151"/>
      <c r="U40" s="1151"/>
      <c r="V40" s="1151"/>
      <c r="W40" s="1151"/>
      <c r="X40" s="1151"/>
      <c r="Y40" s="1151"/>
      <c r="Z40" s="1151"/>
      <c r="AA40" s="1151"/>
      <c r="AB40" s="1151"/>
      <c r="AC40" s="1151"/>
      <c r="AD40" s="1151"/>
      <c r="AE40" s="1151"/>
      <c r="AF40" s="1151"/>
      <c r="AG40" s="1151"/>
      <c r="AH40" s="1151"/>
      <c r="AI40" s="1151"/>
      <c r="AJ40" s="1151"/>
      <c r="AK40" s="1151"/>
      <c r="AL40" s="1151"/>
      <c r="AM40" s="1151"/>
      <c r="AN40" s="1151"/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/>
      <c r="AY40" s="1151"/>
      <c r="AZ40" s="1151"/>
    </row>
    <row r="41" spans="1:52" ht="12" customHeight="1">
      <c r="A41" s="1152"/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52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</row>
    <row r="42" spans="1:52" ht="6.75" customHeight="1">
      <c r="A42" s="1151" t="s">
        <v>812</v>
      </c>
      <c r="B42" s="1151"/>
      <c r="C42" s="1151"/>
      <c r="D42" s="1151"/>
      <c r="E42" s="1151"/>
      <c r="F42" s="1151"/>
      <c r="G42" s="1151"/>
      <c r="H42" s="1151"/>
      <c r="I42" s="1151"/>
      <c r="J42" s="1151"/>
      <c r="K42" s="1151"/>
      <c r="L42" s="1151"/>
      <c r="M42" s="1151"/>
      <c r="N42" s="1151"/>
      <c r="O42" s="1151"/>
      <c r="P42" s="1151"/>
      <c r="Q42" s="1151"/>
      <c r="R42" s="1151"/>
      <c r="S42" s="1151"/>
      <c r="T42" s="1151"/>
      <c r="U42" s="1151"/>
      <c r="V42" s="1151"/>
      <c r="W42" s="1151"/>
      <c r="X42" s="1151"/>
      <c r="Y42" s="1151"/>
      <c r="Z42" s="1151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151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</row>
    <row r="43" spans="1:52" ht="35.25" customHeight="1">
      <c r="A43" s="1153" t="s">
        <v>813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</row>
    <row r="44" spans="1:52" ht="12" customHeight="1">
      <c r="A44" s="1154" t="str">
        <f>ПОДПИСИ!B19</f>
        <v xml:space="preserve">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</row>
    <row r="45" spans="1:52" ht="12" customHeight="1">
      <c r="A45" s="1154" t="str">
        <f>CONCATENATE(ПОДПИСИ!C19," ",ПОДПИСИ!F19)</f>
        <v xml:space="preserve"> 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</row>
    <row r="46" spans="1:52" ht="6" customHeight="1">
      <c r="A46" s="1151" t="s">
        <v>787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</row>
    <row r="47" spans="1:52" ht="12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</row>
    <row r="48" spans="1:52" ht="15" customHeight="1">
      <c r="A48" s="1151" t="s">
        <v>788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4" ht="36" customHeight="1">
      <c r="A49" s="1177" t="s">
        <v>814</v>
      </c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1177"/>
      <c r="P49" s="1177"/>
      <c r="Q49" s="1177"/>
      <c r="R49" s="1177"/>
      <c r="S49" s="1177"/>
      <c r="T49" s="1177"/>
      <c r="U49" s="1177"/>
      <c r="V49" s="1177"/>
      <c r="W49" s="1177"/>
      <c r="X49" s="1177"/>
      <c r="Y49" s="1177"/>
      <c r="Z49" s="1177"/>
      <c r="AA49" s="1177"/>
      <c r="AB49" s="1177"/>
      <c r="AC49" s="1177"/>
      <c r="AD49" s="1177"/>
      <c r="AE49" s="1177"/>
      <c r="AF49" s="1177"/>
      <c r="AG49" s="1177"/>
      <c r="AH49" s="1177"/>
      <c r="AI49" s="1177"/>
      <c r="AJ49" s="1177"/>
      <c r="AK49" s="1177"/>
      <c r="AL49" s="1177"/>
      <c r="AM49" s="1177"/>
      <c r="AN49" s="1177"/>
      <c r="AO49" s="1177"/>
      <c r="AP49" s="1177"/>
      <c r="AQ49" s="1177"/>
      <c r="AR49" s="1177"/>
      <c r="AS49" s="1177"/>
      <c r="AT49" s="1177"/>
      <c r="AU49" s="1177"/>
      <c r="AV49" s="1177"/>
      <c r="AW49" s="1177"/>
      <c r="AX49" s="1177"/>
      <c r="AY49" s="1177"/>
      <c r="AZ49" s="1177"/>
    </row>
    <row r="50" spans="1:54" ht="12" customHeight="1">
      <c r="A50" s="1185" t="str">
        <f>ПОДПИСИ!B14</f>
        <v>Инженер-геодезист ООО «БЭСК»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  <c r="BA50" s="323"/>
      <c r="BB50" s="294"/>
    </row>
    <row r="51" spans="1:54" ht="12" customHeight="1">
      <c r="A51" s="1104" t="str">
        <f>CONCATENATE(ПОДПИСИ!C14," ",ПОДПИСИ!F14)</f>
        <v xml:space="preserve">Алексеенков Д.С. </v>
      </c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N51" s="1104"/>
      <c r="O51" s="1104"/>
      <c r="P51" s="1104"/>
      <c r="Q51" s="1104"/>
      <c r="R51" s="1104"/>
      <c r="S51" s="1104"/>
      <c r="T51" s="1104"/>
      <c r="U51" s="1104"/>
      <c r="V51" s="1104"/>
      <c r="W51" s="1104"/>
      <c r="X51" s="1104"/>
      <c r="Y51" s="1104"/>
      <c r="Z51" s="1104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</row>
    <row r="52" spans="1:54" ht="6" customHeight="1">
      <c r="A52" s="1170" t="s">
        <v>787</v>
      </c>
      <c r="B52" s="1170"/>
      <c r="C52" s="1170"/>
      <c r="D52" s="1170"/>
      <c r="E52" s="1170"/>
      <c r="F52" s="1170"/>
      <c r="G52" s="1170"/>
      <c r="H52" s="1170"/>
      <c r="I52" s="1170"/>
      <c r="J52" s="1170"/>
      <c r="K52" s="1170"/>
      <c r="L52" s="1170"/>
      <c r="M52" s="1170"/>
      <c r="N52" s="1170"/>
      <c r="O52" s="1170"/>
      <c r="P52" s="1170"/>
      <c r="Q52" s="1170"/>
      <c r="R52" s="1170"/>
      <c r="S52" s="1170"/>
      <c r="T52" s="1170"/>
      <c r="U52" s="1170"/>
      <c r="V52" s="1170"/>
      <c r="W52" s="1170"/>
      <c r="X52" s="1170"/>
      <c r="Y52" s="1170"/>
      <c r="Z52" s="1170"/>
      <c r="AA52" s="1170"/>
      <c r="AB52" s="1170"/>
      <c r="AC52" s="1170"/>
      <c r="AD52" s="1170"/>
      <c r="AE52" s="1170"/>
      <c r="AF52" s="1170"/>
      <c r="AG52" s="1170"/>
      <c r="AH52" s="1170"/>
      <c r="AI52" s="1170"/>
      <c r="AJ52" s="1170"/>
      <c r="AK52" s="1170"/>
      <c r="AL52" s="1170"/>
      <c r="AM52" s="1170"/>
      <c r="AN52" s="1170"/>
      <c r="AO52" s="1170"/>
      <c r="AP52" s="1170"/>
      <c r="AQ52" s="1170"/>
      <c r="AR52" s="1170"/>
      <c r="AS52" s="1170"/>
      <c r="AT52" s="1170"/>
      <c r="AU52" s="1170"/>
      <c r="AV52" s="1170"/>
      <c r="AW52" s="1170"/>
      <c r="AX52" s="1170"/>
      <c r="AY52" s="1170"/>
      <c r="AZ52" s="1170"/>
    </row>
    <row r="53" spans="1:54" ht="12" customHeight="1">
      <c r="A53" s="1186"/>
      <c r="B53" s="1186"/>
      <c r="C53" s="1186"/>
      <c r="D53" s="1186"/>
      <c r="E53" s="1186"/>
      <c r="F53" s="1186"/>
      <c r="G53" s="1186"/>
      <c r="H53" s="1186"/>
      <c r="I53" s="1186"/>
      <c r="J53" s="1186"/>
      <c r="K53" s="1186"/>
      <c r="L53" s="1186"/>
      <c r="M53" s="1186"/>
      <c r="N53" s="1186"/>
      <c r="O53" s="1186"/>
      <c r="P53" s="1186"/>
      <c r="Q53" s="1186"/>
      <c r="R53" s="1186"/>
      <c r="S53" s="1186"/>
      <c r="T53" s="1186"/>
      <c r="U53" s="1186"/>
      <c r="V53" s="1186"/>
      <c r="W53" s="1186"/>
      <c r="X53" s="1186"/>
      <c r="Y53" s="1186"/>
      <c r="Z53" s="1186"/>
      <c r="AA53" s="1186"/>
      <c r="AB53" s="1186"/>
      <c r="AC53" s="1186"/>
      <c r="AD53" s="1186"/>
      <c r="AE53" s="1186"/>
      <c r="AF53" s="1186"/>
      <c r="AG53" s="1186"/>
      <c r="AH53" s="1186"/>
      <c r="AI53" s="1186"/>
      <c r="AJ53" s="1186"/>
      <c r="AK53" s="1186"/>
      <c r="AL53" s="1186"/>
      <c r="AM53" s="1186"/>
      <c r="AN53" s="1186"/>
      <c r="AO53" s="1186"/>
      <c r="AP53" s="1186"/>
      <c r="AQ53" s="1186"/>
      <c r="AR53" s="1186"/>
      <c r="AS53" s="1186"/>
      <c r="AT53" s="1186"/>
      <c r="AU53" s="1186"/>
      <c r="AV53" s="1186"/>
      <c r="AW53" s="1186"/>
      <c r="AX53" s="1186"/>
      <c r="AY53" s="1186"/>
      <c r="AZ53" s="1186"/>
    </row>
    <row r="54" spans="1:54" ht="15" customHeight="1">
      <c r="A54" s="1151" t="s">
        <v>788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</row>
    <row r="55" spans="1:54" ht="11.25" customHeight="1" outlineLevel="1">
      <c r="A55" s="1100" t="s">
        <v>79</v>
      </c>
      <c r="B55" s="1100"/>
      <c r="C55" s="1100"/>
      <c r="D55" s="1100"/>
      <c r="E55" s="1100"/>
      <c r="F55" s="1100"/>
      <c r="G55" s="1100"/>
      <c r="H55" s="1100"/>
      <c r="I55" s="1100"/>
      <c r="J55" s="1100"/>
      <c r="K55" s="1100"/>
      <c r="L55" s="1100"/>
      <c r="M55" s="1100"/>
      <c r="N55" s="1100"/>
      <c r="O55" s="1100"/>
      <c r="P55" s="1100"/>
      <c r="Q55" s="1100"/>
      <c r="R55" s="1100"/>
      <c r="S55" s="1100"/>
      <c r="T55" s="1100"/>
      <c r="U55" s="1100"/>
      <c r="V55" s="1100"/>
      <c r="W55" s="1100"/>
      <c r="X55" s="1100"/>
      <c r="Y55" s="1100"/>
      <c r="Z55" s="1100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</row>
    <row r="56" spans="1:54" ht="24" customHeight="1" outlineLevel="1">
      <c r="A56" s="1106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106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</row>
    <row r="57" spans="1:54" ht="9.75" customHeight="1" outlineLevel="1">
      <c r="A57" s="1105" t="s">
        <v>523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1105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</row>
    <row r="58" spans="1:54" ht="12" customHeight="1">
      <c r="A58" s="1178" t="s">
        <v>429</v>
      </c>
      <c r="B58" s="1178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8"/>
      <c r="N58" s="1178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8"/>
      <c r="Z58" s="1178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8"/>
      <c r="AL58" s="1178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8"/>
      <c r="AX58" s="1178"/>
      <c r="AY58" s="1178"/>
      <c r="AZ58" s="1178"/>
    </row>
    <row r="59" spans="1:54" ht="12" customHeight="1">
      <c r="A59" s="1181" t="str">
        <f>ФОРМА!D25</f>
        <v>воздушной линии 10кВ</v>
      </c>
      <c r="B59" s="1181"/>
      <c r="C59" s="1181"/>
      <c r="D59" s="1181"/>
      <c r="E59" s="1181"/>
      <c r="F59" s="1181"/>
      <c r="G59" s="1181"/>
      <c r="H59" s="1181"/>
      <c r="I59" s="1181"/>
      <c r="J59" s="1181"/>
      <c r="K59" s="1181"/>
      <c r="L59" s="1181"/>
      <c r="M59" s="1181"/>
      <c r="N59" s="1181"/>
      <c r="O59" s="1181"/>
      <c r="P59" s="1181"/>
      <c r="Q59" s="1181"/>
      <c r="R59" s="1181"/>
      <c r="S59" s="1181"/>
      <c r="T59" s="1181"/>
      <c r="U59" s="1181"/>
      <c r="V59" s="1181"/>
      <c r="W59" s="1181"/>
      <c r="X59" s="1181"/>
      <c r="Y59" s="1181"/>
      <c r="Z59" s="1181"/>
      <c r="AA59" s="1181"/>
      <c r="AB59" s="1181"/>
      <c r="AC59" s="1181"/>
      <c r="AD59" s="1181"/>
      <c r="AE59" s="1181"/>
      <c r="AF59" s="1181"/>
      <c r="AG59" s="1181"/>
      <c r="AH59" s="1181"/>
      <c r="AI59" s="1181"/>
      <c r="AJ59" s="1181"/>
      <c r="AK59" s="1181"/>
      <c r="AL59" s="1181"/>
      <c r="AM59" s="1181"/>
      <c r="AN59" s="1181"/>
      <c r="AO59" s="1181"/>
      <c r="AP59" s="1181"/>
      <c r="AQ59" s="1181"/>
      <c r="AR59" s="1181"/>
      <c r="AS59" s="1181"/>
      <c r="AT59" s="1181"/>
      <c r="AU59" s="1181"/>
      <c r="AV59" s="1181"/>
      <c r="AW59" s="1181"/>
      <c r="AX59" s="1181"/>
      <c r="AY59" s="1181"/>
      <c r="AZ59" s="1181"/>
    </row>
    <row r="60" spans="1:54" ht="12" customHeight="1">
      <c r="A60" s="1182" t="s">
        <v>430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</row>
    <row r="61" spans="1:54" ht="34.9" customHeight="1">
      <c r="A61" s="11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83"/>
      <c r="C61" s="1183"/>
      <c r="D61" s="1183"/>
      <c r="E61" s="1183"/>
      <c r="F61" s="1183"/>
      <c r="G61" s="1183"/>
      <c r="H61" s="1183"/>
      <c r="I61" s="1183"/>
      <c r="J61" s="1183"/>
      <c r="K61" s="1183"/>
      <c r="L61" s="1183"/>
      <c r="M61" s="1183"/>
      <c r="N61" s="1183"/>
      <c r="O61" s="1183"/>
      <c r="P61" s="1183"/>
      <c r="Q61" s="1183"/>
      <c r="R61" s="1183"/>
      <c r="S61" s="1183"/>
      <c r="T61" s="1183"/>
      <c r="U61" s="1183"/>
      <c r="V61" s="1183"/>
      <c r="W61" s="1183"/>
      <c r="X61" s="1183"/>
      <c r="Y61" s="1183"/>
      <c r="Z61" s="1183"/>
      <c r="AA61" s="1183"/>
      <c r="AB61" s="1183"/>
      <c r="AC61" s="1183"/>
      <c r="AD61" s="1183"/>
      <c r="AE61" s="1183"/>
      <c r="AF61" s="1183"/>
      <c r="AG61" s="1183"/>
      <c r="AH61" s="1183"/>
      <c r="AI61" s="1183"/>
      <c r="AJ61" s="1183"/>
      <c r="AK61" s="1183"/>
      <c r="AL61" s="1183"/>
      <c r="AM61" s="1183"/>
      <c r="AN61" s="1183"/>
      <c r="AO61" s="1183"/>
      <c r="AP61" s="1183"/>
      <c r="AQ61" s="1183"/>
      <c r="AR61" s="1183"/>
      <c r="AS61" s="1183"/>
      <c r="AT61" s="1183"/>
      <c r="AU61" s="1183"/>
      <c r="AV61" s="1183"/>
      <c r="AW61" s="1183"/>
      <c r="AX61" s="1183"/>
      <c r="AY61" s="1183"/>
      <c r="AZ61" s="1183"/>
    </row>
    <row r="62" spans="1:54" ht="6" customHeight="1">
      <c r="A62" s="118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84"/>
      <c r="C62" s="1184"/>
      <c r="D62" s="1184"/>
      <c r="E62" s="1184"/>
      <c r="F62" s="1184"/>
      <c r="G62" s="1184"/>
      <c r="H62" s="1184"/>
      <c r="I62" s="1184"/>
      <c r="J62" s="1184"/>
      <c r="K62" s="1184"/>
      <c r="L62" s="1184"/>
      <c r="M62" s="1184"/>
      <c r="N62" s="1184"/>
      <c r="O62" s="1184"/>
      <c r="P62" s="1184"/>
      <c r="Q62" s="1184"/>
      <c r="R62" s="1184"/>
      <c r="S62" s="1184"/>
      <c r="T62" s="1184"/>
      <c r="U62" s="1184"/>
      <c r="V62" s="1184"/>
      <c r="W62" s="1184"/>
      <c r="X62" s="1184"/>
      <c r="Y62" s="1184"/>
      <c r="Z62" s="1184"/>
      <c r="AA62" s="1184"/>
      <c r="AB62" s="1184"/>
      <c r="AC62" s="1184"/>
      <c r="AD62" s="1184"/>
      <c r="AE62" s="1184"/>
      <c r="AF62" s="1184"/>
      <c r="AG62" s="1184"/>
      <c r="AH62" s="1184"/>
      <c r="AI62" s="1184"/>
      <c r="AJ62" s="1184"/>
      <c r="AK62" s="1184"/>
      <c r="AL62" s="1184"/>
      <c r="AM62" s="1184"/>
      <c r="AN62" s="1184"/>
      <c r="AO62" s="1184"/>
      <c r="AP62" s="1184"/>
      <c r="AQ62" s="1184"/>
      <c r="AR62" s="1184"/>
      <c r="AS62" s="1184"/>
      <c r="AT62" s="1184"/>
      <c r="AU62" s="1184"/>
      <c r="AV62" s="1184"/>
      <c r="AW62" s="1184"/>
      <c r="AX62" s="1184"/>
      <c r="AY62" s="1184"/>
      <c r="AZ62" s="1184"/>
    </row>
    <row r="63" spans="1:54" ht="12" customHeight="1">
      <c r="A63" s="1190" t="s">
        <v>432</v>
      </c>
      <c r="B63" s="1190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0"/>
      <c r="N63" s="1190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0"/>
      <c r="Z63" s="1190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0"/>
      <c r="AL63" s="1190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0"/>
      <c r="AX63" s="1190"/>
      <c r="AY63" s="1190"/>
      <c r="AZ63" s="1190"/>
    </row>
    <row r="64" spans="1:54" ht="12" customHeight="1">
      <c r="A64" s="1190" t="s">
        <v>433</v>
      </c>
      <c r="B64" s="1190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0"/>
      <c r="N64" s="1190"/>
      <c r="O64" s="1190"/>
      <c r="P64" s="1190"/>
      <c r="Q64" s="1190"/>
      <c r="R64" s="1190"/>
      <c r="S64" s="1190"/>
      <c r="T64" s="1190"/>
      <c r="U64" s="1181" t="str">
        <f>ФОРМА!B9</f>
        <v>СЭС-23-32939-ЭС-ТКР2</v>
      </c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80" t="s">
        <v>568</v>
      </c>
      <c r="V65" s="1180"/>
      <c r="W65" s="1180"/>
      <c r="X65" s="1180"/>
      <c r="Y65" s="1180"/>
      <c r="Z65" s="1180"/>
      <c r="AA65" s="1180"/>
      <c r="AB65" s="1180"/>
      <c r="AC65" s="1180"/>
      <c r="AD65" s="1180"/>
      <c r="AE65" s="1180"/>
      <c r="AF65" s="1180"/>
      <c r="AG65" s="1180"/>
      <c r="AH65" s="1180"/>
      <c r="AI65" s="1180"/>
      <c r="AJ65" s="1180"/>
      <c r="AK65" s="1180"/>
      <c r="AL65" s="1180"/>
      <c r="AM65" s="1180"/>
      <c r="AN65" s="1180"/>
      <c r="AO65" s="1180"/>
      <c r="AP65" s="1180"/>
      <c r="AQ65" s="1180"/>
      <c r="AR65" s="1180"/>
      <c r="AS65" s="1180"/>
      <c r="AT65" s="1180"/>
      <c r="AU65" s="1180"/>
      <c r="AV65" s="1180"/>
      <c r="AW65" s="1180"/>
      <c r="AX65" s="1180"/>
      <c r="AY65" s="1180"/>
      <c r="AZ65" s="1180"/>
    </row>
    <row r="66" spans="1:56" ht="12" customHeight="1">
      <c r="A66" s="1181" t="str">
        <f>ФОРМА!B8</f>
        <v>ООО «Строительные энергетические технологии»</v>
      </c>
      <c r="B66" s="1181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1"/>
      <c r="N66" s="1181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1"/>
      <c r="Z66" s="1181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1"/>
      <c r="AL66" s="1181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1"/>
      <c r="AX66" s="1181"/>
      <c r="AY66" s="1181"/>
      <c r="AZ66" s="1181"/>
    </row>
    <row r="67" spans="1:56" s="302" customFormat="1" ht="6" customHeight="1">
      <c r="A67" s="1184" t="s">
        <v>571</v>
      </c>
      <c r="B67" s="1184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</row>
    <row r="68" spans="1:56" ht="12" customHeight="1">
      <c r="A68" s="1187" t="s">
        <v>434</v>
      </c>
      <c r="B68" s="1187"/>
      <c r="C68" s="1187"/>
      <c r="D68" s="1187"/>
      <c r="E68" s="1187"/>
      <c r="F68" s="1187"/>
      <c r="G68" s="1187"/>
      <c r="H68" s="1187"/>
      <c r="I68" s="1187"/>
      <c r="J68" s="1187"/>
      <c r="K68" s="1187"/>
      <c r="L68" s="1187"/>
      <c r="M68" s="1187"/>
      <c r="N68" s="1187"/>
      <c r="O68" s="1187"/>
      <c r="P68" s="1187"/>
      <c r="Q68" s="1187"/>
      <c r="R68" s="1187"/>
      <c r="S68" s="1188" t="s">
        <v>435</v>
      </c>
      <c r="T68" s="1188"/>
      <c r="U68" s="1188"/>
      <c r="V68" s="1188"/>
      <c r="W68" s="1188"/>
      <c r="X68" s="1188"/>
      <c r="Y68" s="1188"/>
      <c r="Z68" s="1188"/>
      <c r="AA68" s="1188"/>
      <c r="AB68" s="1188"/>
      <c r="AC68" s="1188"/>
      <c r="AD68" s="1188"/>
      <c r="AE68" s="1188"/>
      <c r="AF68" s="1188"/>
      <c r="AG68" s="1188"/>
      <c r="AH68" s="1188"/>
      <c r="AI68" s="1188"/>
      <c r="AJ68" s="1188"/>
      <c r="AK68" s="1188"/>
      <c r="AL68" s="1188"/>
      <c r="AM68" s="1188"/>
      <c r="AN68" s="1188"/>
      <c r="AO68" s="1188"/>
      <c r="AP68" s="1188"/>
      <c r="AQ68" s="1188"/>
      <c r="AR68" s="1188"/>
      <c r="AS68" s="1188"/>
      <c r="AT68" s="1188"/>
      <c r="AU68" s="1188"/>
      <c r="AV68" s="1188"/>
      <c r="AW68" s="1188"/>
      <c r="AX68" s="1188"/>
      <c r="AY68" s="1188"/>
      <c r="AZ68" s="1188"/>
    </row>
    <row r="69" spans="1:56" ht="12" customHeight="1">
      <c r="A69" s="1189" t="s">
        <v>520</v>
      </c>
      <c r="B69" s="1189"/>
      <c r="C69" s="1189"/>
      <c r="D69" s="1189"/>
      <c r="E69" s="1189"/>
      <c r="F69" s="1189"/>
      <c r="G69" s="1189"/>
      <c r="H69" s="1189"/>
      <c r="I69" s="1189"/>
      <c r="J69" s="1189"/>
      <c r="K69" s="1189"/>
      <c r="L69" s="1189"/>
      <c r="M69" s="1189"/>
      <c r="N69" s="1189"/>
      <c r="O69" s="1189"/>
      <c r="P69" s="1189"/>
      <c r="Q69" s="1189"/>
      <c r="R69" s="1189"/>
      <c r="S69" s="1189"/>
      <c r="T69" s="1189"/>
      <c r="U69" s="1189"/>
      <c r="V69" s="1189"/>
      <c r="W69" s="1189"/>
      <c r="X69" s="1189"/>
      <c r="Y69" s="1189"/>
      <c r="Z69" s="1189"/>
      <c r="AA69" s="1189"/>
      <c r="AB69" s="1189"/>
      <c r="AC69" s="1189"/>
      <c r="AD69" s="1189"/>
      <c r="AE69" s="1189"/>
      <c r="AF69" s="1189"/>
      <c r="AG69" s="1189"/>
      <c r="AH69" s="1189"/>
      <c r="AI69" s="1189"/>
      <c r="AJ69" s="1189"/>
      <c r="AK69" s="1189"/>
      <c r="AL69" s="1189"/>
      <c r="AM69" s="1189"/>
      <c r="AN69" s="1189"/>
      <c r="AO69" s="1189"/>
      <c r="AP69" s="1189"/>
      <c r="AQ69" s="1189"/>
      <c r="AR69" s="1189"/>
      <c r="AS69" s="1189"/>
      <c r="AT69" s="1189"/>
      <c r="AU69" s="1189"/>
      <c r="AV69" s="1189"/>
      <c r="AW69" s="1189"/>
      <c r="AX69" s="1189"/>
      <c r="AY69" s="1189"/>
      <c r="AZ69" s="1189"/>
      <c r="BD69" s="291"/>
    </row>
    <row r="70" spans="1:56" ht="12" customHeight="1">
      <c r="A70" s="1178" t="s">
        <v>436</v>
      </c>
      <c r="B70" s="1178"/>
      <c r="C70" s="1178"/>
      <c r="D70" s="1178"/>
      <c r="E70" s="1178"/>
      <c r="F70" s="1178"/>
      <c r="G70" s="1178"/>
      <c r="H70" s="1178"/>
      <c r="I70" s="1178"/>
      <c r="J70" s="1178"/>
      <c r="K70" s="1178"/>
      <c r="L70" s="1178"/>
      <c r="M70" s="1178"/>
      <c r="N70" s="1178"/>
      <c r="O70" s="1178"/>
      <c r="P70" s="1178"/>
      <c r="Q70" s="1178"/>
      <c r="R70" s="1178"/>
      <c r="S70" s="1178"/>
      <c r="T70" s="1178"/>
      <c r="U70" s="1178"/>
      <c r="V70" s="1178"/>
      <c r="W70" s="1178"/>
      <c r="X70" s="1178"/>
      <c r="Y70" s="1178"/>
      <c r="Z70" s="1178"/>
      <c r="AA70" s="1178"/>
      <c r="AB70" s="1178"/>
      <c r="AC70" s="1178"/>
      <c r="AD70" s="1178"/>
      <c r="AE70" s="1178"/>
      <c r="AF70" s="1178"/>
      <c r="AG70" s="1178"/>
      <c r="AH70" s="1178"/>
      <c r="AI70" s="1178"/>
      <c r="AJ70" s="1178"/>
      <c r="AK70" s="1178"/>
      <c r="AL70" s="1178"/>
      <c r="AM70" s="1178"/>
      <c r="AN70" s="1178"/>
      <c r="AO70" s="1178"/>
      <c r="AP70" s="1178"/>
      <c r="AQ70" s="1178"/>
      <c r="AR70" s="1178"/>
      <c r="AS70" s="1178"/>
      <c r="AT70" s="1178"/>
      <c r="AU70" s="1178"/>
      <c r="AV70" s="1178"/>
      <c r="AW70" s="1178"/>
      <c r="AX70" s="1178"/>
      <c r="AY70" s="1178"/>
      <c r="AZ70" s="1178"/>
      <c r="BA70" s="1178"/>
      <c r="BD70" s="291"/>
    </row>
    <row r="71" spans="1:56" ht="12" customHeight="1">
      <c r="A71" s="1178" t="s">
        <v>521</v>
      </c>
      <c r="B71" s="1178"/>
      <c r="C71" s="1178"/>
      <c r="D71" s="1178"/>
      <c r="E71" s="1178"/>
      <c r="F71" s="1178"/>
      <c r="G71" s="1178"/>
      <c r="H71" s="1178"/>
      <c r="I71" s="1178"/>
      <c r="J71" s="1178"/>
      <c r="K71" s="1178"/>
      <c r="L71" s="1178"/>
      <c r="M71" s="1178"/>
      <c r="N71" s="1178"/>
      <c r="O71" s="1178"/>
      <c r="P71" s="1178"/>
      <c r="Q71" s="1178"/>
      <c r="R71" s="1178"/>
      <c r="S71" s="1178"/>
      <c r="T71" s="1178"/>
      <c r="U71" s="1178"/>
      <c r="V71" s="1178"/>
      <c r="W71" s="1178"/>
      <c r="X71" s="1178"/>
      <c r="Y71" s="1178"/>
      <c r="Z71" s="1178"/>
      <c r="AA71" s="1178"/>
      <c r="AB71" s="1178"/>
      <c r="AC71" s="1178"/>
      <c r="AD71" s="1178"/>
      <c r="AE71" s="1178"/>
      <c r="AF71" s="1178"/>
      <c r="AG71" s="1178"/>
      <c r="AH71" s="1178"/>
      <c r="AI71" s="1178"/>
      <c r="AJ71" s="1178"/>
      <c r="AK71" s="1178"/>
      <c r="AL71" s="1178"/>
      <c r="AM71" s="1178"/>
      <c r="AN71" s="1178"/>
      <c r="AO71" s="1178"/>
      <c r="AP71" s="1178"/>
      <c r="AQ71" s="1178"/>
      <c r="AR71" s="1178"/>
      <c r="AS71" s="1178"/>
      <c r="AT71" s="1178"/>
      <c r="AU71" s="1178"/>
      <c r="AV71" s="1178"/>
      <c r="AW71" s="1178"/>
      <c r="AX71" s="1178"/>
      <c r="AY71" s="1178"/>
      <c r="AZ71" s="1178"/>
      <c r="BA71" s="326"/>
      <c r="BD71" s="297"/>
    </row>
    <row r="72" spans="1:56" ht="12" customHeight="1">
      <c r="A72" s="1188" t="str">
        <f>ФОРМА!B9</f>
        <v>СЭС-23-32939-ЭС-ТКР2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D72" s="297"/>
    </row>
    <row r="73" spans="1:56" s="327" customFormat="1" ht="6" customHeight="1">
      <c r="A73" s="1195" t="s">
        <v>568</v>
      </c>
      <c r="B73" s="1195"/>
      <c r="C73" s="1195"/>
      <c r="D73" s="1195"/>
      <c r="E73" s="1195"/>
      <c r="F73" s="1195"/>
      <c r="G73" s="1195"/>
      <c r="H73" s="1195"/>
      <c r="I73" s="1195"/>
      <c r="J73" s="1195"/>
      <c r="K73" s="1195"/>
      <c r="L73" s="1195"/>
      <c r="M73" s="1195"/>
      <c r="N73" s="1195"/>
      <c r="O73" s="1195"/>
      <c r="P73" s="1195"/>
      <c r="Q73" s="1195"/>
      <c r="R73" s="1195"/>
      <c r="S73" s="1195"/>
      <c r="T73" s="1195"/>
      <c r="U73" s="1195"/>
      <c r="V73" s="1195"/>
      <c r="W73" s="1195"/>
      <c r="X73" s="1195"/>
      <c r="Y73" s="1195"/>
      <c r="Z73" s="1195"/>
      <c r="AA73" s="1195"/>
      <c r="AB73" s="1195"/>
      <c r="AC73" s="1195"/>
      <c r="AD73" s="1195"/>
      <c r="AE73" s="1195"/>
      <c r="AF73" s="1195"/>
      <c r="AG73" s="1195"/>
      <c r="AH73" s="1195"/>
      <c r="AI73" s="1195"/>
      <c r="AJ73" s="1195"/>
      <c r="AK73" s="1195"/>
      <c r="AL73" s="1195"/>
      <c r="AM73" s="1195"/>
      <c r="AN73" s="1195"/>
      <c r="AO73" s="1195"/>
      <c r="AP73" s="1195"/>
      <c r="AQ73" s="1195"/>
      <c r="AR73" s="1195"/>
      <c r="AS73" s="1195"/>
      <c r="AT73" s="1195"/>
      <c r="AU73" s="1195"/>
      <c r="AV73" s="1195"/>
      <c r="AW73" s="1195"/>
      <c r="AX73" s="1195"/>
      <c r="AY73" s="1195"/>
      <c r="AZ73" s="1195"/>
    </row>
    <row r="74" spans="1:56" ht="12" customHeight="1">
      <c r="A74" s="1099" t="str">
        <f>ФОРМА!B8</f>
        <v>ООО «Строительные энергетические технологии»</v>
      </c>
      <c r="B74" s="1099"/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D74" s="297"/>
    </row>
    <row r="75" spans="1:56" s="328" customFormat="1" ht="6" customHeight="1">
      <c r="A75" s="1195" t="s">
        <v>570</v>
      </c>
      <c r="B75" s="1195"/>
      <c r="C75" s="1195"/>
      <c r="D75" s="1195"/>
      <c r="E75" s="1195"/>
      <c r="F75" s="1195"/>
      <c r="G75" s="1195"/>
      <c r="H75" s="1195"/>
      <c r="I75" s="1195"/>
      <c r="J75" s="1195"/>
      <c r="K75" s="1195"/>
      <c r="L75" s="1195"/>
      <c r="M75" s="1195"/>
      <c r="N75" s="1195"/>
      <c r="O75" s="1195"/>
      <c r="P75" s="1195"/>
      <c r="Q75" s="1195"/>
      <c r="R75" s="1195"/>
      <c r="S75" s="1195"/>
      <c r="T75" s="1195"/>
      <c r="U75" s="1195"/>
      <c r="V75" s="1195"/>
      <c r="W75" s="1195"/>
      <c r="X75" s="1195"/>
      <c r="Y75" s="1195"/>
      <c r="Z75" s="1195"/>
      <c r="AA75" s="1195"/>
      <c r="AB75" s="1195"/>
      <c r="AC75" s="1195"/>
      <c r="AD75" s="1195"/>
      <c r="AE75" s="1195"/>
      <c r="AF75" s="1195"/>
      <c r="AG75" s="1195"/>
      <c r="AH75" s="1195"/>
      <c r="AI75" s="1195"/>
      <c r="AJ75" s="1195"/>
      <c r="AK75" s="1195"/>
      <c r="AL75" s="1195"/>
      <c r="AM75" s="1195"/>
      <c r="AN75" s="1195"/>
      <c r="AO75" s="1195"/>
      <c r="AP75" s="1195"/>
      <c r="AQ75" s="1195"/>
      <c r="AR75" s="1195"/>
      <c r="AS75" s="1195"/>
      <c r="AT75" s="1195"/>
      <c r="AU75" s="1195"/>
      <c r="AV75" s="1195"/>
      <c r="AW75" s="1195"/>
      <c r="AX75" s="1195"/>
      <c r="AY75" s="1195"/>
      <c r="AZ75" s="1195"/>
    </row>
    <row r="76" spans="1:56" ht="12" customHeight="1">
      <c r="A76" s="1196" t="s">
        <v>726</v>
      </c>
      <c r="B76" s="1196"/>
      <c r="C76" s="1196"/>
      <c r="D76" s="1196"/>
      <c r="E76" s="1196"/>
      <c r="F76" s="1196"/>
      <c r="G76" s="1196"/>
      <c r="H76" s="1196"/>
      <c r="I76" s="1196"/>
      <c r="J76" s="1196"/>
      <c r="K76" s="1196"/>
      <c r="L76" s="1196"/>
      <c r="M76" s="1196"/>
      <c r="N76" s="1196"/>
      <c r="O76" s="1196"/>
      <c r="P76" s="1196"/>
      <c r="Q76" s="1196"/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</row>
    <row r="77" spans="1:56" s="314" customFormat="1" ht="6" customHeight="1">
      <c r="A77" s="1197" t="s">
        <v>569</v>
      </c>
      <c r="B77" s="1197"/>
      <c r="C77" s="1197"/>
      <c r="D77" s="1197"/>
      <c r="E77" s="1197"/>
      <c r="F77" s="1197"/>
      <c r="G77" s="1197"/>
      <c r="H77" s="1197"/>
      <c r="I77" s="1197"/>
      <c r="J77" s="1197"/>
      <c r="K77" s="1197"/>
      <c r="L77" s="1197"/>
      <c r="M77" s="1197"/>
      <c r="N77" s="1197"/>
      <c r="O77" s="1197"/>
      <c r="P77" s="1197"/>
      <c r="Q77" s="1197"/>
      <c r="R77" s="1197"/>
      <c r="S77" s="1197"/>
      <c r="T77" s="1197"/>
      <c r="U77" s="1197"/>
      <c r="V77" s="1197"/>
      <c r="W77" s="1197"/>
      <c r="X77" s="1197"/>
      <c r="Y77" s="1197"/>
      <c r="Z77" s="1197"/>
      <c r="AA77" s="1197"/>
      <c r="AB77" s="1197"/>
      <c r="AC77" s="1197"/>
      <c r="AD77" s="1197"/>
      <c r="AE77" s="1197"/>
      <c r="AF77" s="1197"/>
      <c r="AG77" s="1197"/>
      <c r="AH77" s="1197"/>
      <c r="AI77" s="1197"/>
      <c r="AJ77" s="1197"/>
      <c r="AK77" s="1197"/>
      <c r="AL77" s="1197"/>
      <c r="AM77" s="1197"/>
      <c r="AN77" s="1197"/>
      <c r="AO77" s="1197"/>
      <c r="AP77" s="1197"/>
      <c r="AQ77" s="1197"/>
      <c r="AR77" s="1197"/>
      <c r="AS77" s="1197"/>
      <c r="AT77" s="1197"/>
      <c r="AU77" s="1197"/>
      <c r="AV77" s="1197"/>
      <c r="AW77" s="1197"/>
      <c r="AX77" s="1197"/>
      <c r="AY77" s="1197"/>
      <c r="AZ77" s="1197"/>
    </row>
    <row r="78" spans="1:56">
      <c r="A78" s="1193" t="s">
        <v>437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1"/>
      <c r="V79" s="1191"/>
      <c r="W79" s="1191"/>
      <c r="X79" s="1191"/>
      <c r="Y79" s="1191"/>
      <c r="Z79" s="1191"/>
      <c r="AA79" s="1191"/>
      <c r="AB79" s="1191"/>
      <c r="AC79" s="1191"/>
      <c r="AD79" s="1191"/>
      <c r="AE79" s="1191"/>
      <c r="AF79" s="1191"/>
      <c r="AG79" s="1191"/>
      <c r="AH79" s="1191"/>
      <c r="AI79" s="1191"/>
      <c r="AJ79" s="1191"/>
      <c r="AK79" s="1191"/>
      <c r="AL79" s="1191"/>
      <c r="AM79" s="1191"/>
      <c r="AN79" s="1191"/>
      <c r="AO79" s="1191"/>
      <c r="AP79" s="1191"/>
      <c r="AQ79" s="1191"/>
      <c r="AR79" s="1191"/>
      <c r="AS79" s="1191"/>
      <c r="AT79" s="1191"/>
      <c r="AU79" s="1191"/>
      <c r="AV79" s="1191"/>
      <c r="AW79" s="1191"/>
      <c r="AX79" s="1191"/>
      <c r="AY79" s="1191"/>
      <c r="AZ79" s="1191"/>
    </row>
    <row r="80" spans="1:56" ht="12" customHeight="1">
      <c r="A80" s="1100" t="s">
        <v>86</v>
      </c>
      <c r="B80" s="1100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0"/>
      <c r="N80" s="1100"/>
      <c r="O80" s="1100"/>
      <c r="P80" s="1192" t="s">
        <v>65</v>
      </c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</row>
    <row r="81" spans="1:53" ht="11.25" customHeight="1"/>
    <row r="82" spans="1:53" ht="12" customHeight="1">
      <c r="A82" s="1193" t="s">
        <v>90</v>
      </c>
      <c r="B82" s="1193"/>
      <c r="C82" s="1193"/>
      <c r="D82" s="1193"/>
      <c r="E82" s="1193"/>
      <c r="F82" s="1193"/>
      <c r="G82" s="1193"/>
      <c r="H82" s="1193"/>
      <c r="I82" s="1193"/>
      <c r="J82" s="1194">
        <f>ФОРМА!F5</f>
        <v>2</v>
      </c>
      <c r="K82" s="1194"/>
      <c r="L82" s="1194"/>
      <c r="M82" s="1194"/>
      <c r="N82" s="1194"/>
      <c r="O82" s="1194"/>
      <c r="P82" s="1100" t="s">
        <v>796</v>
      </c>
      <c r="Q82" s="1100"/>
      <c r="R82" s="1100"/>
      <c r="S82" s="1100"/>
      <c r="T82" s="1100"/>
      <c r="U82" s="1100"/>
      <c r="V82" s="1100"/>
      <c r="W82" s="1100"/>
      <c r="X82" s="1100"/>
      <c r="Y82" s="1100"/>
      <c r="Z82" s="1100"/>
      <c r="AA82" s="1100"/>
      <c r="AB82" s="1100"/>
      <c r="AC82" s="1100"/>
      <c r="AD82" s="1100"/>
      <c r="AE82" s="1100"/>
      <c r="AF82" s="1100"/>
      <c r="AG82" s="1100"/>
      <c r="AH82" s="1100"/>
      <c r="AI82" s="1100"/>
      <c r="AJ82" s="1100"/>
      <c r="AK82" s="1100"/>
      <c r="AL82" s="1100"/>
      <c r="AM82" s="1100"/>
      <c r="AN82" s="1100"/>
      <c r="AO82" s="1100"/>
      <c r="AP82" s="1100"/>
      <c r="AQ82" s="1100"/>
      <c r="AR82" s="1100"/>
      <c r="AS82" s="1100"/>
      <c r="AT82" s="1100"/>
      <c r="AU82" s="1100"/>
      <c r="AV82" s="1100"/>
      <c r="AW82" s="1100"/>
      <c r="AX82" s="1100"/>
      <c r="AY82" s="1100"/>
      <c r="AZ82" s="1100"/>
    </row>
    <row r="84" spans="1:53" ht="12" customHeight="1">
      <c r="A84" s="1193" t="s">
        <v>87</v>
      </c>
      <c r="B84" s="1193"/>
      <c r="C84" s="1193"/>
      <c r="D84" s="1193"/>
      <c r="E84" s="1193"/>
      <c r="F84" s="1193"/>
      <c r="G84" s="1193"/>
      <c r="H84" s="1202" t="str">
        <f>ФОРМА!E25</f>
        <v>План строительства</v>
      </c>
      <c r="I84" s="1202"/>
      <c r="J84" s="1202"/>
      <c r="K84" s="1202"/>
      <c r="L84" s="1202"/>
      <c r="M84" s="1202"/>
      <c r="N84" s="1202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2"/>
      <c r="Z84" s="1202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2"/>
      <c r="AL84" s="1202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2"/>
      <c r="AX84" s="1202"/>
      <c r="AY84" s="1202"/>
      <c r="AZ84" s="1202"/>
    </row>
    <row r="85" spans="1:53" s="325" customFormat="1" ht="6" customHeight="1">
      <c r="H85" s="1203" t="s">
        <v>522</v>
      </c>
      <c r="I85" s="1203"/>
      <c r="J85" s="1203"/>
      <c r="K85" s="1203"/>
      <c r="L85" s="1203"/>
      <c r="M85" s="1203"/>
      <c r="N85" s="1203"/>
      <c r="O85" s="1203"/>
      <c r="P85" s="1203"/>
      <c r="Q85" s="1203"/>
      <c r="R85" s="1203"/>
      <c r="S85" s="1203"/>
      <c r="T85" s="1203"/>
      <c r="U85" s="1203"/>
      <c r="V85" s="1203"/>
      <c r="W85" s="1203"/>
      <c r="X85" s="1203"/>
      <c r="Y85" s="1203"/>
      <c r="Z85" s="1203"/>
      <c r="AA85" s="1203"/>
      <c r="AB85" s="1203"/>
      <c r="AC85" s="1203"/>
      <c r="AD85" s="1203"/>
      <c r="AE85" s="1203"/>
      <c r="AF85" s="1203"/>
      <c r="AG85" s="1203"/>
      <c r="AH85" s="1203"/>
      <c r="AI85" s="1203"/>
      <c r="AJ85" s="1203"/>
      <c r="AK85" s="1203"/>
      <c r="AL85" s="1203"/>
      <c r="AM85" s="1203"/>
      <c r="AN85" s="1203"/>
      <c r="AO85" s="1203"/>
      <c r="AP85" s="1203"/>
      <c r="AQ85" s="1203"/>
      <c r="AR85" s="1203"/>
      <c r="AS85" s="1203"/>
      <c r="AT85" s="1203"/>
      <c r="AU85" s="1203"/>
      <c r="AV85" s="1203"/>
      <c r="AW85" s="1203"/>
      <c r="AX85" s="1203"/>
      <c r="AY85" s="1203"/>
      <c r="AZ85" s="1203"/>
    </row>
    <row r="86" spans="1:53" ht="24" customHeight="1">
      <c r="A86" s="1198" t="s">
        <v>780</v>
      </c>
      <c r="B86" s="1198"/>
      <c r="C86" s="1198"/>
      <c r="D86" s="1198"/>
      <c r="E86" s="1198"/>
      <c r="F86" s="1198"/>
      <c r="G86" s="1198"/>
      <c r="H86" s="1198"/>
      <c r="I86" s="1198"/>
      <c r="J86" s="1198"/>
      <c r="K86" s="1198"/>
      <c r="L86" s="1198"/>
      <c r="M86" s="1198"/>
      <c r="N86" s="1198"/>
      <c r="O86" s="1198"/>
      <c r="P86" s="1198"/>
      <c r="Q86" s="1198"/>
      <c r="R86" s="1198"/>
      <c r="S86" s="1198"/>
      <c r="T86" s="1198"/>
      <c r="U86" s="1198"/>
      <c r="V86" s="1198"/>
      <c r="W86" s="1198"/>
      <c r="X86" s="1198"/>
      <c r="Y86" s="1198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8"/>
      <c r="AP86" s="1198"/>
      <c r="AQ86" s="1198"/>
      <c r="AR86" s="1198"/>
      <c r="AS86" s="1198"/>
      <c r="AT86" s="1198"/>
      <c r="AU86" s="1198"/>
      <c r="AV86" s="1198"/>
      <c r="AW86" s="1198"/>
      <c r="AX86" s="1198"/>
      <c r="AY86" s="1198"/>
      <c r="AZ86" s="1198"/>
    </row>
    <row r="87" spans="1:53" ht="28.9" customHeight="1">
      <c r="A87" s="1204" t="str">
        <f>IF(ПОДПИСИ!B9="",ПОДПИСИ!D6,ПОДПИСИ!D9)</f>
        <v>Филёва Н.О.</v>
      </c>
      <c r="B87" s="1204"/>
      <c r="C87" s="1204"/>
      <c r="D87" s="1204"/>
      <c r="E87" s="1204"/>
      <c r="F87" s="1204"/>
      <c r="G87" s="1204"/>
      <c r="H87" s="1204"/>
      <c r="I87" s="1204"/>
      <c r="J87" s="1204"/>
      <c r="K87" s="1204"/>
      <c r="L87" s="1204"/>
      <c r="M87" s="1204"/>
      <c r="N87" s="1204"/>
      <c r="O87" s="1204"/>
      <c r="P87" s="1204"/>
      <c r="Q87" s="1204"/>
      <c r="R87" s="1204"/>
      <c r="S87" s="1204"/>
      <c r="T87" s="1204"/>
      <c r="U87" s="1204"/>
      <c r="V87" s="1204"/>
      <c r="W87" s="1204"/>
      <c r="X87" s="1204"/>
      <c r="Y87" s="1204"/>
      <c r="Z87" s="1205"/>
      <c r="AA87" s="1205"/>
      <c r="AB87" s="1205"/>
      <c r="AC87" s="1205"/>
      <c r="AD87" s="1205"/>
      <c r="AE87" s="1205"/>
      <c r="AF87" s="1205"/>
      <c r="AG87" s="1205"/>
      <c r="AH87" s="1205"/>
      <c r="AI87" s="1205"/>
      <c r="AJ87" s="1205"/>
      <c r="AK87" s="1205"/>
      <c r="AL87" s="1205"/>
      <c r="AM87" s="1205"/>
      <c r="AN87" s="1205"/>
      <c r="AO87" s="1206"/>
      <c r="AP87" s="1206"/>
      <c r="AQ87" s="1206"/>
      <c r="AR87" s="1206"/>
      <c r="AS87" s="1206"/>
      <c r="AT87" s="1206"/>
      <c r="AU87" s="1206"/>
      <c r="AV87" s="1206"/>
      <c r="AW87" s="1206"/>
      <c r="AX87" s="1206"/>
      <c r="AY87" s="1206"/>
      <c r="AZ87" s="1206"/>
    </row>
    <row r="88" spans="1:53" s="314" customFormat="1" ht="6" customHeight="1">
      <c r="A88" s="1180" t="s">
        <v>799</v>
      </c>
      <c r="B88" s="1180"/>
      <c r="C88" s="1180"/>
      <c r="D88" s="1180"/>
      <c r="E88" s="1180"/>
      <c r="F88" s="1180"/>
      <c r="G88" s="1180"/>
      <c r="H88" s="1180"/>
      <c r="I88" s="1180"/>
      <c r="J88" s="1180"/>
      <c r="K88" s="1180"/>
      <c r="L88" s="1180"/>
      <c r="M88" s="1180"/>
      <c r="N88" s="1180"/>
      <c r="O88" s="1180"/>
      <c r="P88" s="1180"/>
      <c r="Q88" s="1180"/>
      <c r="R88" s="1180"/>
      <c r="S88" s="1180"/>
      <c r="T88" s="1180"/>
      <c r="U88" s="1180"/>
      <c r="V88" s="1180"/>
      <c r="W88" s="1180"/>
      <c r="X88" s="1180"/>
      <c r="Y88" s="118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80" t="s">
        <v>49</v>
      </c>
      <c r="AP88" s="1180"/>
      <c r="AQ88" s="1180"/>
      <c r="AR88" s="1180"/>
      <c r="AS88" s="1180"/>
      <c r="AT88" s="1180"/>
      <c r="AU88" s="1180"/>
      <c r="AV88" s="1180"/>
      <c r="AW88" s="1180"/>
      <c r="AX88" s="1180"/>
      <c r="AY88" s="1180"/>
      <c r="AZ88" s="1180"/>
    </row>
    <row r="89" spans="1:53" ht="6" customHeight="1"/>
    <row r="90" spans="1:53" ht="12" customHeight="1">
      <c r="A90" s="1198" t="s">
        <v>815</v>
      </c>
      <c r="B90" s="1100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0"/>
      <c r="N90" s="1100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0"/>
      <c r="Z90" s="1100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0"/>
      <c r="AL90" s="1100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0"/>
      <c r="AX90" s="1100"/>
      <c r="AY90" s="1100"/>
      <c r="AZ90" s="1100"/>
    </row>
    <row r="91" spans="1:53" ht="28.9" customHeight="1">
      <c r="A91" s="1199" t="str">
        <f>ПОДПИСИ!D15</f>
        <v>Матвеев А.С.</v>
      </c>
      <c r="B91" s="1199"/>
      <c r="C91" s="1199"/>
      <c r="D91" s="1199"/>
      <c r="E91" s="1199"/>
      <c r="F91" s="1199"/>
      <c r="G91" s="1199"/>
      <c r="H91" s="1199"/>
      <c r="I91" s="1199"/>
      <c r="J91" s="1199"/>
      <c r="K91" s="1199"/>
      <c r="L91" s="1199"/>
      <c r="M91" s="1199"/>
      <c r="N91" s="1199"/>
      <c r="O91" s="1199"/>
      <c r="P91" s="1199"/>
      <c r="Q91" s="1199"/>
      <c r="R91" s="1199"/>
      <c r="S91" s="1199"/>
      <c r="T91" s="1199"/>
      <c r="U91" s="1199"/>
      <c r="V91" s="1199"/>
      <c r="W91" s="1199"/>
      <c r="X91" s="1199"/>
      <c r="Y91" s="1199"/>
      <c r="Z91" s="1200"/>
      <c r="AA91" s="1200"/>
      <c r="AB91" s="1200"/>
      <c r="AC91" s="1200"/>
      <c r="AD91" s="1200"/>
      <c r="AE91" s="1200"/>
      <c r="AF91" s="1200"/>
      <c r="AG91" s="1200"/>
      <c r="AH91" s="1200"/>
      <c r="AI91" s="1200"/>
      <c r="AJ91" s="1200"/>
      <c r="AK91" s="1200"/>
      <c r="AL91" s="1200"/>
      <c r="AM91" s="1200"/>
      <c r="AN91" s="1200"/>
      <c r="AO91" s="1201"/>
      <c r="AP91" s="1201"/>
      <c r="AQ91" s="1201"/>
      <c r="AR91" s="1201"/>
      <c r="AS91" s="1201"/>
      <c r="AT91" s="1201"/>
      <c r="AU91" s="1201"/>
      <c r="AV91" s="1201"/>
      <c r="AW91" s="1201"/>
      <c r="AX91" s="1201"/>
      <c r="AY91" s="1201"/>
      <c r="AZ91" s="1201"/>
      <c r="BA91" s="330"/>
    </row>
    <row r="92" spans="1:53" s="333" customFormat="1" ht="6" customHeight="1">
      <c r="A92" s="1180" t="s">
        <v>799</v>
      </c>
      <c r="B92" s="1180"/>
      <c r="C92" s="1180"/>
      <c r="D92" s="1180"/>
      <c r="E92" s="1180"/>
      <c r="F92" s="1180"/>
      <c r="G92" s="1180"/>
      <c r="H92" s="1180"/>
      <c r="I92" s="1180"/>
      <c r="J92" s="1180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  <c r="U92" s="1180"/>
      <c r="V92" s="1180"/>
      <c r="W92" s="1180"/>
      <c r="X92" s="1180"/>
      <c r="Y92" s="118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80" t="s">
        <v>49</v>
      </c>
      <c r="AP92" s="1180"/>
      <c r="AQ92" s="1180"/>
      <c r="AR92" s="1180"/>
      <c r="AS92" s="1180"/>
      <c r="AT92" s="1180"/>
      <c r="AU92" s="1180"/>
      <c r="AV92" s="1180"/>
      <c r="AW92" s="1180"/>
      <c r="AX92" s="1180"/>
      <c r="AY92" s="1180"/>
      <c r="AZ92" s="1180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209" t="s">
        <v>811</v>
      </c>
      <c r="B94" s="1209"/>
      <c r="C94" s="1209"/>
      <c r="D94" s="1209"/>
      <c r="E94" s="1209"/>
      <c r="F94" s="1209"/>
      <c r="G94" s="1209"/>
      <c r="H94" s="1209"/>
      <c r="I94" s="1209"/>
      <c r="J94" s="1209"/>
      <c r="K94" s="1209"/>
      <c r="L94" s="1209"/>
      <c r="M94" s="1209"/>
      <c r="N94" s="1209"/>
      <c r="O94" s="1209"/>
      <c r="P94" s="1209"/>
      <c r="Q94" s="1209"/>
      <c r="R94" s="1209"/>
      <c r="S94" s="1209"/>
      <c r="T94" s="1209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209"/>
      <c r="AT94" s="1209"/>
      <c r="AU94" s="1209"/>
      <c r="AV94" s="1209"/>
      <c r="AW94" s="1209"/>
      <c r="AX94" s="1209"/>
      <c r="AY94" s="1209"/>
      <c r="AZ94" s="1209"/>
      <c r="BA94" s="330"/>
    </row>
    <row r="95" spans="1:53" ht="28.9" customHeight="1">
      <c r="A95" s="1199" t="str">
        <f>ПОДПИСИ!D17</f>
        <v>Матвеев А.С.</v>
      </c>
      <c r="B95" s="1199"/>
      <c r="C95" s="1199"/>
      <c r="D95" s="1199"/>
      <c r="E95" s="1199"/>
      <c r="F95" s="1199"/>
      <c r="G95" s="1199"/>
      <c r="H95" s="1199"/>
      <c r="I95" s="1199"/>
      <c r="J95" s="1199"/>
      <c r="K95" s="1199"/>
      <c r="L95" s="1199"/>
      <c r="M95" s="1199"/>
      <c r="N95" s="1199"/>
      <c r="O95" s="1199"/>
      <c r="P95" s="1199"/>
      <c r="Q95" s="1199"/>
      <c r="R95" s="1199"/>
      <c r="S95" s="1199"/>
      <c r="T95" s="1199"/>
      <c r="U95" s="1199"/>
      <c r="V95" s="1199"/>
      <c r="W95" s="1199"/>
      <c r="X95" s="1199"/>
      <c r="Y95" s="1199"/>
      <c r="Z95" s="1200"/>
      <c r="AA95" s="1200"/>
      <c r="AB95" s="1200"/>
      <c r="AC95" s="1200"/>
      <c r="AD95" s="1200"/>
      <c r="AE95" s="1200"/>
      <c r="AF95" s="1200"/>
      <c r="AG95" s="1200"/>
      <c r="AH95" s="1200"/>
      <c r="AI95" s="1200"/>
      <c r="AJ95" s="1200"/>
      <c r="AK95" s="1200"/>
      <c r="AL95" s="1200"/>
      <c r="AM95" s="1200"/>
      <c r="AN95" s="1200"/>
      <c r="AO95" s="1210" t="s">
        <v>64</v>
      </c>
      <c r="AP95" s="1210"/>
      <c r="AQ95" s="1210"/>
      <c r="AR95" s="1210"/>
      <c r="AS95" s="1210"/>
      <c r="AT95" s="1210"/>
      <c r="AU95" s="1210"/>
      <c r="AV95" s="1210"/>
      <c r="AW95" s="1210"/>
      <c r="AX95" s="1210"/>
      <c r="AY95" s="1210"/>
      <c r="AZ95" s="1210"/>
      <c r="BA95" s="1210"/>
    </row>
    <row r="96" spans="1:53" ht="6" customHeight="1">
      <c r="A96" s="1180" t="s">
        <v>799</v>
      </c>
      <c r="B96" s="1180"/>
      <c r="C96" s="1180"/>
      <c r="D96" s="1180"/>
      <c r="E96" s="1180"/>
      <c r="F96" s="1180"/>
      <c r="G96" s="1180"/>
      <c r="H96" s="1180"/>
      <c r="I96" s="1180"/>
      <c r="J96" s="1180"/>
      <c r="K96" s="1180"/>
      <c r="L96" s="1180"/>
      <c r="M96" s="1180"/>
      <c r="N96" s="1180"/>
      <c r="O96" s="1180"/>
      <c r="P96" s="1180"/>
      <c r="Q96" s="1180"/>
      <c r="R96" s="1180"/>
      <c r="S96" s="1180"/>
      <c r="T96" s="1180"/>
      <c r="U96" s="1180"/>
      <c r="V96" s="1180"/>
      <c r="W96" s="1180"/>
      <c r="X96" s="1180"/>
      <c r="Y96" s="118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80" t="s">
        <v>49</v>
      </c>
      <c r="AP96" s="1180"/>
      <c r="AQ96" s="1180"/>
      <c r="AR96" s="1180"/>
      <c r="AS96" s="1180"/>
      <c r="AT96" s="1180"/>
      <c r="AU96" s="1180"/>
      <c r="AV96" s="1180"/>
      <c r="AW96" s="1180"/>
      <c r="AX96" s="1180"/>
      <c r="AY96" s="1180"/>
      <c r="AZ96" s="1180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207" t="s">
        <v>801</v>
      </c>
      <c r="B98" s="1208"/>
      <c r="C98" s="1208"/>
      <c r="D98" s="1208"/>
      <c r="E98" s="1208"/>
      <c r="F98" s="1208"/>
      <c r="G98" s="1208"/>
      <c r="H98" s="1208"/>
      <c r="I98" s="1208"/>
      <c r="J98" s="1208"/>
      <c r="K98" s="1208"/>
      <c r="L98" s="1208"/>
      <c r="M98" s="1208"/>
      <c r="N98" s="1208"/>
      <c r="O98" s="1208"/>
      <c r="P98" s="1208"/>
      <c r="Q98" s="1208"/>
      <c r="R98" s="1208"/>
      <c r="S98" s="1208"/>
      <c r="T98" s="1208"/>
      <c r="U98" s="1208"/>
      <c r="V98" s="1208"/>
      <c r="W98" s="1208"/>
      <c r="X98" s="1208"/>
      <c r="Y98" s="1208"/>
      <c r="Z98" s="1208"/>
      <c r="AA98" s="1208"/>
      <c r="AB98" s="1208"/>
      <c r="AC98" s="1208"/>
      <c r="AD98" s="1208"/>
      <c r="AE98" s="1208"/>
      <c r="AF98" s="1208"/>
      <c r="AG98" s="1208"/>
      <c r="AH98" s="1208"/>
      <c r="AI98" s="1208"/>
      <c r="AJ98" s="1208"/>
      <c r="AK98" s="1208"/>
      <c r="AL98" s="1208"/>
      <c r="AM98" s="1208"/>
      <c r="AN98" s="1208"/>
      <c r="AO98" s="1208"/>
      <c r="AP98" s="1208"/>
      <c r="AQ98" s="1208"/>
      <c r="AR98" s="1208"/>
      <c r="AS98" s="1208"/>
      <c r="AT98" s="1208"/>
      <c r="AU98" s="1208"/>
      <c r="AV98" s="1208"/>
      <c r="AW98" s="1208"/>
      <c r="AX98" s="1208"/>
      <c r="AY98" s="1208"/>
      <c r="AZ98" s="1208"/>
      <c r="BA98" s="330"/>
    </row>
    <row r="99" spans="1:55" ht="28.9" customHeight="1">
      <c r="A99" s="1199" t="str">
        <f>ПОДПИСИ!D19</f>
        <v xml:space="preserve"> </v>
      </c>
      <c r="B99" s="1199"/>
      <c r="C99" s="1199"/>
      <c r="D99" s="1199"/>
      <c r="E99" s="1199"/>
      <c r="F99" s="1199"/>
      <c r="G99" s="1199"/>
      <c r="H99" s="1199"/>
      <c r="I99" s="1199"/>
      <c r="J99" s="1199"/>
      <c r="K99" s="1199"/>
      <c r="L99" s="1199"/>
      <c r="M99" s="1199"/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200"/>
      <c r="AA99" s="1200"/>
      <c r="AB99" s="1200"/>
      <c r="AC99" s="1200"/>
      <c r="AD99" s="1200"/>
      <c r="AE99" s="1200"/>
      <c r="AF99" s="1200"/>
      <c r="AG99" s="1200"/>
      <c r="AH99" s="1200"/>
      <c r="AI99" s="1200"/>
      <c r="AJ99" s="1200"/>
      <c r="AK99" s="1200"/>
      <c r="AL99" s="1200"/>
      <c r="AM99" s="1200"/>
      <c r="AN99" s="1200"/>
      <c r="AO99" s="1201" t="s">
        <v>64</v>
      </c>
      <c r="AP99" s="1201"/>
      <c r="AQ99" s="1201"/>
      <c r="AR99" s="1201"/>
      <c r="AS99" s="1201"/>
      <c r="AT99" s="1201"/>
      <c r="AU99" s="1201"/>
      <c r="AV99" s="1201"/>
      <c r="AW99" s="1201"/>
      <c r="AX99" s="1201"/>
      <c r="AY99" s="1201"/>
      <c r="AZ99" s="1201"/>
      <c r="BA99" s="336"/>
    </row>
    <row r="100" spans="1:55" ht="6" customHeight="1">
      <c r="A100" s="1180" t="s">
        <v>799</v>
      </c>
      <c r="B100" s="1180"/>
      <c r="C100" s="1180"/>
      <c r="D100" s="1180"/>
      <c r="E100" s="1180"/>
      <c r="F100" s="1180"/>
      <c r="G100" s="1180"/>
      <c r="H100" s="1180"/>
      <c r="I100" s="1180"/>
      <c r="J100" s="1180"/>
      <c r="K100" s="1180"/>
      <c r="L100" s="1180"/>
      <c r="M100" s="1180"/>
      <c r="N100" s="1180"/>
      <c r="O100" s="1180"/>
      <c r="P100" s="1180"/>
      <c r="Q100" s="1180"/>
      <c r="R100" s="1180"/>
      <c r="S100" s="1180"/>
      <c r="T100" s="1180"/>
      <c r="U100" s="1180"/>
      <c r="V100" s="1180"/>
      <c r="W100" s="1180"/>
      <c r="X100" s="1180"/>
      <c r="Y100" s="118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80" t="s">
        <v>49</v>
      </c>
      <c r="AP100" s="1180"/>
      <c r="AQ100" s="1180"/>
      <c r="AR100" s="1180"/>
      <c r="AS100" s="1180"/>
      <c r="AT100" s="1180"/>
      <c r="AU100" s="1180"/>
      <c r="AV100" s="1180"/>
      <c r="AW100" s="1180"/>
      <c r="AX100" s="1180"/>
      <c r="AY100" s="1180"/>
      <c r="AZ100" s="1180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207" t="s">
        <v>816</v>
      </c>
      <c r="B102" s="1207"/>
      <c r="C102" s="1207"/>
      <c r="D102" s="1207"/>
      <c r="E102" s="1207"/>
      <c r="F102" s="1207"/>
      <c r="G102" s="1207"/>
      <c r="H102" s="1207"/>
      <c r="I102" s="1207"/>
      <c r="J102" s="1207"/>
      <c r="K102" s="1207"/>
      <c r="L102" s="1207"/>
      <c r="M102" s="1207"/>
      <c r="N102" s="1207"/>
      <c r="O102" s="1207"/>
      <c r="P102" s="1207"/>
      <c r="Q102" s="1207"/>
      <c r="R102" s="1207"/>
      <c r="S102" s="1207"/>
      <c r="T102" s="1207"/>
      <c r="U102" s="1207"/>
      <c r="V102" s="1207"/>
      <c r="W102" s="1207"/>
      <c r="X102" s="1207"/>
      <c r="Y102" s="1207"/>
      <c r="Z102" s="1207"/>
      <c r="AA102" s="1207"/>
      <c r="AB102" s="1207"/>
      <c r="AC102" s="1207"/>
      <c r="AD102" s="1207"/>
      <c r="AE102" s="1207"/>
      <c r="AF102" s="1207"/>
      <c r="AG102" s="1207"/>
      <c r="AH102" s="1207"/>
      <c r="AI102" s="1207"/>
      <c r="AJ102" s="1207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07"/>
      <c r="AZ102" s="1207"/>
      <c r="BA102" s="330"/>
    </row>
    <row r="103" spans="1:55" ht="28.9" customHeight="1">
      <c r="A103" s="1199" t="str">
        <f>ПОДПИСИ!D14</f>
        <v>Алексеенков Д.С.</v>
      </c>
      <c r="B103" s="1199"/>
      <c r="C103" s="1199"/>
      <c r="D103" s="1199"/>
      <c r="E103" s="1199"/>
      <c r="F103" s="1199"/>
      <c r="G103" s="1199"/>
      <c r="H103" s="1199"/>
      <c r="I103" s="1199"/>
      <c r="J103" s="1199"/>
      <c r="K103" s="1199"/>
      <c r="L103" s="1199"/>
      <c r="M103" s="1199"/>
      <c r="N103" s="1199"/>
      <c r="O103" s="1199"/>
      <c r="P103" s="1199"/>
      <c r="Q103" s="1199"/>
      <c r="R103" s="1199"/>
      <c r="S103" s="1199"/>
      <c r="T103" s="1199"/>
      <c r="U103" s="1199"/>
      <c r="V103" s="1199"/>
      <c r="W103" s="1199"/>
      <c r="X103" s="1199"/>
      <c r="Y103" s="1199"/>
      <c r="Z103" s="1200"/>
      <c r="AA103" s="1200"/>
      <c r="AB103" s="1200"/>
      <c r="AC103" s="1200"/>
      <c r="AD103" s="1200"/>
      <c r="AE103" s="1200"/>
      <c r="AF103" s="1200"/>
      <c r="AG103" s="1200"/>
      <c r="AH103" s="1200"/>
      <c r="AI103" s="1200"/>
      <c r="AJ103" s="1200"/>
      <c r="AK103" s="1200"/>
      <c r="AL103" s="1200"/>
      <c r="AM103" s="1200"/>
      <c r="AN103" s="1200"/>
      <c r="AO103" s="1201"/>
      <c r="AP103" s="1201"/>
      <c r="AQ103" s="1201"/>
      <c r="AR103" s="1201"/>
      <c r="AS103" s="1201"/>
      <c r="AT103" s="1201"/>
      <c r="AU103" s="1201"/>
      <c r="AV103" s="1201"/>
      <c r="AW103" s="1201"/>
      <c r="AX103" s="1201"/>
      <c r="AY103" s="1201"/>
      <c r="AZ103" s="1201"/>
      <c r="BA103" s="337"/>
      <c r="BB103" s="316"/>
      <c r="BC103" s="316"/>
    </row>
    <row r="104" spans="1:55" s="305" customFormat="1" ht="6" customHeight="1">
      <c r="A104" s="1180" t="s">
        <v>799</v>
      </c>
      <c r="B104" s="1180"/>
      <c r="C104" s="1180"/>
      <c r="D104" s="1180"/>
      <c r="E104" s="1180"/>
      <c r="F104" s="1180"/>
      <c r="G104" s="1180"/>
      <c r="H104" s="1180"/>
      <c r="I104" s="1180"/>
      <c r="J104" s="1180"/>
      <c r="K104" s="1180"/>
      <c r="L104" s="1180"/>
      <c r="M104" s="1180"/>
      <c r="N104" s="1180"/>
      <c r="O104" s="1180"/>
      <c r="P104" s="1180"/>
      <c r="Q104" s="1180"/>
      <c r="R104" s="1180"/>
      <c r="S104" s="1180"/>
      <c r="T104" s="1180"/>
      <c r="U104" s="1180"/>
      <c r="V104" s="1180"/>
      <c r="W104" s="1180"/>
      <c r="X104" s="1180"/>
      <c r="Y104" s="118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80" t="s">
        <v>49</v>
      </c>
      <c r="AP104" s="1180"/>
      <c r="AQ104" s="1180"/>
      <c r="AR104" s="1180"/>
      <c r="AS104" s="1180"/>
      <c r="AT104" s="1180"/>
      <c r="AU104" s="1180"/>
      <c r="AV104" s="1180"/>
      <c r="AW104" s="1180"/>
      <c r="AX104" s="1180"/>
      <c r="AY104" s="1180"/>
      <c r="AZ104" s="1180"/>
    </row>
    <row r="105" spans="1:55">
      <c r="A105" s="1163" t="s">
        <v>942</v>
      </c>
      <c r="B105" s="1163"/>
      <c r="C105" s="1163"/>
      <c r="D105" s="1163"/>
      <c r="E105" s="1163"/>
      <c r="F105" s="1163"/>
      <c r="G105" s="1163"/>
      <c r="H105" s="1163"/>
      <c r="I105" s="1163"/>
      <c r="J105" s="1163"/>
      <c r="K105" s="1163"/>
      <c r="L105" s="1163"/>
      <c r="M105" s="1163"/>
      <c r="N105" s="1163"/>
      <c r="O105" s="1163"/>
      <c r="P105" s="1163"/>
      <c r="Q105" s="1163"/>
      <c r="R105" s="1163"/>
      <c r="S105" s="1163"/>
      <c r="T105" s="1163"/>
      <c r="U105" s="1163"/>
      <c r="V105" s="1163"/>
      <c r="W105" s="1163"/>
      <c r="X105" s="1163"/>
      <c r="Y105" s="1163"/>
      <c r="Z105" s="1163"/>
      <c r="AA105" s="1163"/>
      <c r="AB105" s="1163"/>
      <c r="AC105" s="1163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V105" s="1163"/>
      <c r="AW105" s="1163"/>
      <c r="AX105" s="1163"/>
      <c r="AY105" s="1163"/>
      <c r="AZ105" s="1163"/>
    </row>
    <row r="106" spans="1:55" ht="28.9" customHeight="1">
      <c r="A106" s="1158" t="str">
        <f>IF(ПОДПИСИ!D9="","",ПОДПИСИ!D6)</f>
        <v>Чечин Д.М.</v>
      </c>
      <c r="B106" s="1158"/>
      <c r="C106" s="1158"/>
      <c r="D106" s="1158"/>
      <c r="E106" s="1158"/>
      <c r="F106" s="1158"/>
      <c r="G106" s="1158"/>
      <c r="H106" s="1158"/>
      <c r="I106" s="1158"/>
      <c r="J106" s="1158"/>
      <c r="K106" s="1158"/>
      <c r="L106" s="1158"/>
      <c r="M106" s="1158"/>
      <c r="N106" s="1158"/>
      <c r="O106" s="1158"/>
      <c r="P106" s="1158"/>
      <c r="Q106" s="1158"/>
      <c r="R106" s="1158"/>
      <c r="S106" s="1158"/>
      <c r="T106" s="1158"/>
      <c r="U106" s="1158"/>
      <c r="V106" s="1158"/>
      <c r="W106" s="1158"/>
      <c r="X106" s="1158"/>
      <c r="Y106" s="1158"/>
      <c r="Z106" s="1159"/>
      <c r="AA106" s="1159"/>
      <c r="AB106" s="1159"/>
      <c r="AC106" s="1159"/>
      <c r="AD106" s="1159"/>
      <c r="AE106" s="1159"/>
      <c r="AF106" s="1159"/>
      <c r="AG106" s="1159"/>
      <c r="AH106" s="1159"/>
      <c r="AI106" s="1159"/>
      <c r="AJ106" s="1159"/>
      <c r="AK106" s="1159"/>
      <c r="AL106" s="1159"/>
      <c r="AM106" s="1159"/>
      <c r="AN106" s="1159"/>
      <c r="AO106" s="1160"/>
      <c r="AP106" s="1160"/>
      <c r="AQ106" s="1160"/>
      <c r="AR106" s="1160"/>
      <c r="AS106" s="1160"/>
      <c r="AT106" s="1160"/>
      <c r="AU106" s="1160"/>
      <c r="AV106" s="1160"/>
      <c r="AW106" s="1160"/>
      <c r="AX106" s="1160"/>
      <c r="AY106" s="1160"/>
      <c r="AZ106" s="1160"/>
    </row>
    <row r="107" spans="1:55" ht="9" customHeight="1">
      <c r="A107" s="1131" t="s">
        <v>799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  <c r="L107" s="1131"/>
      <c r="M107" s="1131"/>
      <c r="N107" s="1131"/>
      <c r="O107" s="1131"/>
      <c r="P107" s="1131"/>
      <c r="Q107" s="1131"/>
      <c r="R107" s="1131"/>
      <c r="S107" s="1131"/>
      <c r="T107" s="1131"/>
      <c r="U107" s="1131"/>
      <c r="V107" s="1131"/>
      <c r="W107" s="1131"/>
      <c r="X107" s="1131"/>
      <c r="Y107" s="113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31" t="s">
        <v>49</v>
      </c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4" outlineLevelRow="1"/>
  <cols>
    <col min="1" max="24" width="1.7265625" style="284" customWidth="1"/>
    <col min="25" max="25" width="4.54296875" style="284" customWidth="1"/>
    <col min="26" max="51" width="1.7265625" style="284" customWidth="1"/>
    <col min="52" max="52" width="4.1796875" style="284" customWidth="1"/>
    <col min="53" max="53" width="0.1796875" style="284" hidden="1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65" t="s">
        <v>567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165"/>
      <c r="AW1" s="1165"/>
      <c r="AX1" s="1165"/>
      <c r="AY1" s="1165"/>
      <c r="AZ1" s="1165"/>
      <c r="BA1" s="317"/>
    </row>
    <row r="2" spans="1:63" ht="12" customHeight="1">
      <c r="A2" s="1166" t="s">
        <v>72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  <c r="W3" s="1167"/>
      <c r="X3" s="1167"/>
      <c r="Y3" s="1167"/>
      <c r="Z3" s="1167"/>
      <c r="AA3" s="1167"/>
      <c r="AB3" s="1167"/>
      <c r="AC3" s="1167"/>
      <c r="AD3" s="1167"/>
      <c r="AE3" s="1167"/>
      <c r="AF3" s="1167"/>
      <c r="AG3" s="1167"/>
      <c r="AH3" s="1167"/>
      <c r="AI3" s="1167"/>
      <c r="AJ3" s="1167"/>
      <c r="AK3" s="1167"/>
      <c r="AL3" s="1167"/>
      <c r="AM3" s="1167"/>
      <c r="AN3" s="1167"/>
      <c r="AO3" s="1167"/>
      <c r="AP3" s="1167"/>
      <c r="AQ3" s="1167"/>
      <c r="AR3" s="1167"/>
      <c r="AS3" s="1167"/>
      <c r="AT3" s="1167"/>
      <c r="AU3" s="1167"/>
      <c r="AV3" s="1167"/>
      <c r="AW3" s="1167"/>
      <c r="AX3" s="1167"/>
      <c r="AY3" s="1167"/>
      <c r="AZ3" s="1167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168" t="s">
        <v>804</v>
      </c>
      <c r="B4" s="1168"/>
      <c r="C4" s="1168"/>
      <c r="D4" s="1168"/>
      <c r="E4" s="1168"/>
      <c r="F4" s="1168"/>
      <c r="G4" s="1168"/>
      <c r="H4" s="1168"/>
      <c r="I4" s="1168"/>
      <c r="J4" s="1168"/>
      <c r="K4" s="1168"/>
      <c r="L4" s="1168"/>
      <c r="M4" s="1168"/>
      <c r="N4" s="1168"/>
      <c r="O4" s="1168"/>
      <c r="P4" s="1168"/>
      <c r="Q4" s="1168"/>
      <c r="R4" s="1168"/>
      <c r="S4" s="1168"/>
      <c r="T4" s="1168"/>
      <c r="U4" s="1168"/>
      <c r="V4" s="1168"/>
      <c r="W4" s="1168"/>
      <c r="X4" s="1168"/>
      <c r="Y4" s="1168"/>
      <c r="Z4" s="1168"/>
      <c r="AA4" s="1168"/>
      <c r="AB4" s="1168"/>
      <c r="AC4" s="1168"/>
      <c r="AD4" s="1168"/>
      <c r="AE4" s="1168"/>
      <c r="AF4" s="1168"/>
      <c r="AG4" s="1168"/>
      <c r="AH4" s="1168"/>
      <c r="AI4" s="1168"/>
      <c r="AJ4" s="1168"/>
      <c r="AK4" s="1168"/>
      <c r="AL4" s="1168"/>
      <c r="AM4" s="1168"/>
      <c r="AN4" s="1168"/>
      <c r="AO4" s="1168"/>
      <c r="AP4" s="1168"/>
      <c r="AQ4" s="1168"/>
      <c r="AR4" s="1168"/>
      <c r="AS4" s="1168"/>
      <c r="AT4" s="1168"/>
      <c r="AU4" s="1168"/>
      <c r="AV4" s="1168"/>
      <c r="AW4" s="1168"/>
      <c r="AX4" s="1168"/>
      <c r="AY4" s="1168"/>
      <c r="AZ4" s="116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53" t="s">
        <v>771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3"/>
      <c r="AT5" s="1153"/>
      <c r="AU5" s="1153"/>
      <c r="AV5" s="1153"/>
      <c r="AW5" s="1153"/>
      <c r="AX5" s="1153"/>
      <c r="AY5" s="1153"/>
      <c r="AZ5" s="115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69" t="str">
        <f>ФОРМА!B2</f>
        <v>ПАО "Россети Ленэнерго"</v>
      </c>
      <c r="B6" s="1169"/>
      <c r="C6" s="1169"/>
      <c r="D6" s="1169"/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9"/>
      <c r="S6" s="1169"/>
      <c r="T6" s="1169"/>
      <c r="U6" s="1169"/>
      <c r="V6" s="1169"/>
      <c r="W6" s="1169"/>
      <c r="X6" s="1169"/>
      <c r="Y6" s="1169"/>
      <c r="Z6" s="1169"/>
      <c r="AA6" s="1169"/>
      <c r="AB6" s="1169"/>
      <c r="AC6" s="1169"/>
      <c r="AD6" s="1169"/>
      <c r="AE6" s="1169"/>
      <c r="AF6" s="1169"/>
      <c r="AG6" s="1169"/>
      <c r="AH6" s="1169"/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9"/>
      <c r="AW6" s="1169"/>
      <c r="AX6" s="1169"/>
      <c r="AY6" s="1169"/>
      <c r="AZ6" s="1169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68" t="s">
        <v>805</v>
      </c>
      <c r="B7" s="1168"/>
      <c r="C7" s="1168"/>
      <c r="D7" s="1168"/>
      <c r="E7" s="1168"/>
      <c r="F7" s="1168"/>
      <c r="G7" s="1168"/>
      <c r="H7" s="1168"/>
      <c r="I7" s="1168"/>
      <c r="J7" s="1168"/>
      <c r="K7" s="1168"/>
      <c r="L7" s="1168"/>
      <c r="M7" s="1168"/>
      <c r="N7" s="1168"/>
      <c r="O7" s="1168"/>
      <c r="P7" s="1168"/>
      <c r="Q7" s="1168"/>
      <c r="R7" s="1168"/>
      <c r="S7" s="1168"/>
      <c r="T7" s="1168"/>
      <c r="U7" s="1168"/>
      <c r="V7" s="1168"/>
      <c r="W7" s="1168"/>
      <c r="X7" s="1168"/>
      <c r="Y7" s="1168"/>
      <c r="Z7" s="1168"/>
      <c r="AA7" s="1168"/>
      <c r="AB7" s="1168"/>
      <c r="AC7" s="1168"/>
      <c r="AD7" s="1168"/>
      <c r="AE7" s="1168"/>
      <c r="AF7" s="1168"/>
      <c r="AG7" s="1168"/>
      <c r="AH7" s="1168"/>
      <c r="AI7" s="1168"/>
      <c r="AJ7" s="1168"/>
      <c r="AK7" s="1168"/>
      <c r="AL7" s="1168"/>
      <c r="AM7" s="1168"/>
      <c r="AN7" s="1168"/>
      <c r="AO7" s="1168"/>
      <c r="AP7" s="1168"/>
      <c r="AQ7" s="1168"/>
      <c r="AR7" s="1168"/>
      <c r="AS7" s="1168"/>
      <c r="AT7" s="1168"/>
      <c r="AU7" s="1168"/>
      <c r="AV7" s="1168"/>
      <c r="AW7" s="1168"/>
      <c r="AX7" s="1168"/>
      <c r="AY7" s="1168"/>
      <c r="AZ7" s="116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1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9"/>
      <c r="C8" s="1169"/>
      <c r="D8" s="1169"/>
      <c r="E8" s="1169"/>
      <c r="F8" s="1169"/>
      <c r="G8" s="1169"/>
      <c r="H8" s="1169"/>
      <c r="I8" s="1169"/>
      <c r="J8" s="1169"/>
      <c r="K8" s="1169"/>
      <c r="L8" s="1169"/>
      <c r="M8" s="1169"/>
      <c r="N8" s="1169"/>
      <c r="O8" s="1169"/>
      <c r="P8" s="1169"/>
      <c r="Q8" s="1169"/>
      <c r="R8" s="1169"/>
      <c r="S8" s="1169"/>
      <c r="T8" s="1169"/>
      <c r="U8" s="1169"/>
      <c r="V8" s="1169"/>
      <c r="W8" s="1169"/>
      <c r="X8" s="1169"/>
      <c r="Y8" s="1169"/>
      <c r="Z8" s="1169"/>
      <c r="AA8" s="1169"/>
      <c r="AB8" s="1169"/>
      <c r="AC8" s="1169"/>
      <c r="AD8" s="1169"/>
      <c r="AE8" s="1169"/>
      <c r="AF8" s="1169"/>
      <c r="AG8" s="1169"/>
      <c r="AH8" s="1169"/>
      <c r="AI8" s="1169"/>
      <c r="AJ8" s="1169"/>
      <c r="AK8" s="1169"/>
      <c r="AL8" s="1169"/>
      <c r="AM8" s="1169"/>
      <c r="AN8" s="1169"/>
      <c r="AO8" s="1169"/>
      <c r="AP8" s="1169"/>
      <c r="AQ8" s="1169"/>
      <c r="AR8" s="1169"/>
      <c r="AS8" s="1169"/>
      <c r="AT8" s="1169"/>
      <c r="AU8" s="1169"/>
      <c r="AV8" s="1169"/>
      <c r="AW8" s="1169"/>
      <c r="AX8" s="1169"/>
      <c r="AY8" s="1169"/>
      <c r="AZ8" s="116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170" t="s">
        <v>806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166" t="s">
        <v>775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</row>
    <row r="12" spans="1:63" s="305" customFormat="1" ht="6" customHeight="1">
      <c r="A12" s="1168" t="s">
        <v>805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318"/>
    </row>
    <row r="13" spans="1:63" ht="27.75" customHeight="1">
      <c r="A13" s="11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9"/>
      <c r="C13" s="1169"/>
      <c r="D13" s="1169"/>
      <c r="E13" s="1169"/>
      <c r="F13" s="1169"/>
      <c r="G13" s="1169"/>
      <c r="H13" s="1169"/>
      <c r="I13" s="1169"/>
      <c r="J13" s="1169"/>
      <c r="K13" s="1169"/>
      <c r="L13" s="1169"/>
      <c r="M13" s="1169"/>
      <c r="N13" s="1169"/>
      <c r="O13" s="1169"/>
      <c r="P13" s="1169"/>
      <c r="Q13" s="1169"/>
      <c r="R13" s="1169"/>
      <c r="S13" s="1169"/>
      <c r="T13" s="1169"/>
      <c r="U13" s="1169"/>
      <c r="V13" s="1169"/>
      <c r="W13" s="1169"/>
      <c r="X13" s="1169"/>
      <c r="Y13" s="1169"/>
      <c r="Z13" s="1169"/>
      <c r="AA13" s="1169"/>
      <c r="AB13" s="1169"/>
      <c r="AC13" s="1169"/>
      <c r="AD13" s="1169"/>
      <c r="AE13" s="1169"/>
      <c r="AF13" s="1169"/>
      <c r="AG13" s="1169"/>
      <c r="AH13" s="1169"/>
      <c r="AI13" s="1169"/>
      <c r="AJ13" s="1169"/>
      <c r="AK13" s="1169"/>
      <c r="AL13" s="1169"/>
      <c r="AM13" s="1169"/>
      <c r="AN13" s="1169"/>
      <c r="AO13" s="1169"/>
      <c r="AP13" s="1169"/>
      <c r="AQ13" s="1169"/>
      <c r="AR13" s="1169"/>
      <c r="AS13" s="1169"/>
      <c r="AT13" s="1169"/>
      <c r="AU13" s="1169"/>
      <c r="AV13" s="1169"/>
      <c r="AW13" s="1169"/>
      <c r="AX13" s="1169"/>
      <c r="AY13" s="1169"/>
      <c r="AZ13" s="1169"/>
      <c r="BA13" s="1169"/>
    </row>
    <row r="14" spans="1:63" s="305" customFormat="1" ht="21" customHeight="1">
      <c r="A14" s="1170" t="s">
        <v>807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  <c r="BA14" s="318"/>
    </row>
    <row r="15" spans="1:63" ht="12" customHeight="1">
      <c r="A15" s="1166" t="s">
        <v>74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  <c r="BA15" s="317"/>
    </row>
    <row r="16" spans="1:63" ht="12" customHeight="1">
      <c r="A16" s="1169" t="str">
        <f>ФОРМА!B8</f>
        <v>ООО «Строительные энергетические технологии»</v>
      </c>
      <c r="B16" s="1169"/>
      <c r="C16" s="116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169"/>
      <c r="R16" s="1169"/>
      <c r="S16" s="1169"/>
      <c r="T16" s="1169"/>
      <c r="U16" s="1169"/>
      <c r="V16" s="1169"/>
      <c r="W16" s="1169"/>
      <c r="X16" s="1169"/>
      <c r="Y16" s="1169"/>
      <c r="Z16" s="1169"/>
      <c r="AA16" s="1169"/>
      <c r="AB16" s="1169"/>
      <c r="AC16" s="1169"/>
      <c r="AD16" s="1169"/>
      <c r="AE16" s="1169"/>
      <c r="AF16" s="1169"/>
      <c r="AG16" s="1169"/>
      <c r="AH16" s="1169"/>
      <c r="AI16" s="1169"/>
      <c r="AJ16" s="1169"/>
      <c r="AK16" s="1169"/>
      <c r="AL16" s="1169"/>
      <c r="AM16" s="1169"/>
      <c r="AN16" s="1169"/>
      <c r="AO16" s="1169"/>
      <c r="AP16" s="1169"/>
      <c r="AQ16" s="1169"/>
      <c r="AR16" s="1169"/>
      <c r="AS16" s="1169"/>
      <c r="AT16" s="1169"/>
      <c r="AU16" s="1169"/>
      <c r="AV16" s="1169"/>
      <c r="AW16" s="1169"/>
      <c r="AX16" s="1169"/>
      <c r="AY16" s="1169"/>
      <c r="AZ16" s="1169"/>
      <c r="BA16" s="1169"/>
    </row>
    <row r="17" spans="1:53" s="305" customFormat="1" ht="9">
      <c r="A17" s="1168" t="s">
        <v>805</v>
      </c>
      <c r="B17" s="1168"/>
      <c r="C17" s="1168"/>
      <c r="D17" s="1168"/>
      <c r="E17" s="1168"/>
      <c r="F17" s="1168"/>
      <c r="G17" s="1168"/>
      <c r="H17" s="1168"/>
      <c r="I17" s="1168"/>
      <c r="J17" s="1168"/>
      <c r="K17" s="1168"/>
      <c r="L17" s="1168"/>
      <c r="M17" s="1168"/>
      <c r="N17" s="1168"/>
      <c r="O17" s="1168"/>
      <c r="P17" s="1168"/>
      <c r="Q17" s="1168"/>
      <c r="R17" s="1168"/>
      <c r="S17" s="1168"/>
      <c r="T17" s="1168"/>
      <c r="U17" s="1168"/>
      <c r="V17" s="1168"/>
      <c r="W17" s="1168"/>
      <c r="X17" s="1168"/>
      <c r="Y17" s="1168"/>
      <c r="Z17" s="1168"/>
      <c r="AA17" s="1168"/>
      <c r="AB17" s="1168"/>
      <c r="AC17" s="1168"/>
      <c r="AD17" s="1168"/>
      <c r="AE17" s="1168"/>
      <c r="AF17" s="1168"/>
      <c r="AG17" s="1168"/>
      <c r="AH17" s="1168"/>
      <c r="AI17" s="1168"/>
      <c r="AJ17" s="1168"/>
      <c r="AK17" s="1168"/>
      <c r="AL17" s="1168"/>
      <c r="AM17" s="1168"/>
      <c r="AN17" s="1168"/>
      <c r="AO17" s="1168"/>
      <c r="AP17" s="1168"/>
      <c r="AQ17" s="1168"/>
      <c r="AR17" s="1168"/>
      <c r="AS17" s="1168"/>
      <c r="AT17" s="1168"/>
      <c r="AU17" s="1168"/>
      <c r="AV17" s="1168"/>
      <c r="AW17" s="1168"/>
      <c r="AX17" s="1168"/>
      <c r="AY17" s="1168"/>
      <c r="AZ17" s="1168"/>
      <c r="BA17" s="318"/>
    </row>
    <row r="18" spans="1:53" ht="25.5" customHeight="1">
      <c r="A18" s="116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1169"/>
      <c r="P18" s="1169"/>
      <c r="Q18" s="1169"/>
      <c r="R18" s="1169"/>
      <c r="S18" s="1169"/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317"/>
    </row>
    <row r="19" spans="1:53" s="305" customFormat="1" ht="6.75" customHeight="1">
      <c r="A19" s="1170" t="s">
        <v>773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  <c r="BA19" s="318"/>
    </row>
    <row r="20" spans="1:53" s="305" customFormat="1" ht="15" customHeight="1">
      <c r="A20" s="1152"/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318"/>
    </row>
    <row r="21" spans="1:53" s="305" customFormat="1" ht="12" customHeight="1">
      <c r="A21" s="1151" t="s">
        <v>808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1173" t="s">
        <v>517</v>
      </c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175" t="s">
        <v>19</v>
      </c>
      <c r="B25" s="1175"/>
      <c r="C25" s="1141">
        <f>ФОРМА!B26</f>
        <v>2</v>
      </c>
      <c r="D25" s="1141"/>
      <c r="E25" s="1141"/>
      <c r="F25" s="1141"/>
      <c r="G25" s="1141"/>
      <c r="H25" s="1141"/>
      <c r="I25" s="1141"/>
      <c r="J25" s="1141"/>
      <c r="K25" s="1141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76"/>
      <c r="AH25" s="1176"/>
      <c r="AI25" s="1176"/>
      <c r="AJ25" s="322"/>
      <c r="AK25" s="322"/>
      <c r="AL25" s="1143">
        <f>ФОРМА!C26</f>
        <v>45551</v>
      </c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76"/>
      <c r="AX25" s="1176"/>
      <c r="AY25" s="1176"/>
      <c r="AZ25" s="1176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68" t="s">
        <v>453</v>
      </c>
      <c r="AM26" s="1168"/>
      <c r="AN26" s="1168"/>
      <c r="AO26" s="1168"/>
      <c r="AP26" s="1168"/>
      <c r="AQ26" s="1168"/>
      <c r="AR26" s="1168"/>
      <c r="AS26" s="1168"/>
      <c r="AT26" s="1168"/>
      <c r="AU26" s="1168"/>
      <c r="AV26" s="1168"/>
      <c r="AW26" s="318"/>
      <c r="AX26" s="318"/>
      <c r="AY26" s="318"/>
      <c r="AZ26" s="318"/>
      <c r="BA26" s="318"/>
    </row>
    <row r="27" spans="1:53" ht="24" customHeight="1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317"/>
    </row>
    <row r="28" spans="1:53" ht="12" customHeight="1">
      <c r="A28" s="1171" t="str">
        <f>IF(ПОДПИСИ!B9="",ПОДПИСИ!B7,ПОДПИСИ!B9)</f>
        <v>Ведущий инженер-геодезист АО "ЛЭСР"</v>
      </c>
      <c r="B28" s="1171"/>
      <c r="C28" s="1171"/>
      <c r="D28" s="1171"/>
      <c r="E28" s="1171"/>
      <c r="F28" s="1171"/>
      <c r="G28" s="1171"/>
      <c r="H28" s="1171"/>
      <c r="I28" s="1171"/>
      <c r="J28" s="1171"/>
      <c r="K28" s="1171"/>
      <c r="L28" s="1171"/>
      <c r="M28" s="1171"/>
      <c r="N28" s="1171"/>
      <c r="O28" s="1171"/>
      <c r="P28" s="1171"/>
      <c r="Q28" s="1171"/>
      <c r="R28" s="1171"/>
      <c r="S28" s="1171"/>
      <c r="T28" s="1171"/>
      <c r="U28" s="1171"/>
      <c r="V28" s="1171"/>
      <c r="W28" s="1171"/>
      <c r="X28" s="1171"/>
      <c r="Y28" s="1171"/>
      <c r="Z28" s="1171"/>
      <c r="AA28" s="1171"/>
      <c r="AB28" s="1171"/>
      <c r="AC28" s="1171"/>
      <c r="AD28" s="1171"/>
      <c r="AE28" s="1171"/>
      <c r="AF28" s="1171"/>
      <c r="AG28" s="1171"/>
      <c r="AH28" s="1171"/>
      <c r="AI28" s="1171"/>
      <c r="AJ28" s="1171"/>
      <c r="AK28" s="1171"/>
      <c r="AL28" s="1171"/>
      <c r="AM28" s="1171"/>
      <c r="AN28" s="1171"/>
      <c r="AO28" s="1171"/>
      <c r="AP28" s="1171"/>
      <c r="AQ28" s="1171"/>
      <c r="AR28" s="1171"/>
      <c r="AS28" s="1171"/>
      <c r="AT28" s="1171"/>
      <c r="AU28" s="1171"/>
      <c r="AV28" s="1171"/>
      <c r="AW28" s="1171"/>
      <c r="AX28" s="1171"/>
      <c r="AY28" s="1171"/>
      <c r="AZ28" s="1171"/>
      <c r="BA28" s="317"/>
    </row>
    <row r="29" spans="1:53" ht="12" customHeight="1">
      <c r="A29" s="1172" t="str">
        <f>IF(ПОДПИСИ!C9="",ПОДПИСИ!C7,CONCATENATE(ПОДПИСИ!C9,", ",ПОДПИСИ!F9))</f>
        <v xml:space="preserve">Филёва Н.О.,  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317"/>
    </row>
    <row r="30" spans="1:53" ht="15" customHeight="1">
      <c r="A30" s="1170" t="s">
        <v>781</v>
      </c>
      <c r="B30" s="1170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317"/>
    </row>
    <row r="31" spans="1:53" ht="12.65" customHeight="1">
      <c r="A31" s="1152"/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17"/>
    </row>
    <row r="32" spans="1:53" ht="21.75" customHeight="1">
      <c r="A32" s="1151" t="s">
        <v>809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  <c r="BA32" s="317"/>
    </row>
    <row r="33" spans="1:52" ht="12" customHeight="1">
      <c r="A33" s="1177" t="s">
        <v>783</v>
      </c>
      <c r="B33" s="1178"/>
      <c r="C33" s="1178"/>
      <c r="D33" s="1178"/>
      <c r="E33" s="1178"/>
      <c r="F33" s="1178"/>
      <c r="G33" s="1178"/>
      <c r="H33" s="1178"/>
      <c r="I33" s="1178"/>
      <c r="J33" s="1178"/>
      <c r="K33" s="1178"/>
      <c r="L33" s="1178"/>
      <c r="M33" s="1178"/>
      <c r="N33" s="1178"/>
      <c r="O33" s="1178"/>
      <c r="P33" s="1178"/>
      <c r="Q33" s="1178"/>
      <c r="R33" s="1178"/>
      <c r="S33" s="1178"/>
      <c r="T33" s="1178"/>
      <c r="U33" s="1178"/>
      <c r="V33" s="1178"/>
      <c r="W33" s="1178"/>
      <c r="X33" s="1178"/>
      <c r="Y33" s="1178"/>
      <c r="Z33" s="1178"/>
      <c r="AA33" s="1178"/>
      <c r="AB33" s="1178"/>
      <c r="AC33" s="1178"/>
      <c r="AD33" s="1178"/>
      <c r="AE33" s="1178"/>
      <c r="AF33" s="1178"/>
      <c r="AG33" s="1178"/>
      <c r="AH33" s="1178"/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</row>
    <row r="34" spans="1:52" ht="12" customHeight="1">
      <c r="A34" s="1154" t="str">
        <f>ПОДПИСИ!B15</f>
        <v xml:space="preserve">Заместитель генерального директора ООО «БЭСК» </v>
      </c>
      <c r="B34" s="1154"/>
      <c r="C34" s="1154"/>
      <c r="D34" s="1154"/>
      <c r="E34" s="1154"/>
      <c r="F34" s="1154"/>
      <c r="G34" s="1154"/>
      <c r="H34" s="1154"/>
      <c r="I34" s="1154"/>
      <c r="J34" s="1154"/>
      <c r="K34" s="1154"/>
      <c r="L34" s="1154"/>
      <c r="M34" s="1154"/>
      <c r="N34" s="1154"/>
      <c r="O34" s="1154"/>
      <c r="P34" s="1154"/>
      <c r="Q34" s="1154"/>
      <c r="R34" s="1154"/>
      <c r="S34" s="1154"/>
      <c r="T34" s="1154"/>
      <c r="U34" s="1154"/>
      <c r="V34" s="1154"/>
      <c r="W34" s="1154"/>
      <c r="X34" s="1154"/>
      <c r="Y34" s="1154"/>
      <c r="Z34" s="1154"/>
      <c r="AA34" s="1154"/>
      <c r="AB34" s="1154"/>
      <c r="AC34" s="1154"/>
      <c r="AD34" s="1154"/>
      <c r="AE34" s="1154"/>
      <c r="AF34" s="1154"/>
      <c r="AG34" s="1154"/>
      <c r="AH34" s="1154"/>
      <c r="AI34" s="1154"/>
      <c r="AJ34" s="1154"/>
      <c r="AK34" s="1154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</row>
    <row r="35" spans="1:52" ht="12" customHeight="1">
      <c r="A35" s="1179" t="str">
        <f>CONCATENATE(ПОДПИСИ!C15," ",ПОДПИСИ!F15)</f>
        <v xml:space="preserve">Матвеев А.С. </v>
      </c>
      <c r="B35" s="1179"/>
      <c r="C35" s="1179"/>
      <c r="D35" s="1179"/>
      <c r="E35" s="1179"/>
      <c r="F35" s="1179"/>
      <c r="G35" s="1179"/>
      <c r="H35" s="1179"/>
      <c r="I35" s="1179"/>
      <c r="J35" s="1179"/>
      <c r="K35" s="1179"/>
      <c r="L35" s="1179"/>
      <c r="M35" s="1179"/>
      <c r="N35" s="1179"/>
      <c r="O35" s="1179"/>
      <c r="P35" s="1179"/>
      <c r="Q35" s="1179"/>
      <c r="R35" s="1179"/>
      <c r="S35" s="1179"/>
      <c r="T35" s="1179"/>
      <c r="U35" s="1179"/>
      <c r="V35" s="1179"/>
      <c r="W35" s="1179"/>
      <c r="X35" s="1179"/>
      <c r="Y35" s="1179"/>
      <c r="Z35" s="1179"/>
      <c r="AA35" s="1179"/>
      <c r="AB35" s="1179"/>
      <c r="AC35" s="1179"/>
      <c r="AD35" s="1179"/>
      <c r="AE35" s="1179"/>
      <c r="AF35" s="1179"/>
      <c r="AG35" s="1179"/>
      <c r="AH35" s="1179"/>
      <c r="AI35" s="1179"/>
      <c r="AJ35" s="1179"/>
      <c r="AK35" s="1179"/>
      <c r="AL35" s="1179"/>
      <c r="AM35" s="1179"/>
      <c r="AN35" s="1179"/>
      <c r="AO35" s="1179"/>
      <c r="AP35" s="1179"/>
      <c r="AQ35" s="1179"/>
      <c r="AR35" s="1179"/>
      <c r="AS35" s="1179"/>
      <c r="AT35" s="1179"/>
      <c r="AU35" s="1179"/>
      <c r="AV35" s="1179"/>
      <c r="AW35" s="1179"/>
      <c r="AX35" s="1179"/>
      <c r="AY35" s="1179"/>
      <c r="AZ35" s="1179"/>
    </row>
    <row r="36" spans="1:52" ht="6" customHeight="1">
      <c r="A36" s="1180" t="s">
        <v>810</v>
      </c>
      <c r="B36" s="1180"/>
      <c r="C36" s="1180"/>
      <c r="D36" s="1180"/>
      <c r="E36" s="1180"/>
      <c r="F36" s="1180"/>
      <c r="G36" s="1180"/>
      <c r="H36" s="1180"/>
      <c r="I36" s="1180"/>
      <c r="J36" s="1180"/>
      <c r="K36" s="1180"/>
      <c r="L36" s="1180"/>
      <c r="M36" s="1180"/>
      <c r="N36" s="1180"/>
      <c r="O36" s="1180"/>
      <c r="P36" s="1180"/>
      <c r="Q36" s="1180"/>
      <c r="R36" s="1180"/>
      <c r="S36" s="1180"/>
      <c r="T36" s="1180"/>
      <c r="U36" s="1180"/>
      <c r="V36" s="1180"/>
      <c r="W36" s="1180"/>
      <c r="X36" s="1180"/>
      <c r="Y36" s="1180"/>
      <c r="Z36" s="1180"/>
      <c r="AA36" s="1180"/>
      <c r="AB36" s="1180"/>
      <c r="AC36" s="1180"/>
      <c r="AD36" s="1180"/>
      <c r="AE36" s="1180"/>
      <c r="AF36" s="1180"/>
      <c r="AG36" s="1180"/>
      <c r="AH36" s="1180"/>
      <c r="AI36" s="1180"/>
      <c r="AJ36" s="1180"/>
      <c r="AK36" s="1180"/>
      <c r="AL36" s="1180"/>
      <c r="AM36" s="1180"/>
      <c r="AN36" s="1180"/>
      <c r="AO36" s="1180"/>
      <c r="AP36" s="1180"/>
      <c r="AQ36" s="1180"/>
      <c r="AR36" s="1180"/>
      <c r="AS36" s="1180"/>
      <c r="AT36" s="1180"/>
      <c r="AU36" s="1180"/>
      <c r="AV36" s="1180"/>
      <c r="AW36" s="1180"/>
      <c r="AX36" s="1180"/>
      <c r="AY36" s="1180"/>
      <c r="AZ36" s="1180"/>
    </row>
    <row r="37" spans="1:52" ht="24" customHeight="1">
      <c r="A37" s="1153" t="s">
        <v>811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</row>
    <row r="38" spans="1:52" ht="12" customHeight="1">
      <c r="A38" s="1154" t="str">
        <f>ПОДПИСИ!B17</f>
        <v xml:space="preserve">Заместитель генерального директора ООО «БЭСК» 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  <c r="L38" s="1154"/>
      <c r="M38" s="1154"/>
      <c r="N38" s="1154"/>
      <c r="O38" s="1154"/>
      <c r="P38" s="1154"/>
      <c r="Q38" s="1154"/>
      <c r="R38" s="1154"/>
      <c r="S38" s="1154"/>
      <c r="T38" s="1154"/>
      <c r="U38" s="1154"/>
      <c r="V38" s="1154"/>
      <c r="W38" s="1154"/>
      <c r="X38" s="1154"/>
      <c r="Y38" s="1154"/>
      <c r="Z38" s="1154"/>
      <c r="AA38" s="1154"/>
      <c r="AB38" s="1154"/>
      <c r="AC38" s="1154"/>
      <c r="AD38" s="1154"/>
      <c r="AE38" s="1154"/>
      <c r="AF38" s="1154"/>
      <c r="AG38" s="1154"/>
      <c r="AH38" s="1154"/>
      <c r="AI38" s="1154"/>
      <c r="AJ38" s="1154"/>
      <c r="AK38" s="1154"/>
      <c r="AL38" s="1154"/>
      <c r="AM38" s="1154"/>
      <c r="AN38" s="1154"/>
      <c r="AO38" s="1154"/>
      <c r="AP38" s="1154"/>
      <c r="AQ38" s="1154"/>
      <c r="AR38" s="1154"/>
      <c r="AS38" s="1154"/>
      <c r="AT38" s="1154"/>
      <c r="AU38" s="1154"/>
      <c r="AV38" s="1154"/>
      <c r="AW38" s="1154"/>
      <c r="AX38" s="1154"/>
      <c r="AY38" s="1154"/>
      <c r="AZ38" s="1154"/>
    </row>
    <row r="39" spans="1:52" ht="12" customHeight="1">
      <c r="A39" s="1154" t="str">
        <f>CONCATENATE(ПОДПИСИ!C17," ",ПОДПИСИ!F17)</f>
        <v xml:space="preserve">Матвеев А.С. </v>
      </c>
      <c r="B39" s="1154"/>
      <c r="C39" s="1154"/>
      <c r="D39" s="1154"/>
      <c r="E39" s="1154"/>
      <c r="F39" s="1154"/>
      <c r="G39" s="1154"/>
      <c r="H39" s="1154"/>
      <c r="I39" s="1154"/>
      <c r="J39" s="1154"/>
      <c r="K39" s="1154"/>
      <c r="L39" s="1154"/>
      <c r="M39" s="1154"/>
      <c r="N39" s="1154"/>
      <c r="O39" s="1154"/>
      <c r="P39" s="1154"/>
      <c r="Q39" s="1154"/>
      <c r="R39" s="1154"/>
      <c r="S39" s="1154"/>
      <c r="T39" s="1154"/>
      <c r="U39" s="1154"/>
      <c r="V39" s="1154"/>
      <c r="W39" s="1154"/>
      <c r="X39" s="1154"/>
      <c r="Y39" s="1154"/>
      <c r="Z39" s="1154"/>
      <c r="AA39" s="1154"/>
      <c r="AB39" s="1154"/>
      <c r="AC39" s="1154"/>
      <c r="AD39" s="1154"/>
      <c r="AE39" s="1154"/>
      <c r="AF39" s="1154"/>
      <c r="AG39" s="1154"/>
      <c r="AH39" s="1154"/>
      <c r="AI39" s="1154"/>
      <c r="AJ39" s="1154"/>
      <c r="AK39" s="1154"/>
      <c r="AL39" s="1154"/>
      <c r="AM39" s="1154"/>
      <c r="AN39" s="1154"/>
      <c r="AO39" s="1154"/>
      <c r="AP39" s="1154"/>
      <c r="AQ39" s="1154"/>
      <c r="AR39" s="1154"/>
      <c r="AS39" s="1154"/>
      <c r="AT39" s="1154"/>
      <c r="AU39" s="1154"/>
      <c r="AV39" s="1154"/>
      <c r="AW39" s="1154"/>
      <c r="AX39" s="1154"/>
      <c r="AY39" s="1154"/>
      <c r="AZ39" s="1154"/>
    </row>
    <row r="40" spans="1:52" ht="15" customHeight="1">
      <c r="A40" s="1151" t="s">
        <v>781</v>
      </c>
      <c r="B40" s="1151"/>
      <c r="C40" s="1151"/>
      <c r="D40" s="1151"/>
      <c r="E40" s="1151"/>
      <c r="F40" s="1151"/>
      <c r="G40" s="1151"/>
      <c r="H40" s="1151"/>
      <c r="I40" s="1151"/>
      <c r="J40" s="1151"/>
      <c r="K40" s="1151"/>
      <c r="L40" s="1151"/>
      <c r="M40" s="1151"/>
      <c r="N40" s="1151"/>
      <c r="O40" s="1151"/>
      <c r="P40" s="1151"/>
      <c r="Q40" s="1151"/>
      <c r="R40" s="1151"/>
      <c r="S40" s="1151"/>
      <c r="T40" s="1151"/>
      <c r="U40" s="1151"/>
      <c r="V40" s="1151"/>
      <c r="W40" s="1151"/>
      <c r="X40" s="1151"/>
      <c r="Y40" s="1151"/>
      <c r="Z40" s="1151"/>
      <c r="AA40" s="1151"/>
      <c r="AB40" s="1151"/>
      <c r="AC40" s="1151"/>
      <c r="AD40" s="1151"/>
      <c r="AE40" s="1151"/>
      <c r="AF40" s="1151"/>
      <c r="AG40" s="1151"/>
      <c r="AH40" s="1151"/>
      <c r="AI40" s="1151"/>
      <c r="AJ40" s="1151"/>
      <c r="AK40" s="1151"/>
      <c r="AL40" s="1151"/>
      <c r="AM40" s="1151"/>
      <c r="AN40" s="1151"/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/>
      <c r="AY40" s="1151"/>
      <c r="AZ40" s="1151"/>
    </row>
    <row r="41" spans="1:52" ht="12" customHeight="1">
      <c r="A41" s="1152"/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52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</row>
    <row r="42" spans="1:52" ht="6.75" customHeight="1">
      <c r="A42" s="1151" t="s">
        <v>812</v>
      </c>
      <c r="B42" s="1151"/>
      <c r="C42" s="1151"/>
      <c r="D42" s="1151"/>
      <c r="E42" s="1151"/>
      <c r="F42" s="1151"/>
      <c r="G42" s="1151"/>
      <c r="H42" s="1151"/>
      <c r="I42" s="1151"/>
      <c r="J42" s="1151"/>
      <c r="K42" s="1151"/>
      <c r="L42" s="1151"/>
      <c r="M42" s="1151"/>
      <c r="N42" s="1151"/>
      <c r="O42" s="1151"/>
      <c r="P42" s="1151"/>
      <c r="Q42" s="1151"/>
      <c r="R42" s="1151"/>
      <c r="S42" s="1151"/>
      <c r="T42" s="1151"/>
      <c r="U42" s="1151"/>
      <c r="V42" s="1151"/>
      <c r="W42" s="1151"/>
      <c r="X42" s="1151"/>
      <c r="Y42" s="1151"/>
      <c r="Z42" s="1151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151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</row>
    <row r="43" spans="1:52" ht="35.25" customHeight="1">
      <c r="A43" s="1153" t="s">
        <v>813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</row>
    <row r="44" spans="1:52" ht="12" customHeight="1">
      <c r="A44" s="1154" t="str">
        <f>ПОДПИСИ!B19</f>
        <v xml:space="preserve">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</row>
    <row r="45" spans="1:52" ht="12" customHeight="1">
      <c r="A45" s="1154" t="str">
        <f>CONCATENATE(ПОДПИСИ!C19," ",ПОДПИСИ!F19)</f>
        <v xml:space="preserve"> 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</row>
    <row r="46" spans="1:52" ht="6" customHeight="1">
      <c r="A46" s="1151" t="s">
        <v>787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</row>
    <row r="47" spans="1:52" ht="12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</row>
    <row r="48" spans="1:52" ht="15" customHeight="1">
      <c r="A48" s="1151" t="s">
        <v>788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4" ht="36" customHeight="1">
      <c r="A49" s="1177" t="s">
        <v>814</v>
      </c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1177"/>
      <c r="P49" s="1177"/>
      <c r="Q49" s="1177"/>
      <c r="R49" s="1177"/>
      <c r="S49" s="1177"/>
      <c r="T49" s="1177"/>
      <c r="U49" s="1177"/>
      <c r="V49" s="1177"/>
      <c r="W49" s="1177"/>
      <c r="X49" s="1177"/>
      <c r="Y49" s="1177"/>
      <c r="Z49" s="1177"/>
      <c r="AA49" s="1177"/>
      <c r="AB49" s="1177"/>
      <c r="AC49" s="1177"/>
      <c r="AD49" s="1177"/>
      <c r="AE49" s="1177"/>
      <c r="AF49" s="1177"/>
      <c r="AG49" s="1177"/>
      <c r="AH49" s="1177"/>
      <c r="AI49" s="1177"/>
      <c r="AJ49" s="1177"/>
      <c r="AK49" s="1177"/>
      <c r="AL49" s="1177"/>
      <c r="AM49" s="1177"/>
      <c r="AN49" s="1177"/>
      <c r="AO49" s="1177"/>
      <c r="AP49" s="1177"/>
      <c r="AQ49" s="1177"/>
      <c r="AR49" s="1177"/>
      <c r="AS49" s="1177"/>
      <c r="AT49" s="1177"/>
      <c r="AU49" s="1177"/>
      <c r="AV49" s="1177"/>
      <c r="AW49" s="1177"/>
      <c r="AX49" s="1177"/>
      <c r="AY49" s="1177"/>
      <c r="AZ49" s="1177"/>
    </row>
    <row r="50" spans="1:54" ht="12" customHeight="1">
      <c r="A50" s="1185" t="str">
        <f>ПОДПИСИ!B14</f>
        <v>Инженер-геодезист ООО «БЭСК»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  <c r="BA50" s="323"/>
      <c r="BB50" s="294"/>
    </row>
    <row r="51" spans="1:54" ht="12" customHeight="1">
      <c r="A51" s="1104" t="str">
        <f>CONCATENATE(ПОДПИСИ!C14,", ",ПОДПИСИ!F14)</f>
        <v xml:space="preserve">Алексеенков Д.С., </v>
      </c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N51" s="1104"/>
      <c r="O51" s="1104"/>
      <c r="P51" s="1104"/>
      <c r="Q51" s="1104"/>
      <c r="R51" s="1104"/>
      <c r="S51" s="1104"/>
      <c r="T51" s="1104"/>
      <c r="U51" s="1104"/>
      <c r="V51" s="1104"/>
      <c r="W51" s="1104"/>
      <c r="X51" s="1104"/>
      <c r="Y51" s="1104"/>
      <c r="Z51" s="1104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</row>
    <row r="52" spans="1:54" ht="6" customHeight="1">
      <c r="A52" s="1170" t="s">
        <v>787</v>
      </c>
      <c r="B52" s="1170"/>
      <c r="C52" s="1170"/>
      <c r="D52" s="1170"/>
      <c r="E52" s="1170"/>
      <c r="F52" s="1170"/>
      <c r="G52" s="1170"/>
      <c r="H52" s="1170"/>
      <c r="I52" s="1170"/>
      <c r="J52" s="1170"/>
      <c r="K52" s="1170"/>
      <c r="L52" s="1170"/>
      <c r="M52" s="1170"/>
      <c r="N52" s="1170"/>
      <c r="O52" s="1170"/>
      <c r="P52" s="1170"/>
      <c r="Q52" s="1170"/>
      <c r="R52" s="1170"/>
      <c r="S52" s="1170"/>
      <c r="T52" s="1170"/>
      <c r="U52" s="1170"/>
      <c r="V52" s="1170"/>
      <c r="W52" s="1170"/>
      <c r="X52" s="1170"/>
      <c r="Y52" s="1170"/>
      <c r="Z52" s="1170"/>
      <c r="AA52" s="1170"/>
      <c r="AB52" s="1170"/>
      <c r="AC52" s="1170"/>
      <c r="AD52" s="1170"/>
      <c r="AE52" s="1170"/>
      <c r="AF52" s="1170"/>
      <c r="AG52" s="1170"/>
      <c r="AH52" s="1170"/>
      <c r="AI52" s="1170"/>
      <c r="AJ52" s="1170"/>
      <c r="AK52" s="1170"/>
      <c r="AL52" s="1170"/>
      <c r="AM52" s="1170"/>
      <c r="AN52" s="1170"/>
      <c r="AO52" s="1170"/>
      <c r="AP52" s="1170"/>
      <c r="AQ52" s="1170"/>
      <c r="AR52" s="1170"/>
      <c r="AS52" s="1170"/>
      <c r="AT52" s="1170"/>
      <c r="AU52" s="1170"/>
      <c r="AV52" s="1170"/>
      <c r="AW52" s="1170"/>
      <c r="AX52" s="1170"/>
      <c r="AY52" s="1170"/>
      <c r="AZ52" s="1170"/>
    </row>
    <row r="53" spans="1:54" ht="12" customHeight="1">
      <c r="A53" s="1186"/>
      <c r="B53" s="1186"/>
      <c r="C53" s="1186"/>
      <c r="D53" s="1186"/>
      <c r="E53" s="1186"/>
      <c r="F53" s="1186"/>
      <c r="G53" s="1186"/>
      <c r="H53" s="1186"/>
      <c r="I53" s="1186"/>
      <c r="J53" s="1186"/>
      <c r="K53" s="1186"/>
      <c r="L53" s="1186"/>
      <c r="M53" s="1186"/>
      <c r="N53" s="1186"/>
      <c r="O53" s="1186"/>
      <c r="P53" s="1186"/>
      <c r="Q53" s="1186"/>
      <c r="R53" s="1186"/>
      <c r="S53" s="1186"/>
      <c r="T53" s="1186"/>
      <c r="U53" s="1186"/>
      <c r="V53" s="1186"/>
      <c r="W53" s="1186"/>
      <c r="X53" s="1186"/>
      <c r="Y53" s="1186"/>
      <c r="Z53" s="1186"/>
      <c r="AA53" s="1186"/>
      <c r="AB53" s="1186"/>
      <c r="AC53" s="1186"/>
      <c r="AD53" s="1186"/>
      <c r="AE53" s="1186"/>
      <c r="AF53" s="1186"/>
      <c r="AG53" s="1186"/>
      <c r="AH53" s="1186"/>
      <c r="AI53" s="1186"/>
      <c r="AJ53" s="1186"/>
      <c r="AK53" s="1186"/>
      <c r="AL53" s="1186"/>
      <c r="AM53" s="1186"/>
      <c r="AN53" s="1186"/>
      <c r="AO53" s="1186"/>
      <c r="AP53" s="1186"/>
      <c r="AQ53" s="1186"/>
      <c r="AR53" s="1186"/>
      <c r="AS53" s="1186"/>
      <c r="AT53" s="1186"/>
      <c r="AU53" s="1186"/>
      <c r="AV53" s="1186"/>
      <c r="AW53" s="1186"/>
      <c r="AX53" s="1186"/>
      <c r="AY53" s="1186"/>
      <c r="AZ53" s="1186"/>
    </row>
    <row r="54" spans="1:54" ht="15.75" customHeight="1">
      <c r="A54" s="1151" t="s">
        <v>788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</row>
    <row r="55" spans="1:54" ht="11.25" customHeight="1" outlineLevel="1">
      <c r="A55" s="1100" t="s">
        <v>79</v>
      </c>
      <c r="B55" s="1100"/>
      <c r="C55" s="1100"/>
      <c r="D55" s="1100"/>
      <c r="E55" s="1100"/>
      <c r="F55" s="1100"/>
      <c r="G55" s="1100"/>
      <c r="H55" s="1100"/>
      <c r="I55" s="1100"/>
      <c r="J55" s="1100"/>
      <c r="K55" s="1100"/>
      <c r="L55" s="1100"/>
      <c r="M55" s="1100"/>
      <c r="N55" s="1100"/>
      <c r="O55" s="1100"/>
      <c r="P55" s="1100"/>
      <c r="Q55" s="1100"/>
      <c r="R55" s="1100"/>
      <c r="S55" s="1100"/>
      <c r="T55" s="1100"/>
      <c r="U55" s="1100"/>
      <c r="V55" s="1100"/>
      <c r="W55" s="1100"/>
      <c r="X55" s="1100"/>
      <c r="Y55" s="1100"/>
      <c r="Z55" s="1100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</row>
    <row r="56" spans="1:54" outlineLevel="1">
      <c r="A56" s="1106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106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</row>
    <row r="57" spans="1:54" ht="9.75" customHeight="1" outlineLevel="1">
      <c r="A57" s="1105" t="s">
        <v>523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1105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</row>
    <row r="58" spans="1:54" ht="12" customHeight="1">
      <c r="A58" s="1178" t="s">
        <v>429</v>
      </c>
      <c r="B58" s="1178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8"/>
      <c r="N58" s="1178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8"/>
      <c r="Z58" s="1178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8"/>
      <c r="AL58" s="1178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8"/>
      <c r="AX58" s="1178"/>
      <c r="AY58" s="1178"/>
      <c r="AZ58" s="1178"/>
    </row>
    <row r="59" spans="1:54" ht="12" customHeight="1">
      <c r="A59" s="1181" t="str">
        <f>ФОРМА!D26</f>
        <v>КВЛ-0,4кВ и КК</v>
      </c>
      <c r="B59" s="1181"/>
      <c r="C59" s="1181"/>
      <c r="D59" s="1181"/>
      <c r="E59" s="1181"/>
      <c r="F59" s="1181"/>
      <c r="G59" s="1181"/>
      <c r="H59" s="1181"/>
      <c r="I59" s="1181"/>
      <c r="J59" s="1181"/>
      <c r="K59" s="1181"/>
      <c r="L59" s="1181"/>
      <c r="M59" s="1181"/>
      <c r="N59" s="1181"/>
      <c r="O59" s="1181"/>
      <c r="P59" s="1181"/>
      <c r="Q59" s="1181"/>
      <c r="R59" s="1181"/>
      <c r="S59" s="1181"/>
      <c r="T59" s="1181"/>
      <c r="U59" s="1181"/>
      <c r="V59" s="1181"/>
      <c r="W59" s="1181"/>
      <c r="X59" s="1181"/>
      <c r="Y59" s="1181"/>
      <c r="Z59" s="1181"/>
      <c r="AA59" s="1181"/>
      <c r="AB59" s="1181"/>
      <c r="AC59" s="1181"/>
      <c r="AD59" s="1181"/>
      <c r="AE59" s="1181"/>
      <c r="AF59" s="1181"/>
      <c r="AG59" s="1181"/>
      <c r="AH59" s="1181"/>
      <c r="AI59" s="1181"/>
      <c r="AJ59" s="1181"/>
      <c r="AK59" s="1181"/>
      <c r="AL59" s="1181"/>
      <c r="AM59" s="1181"/>
      <c r="AN59" s="1181"/>
      <c r="AO59" s="1181"/>
      <c r="AP59" s="1181"/>
      <c r="AQ59" s="1181"/>
      <c r="AR59" s="1181"/>
      <c r="AS59" s="1181"/>
      <c r="AT59" s="1181"/>
      <c r="AU59" s="1181"/>
      <c r="AV59" s="1181"/>
      <c r="AW59" s="1181"/>
      <c r="AX59" s="1181"/>
      <c r="AY59" s="1181"/>
      <c r="AZ59" s="1181"/>
    </row>
    <row r="60" spans="1:54" ht="12" customHeight="1">
      <c r="A60" s="1182" t="s">
        <v>430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</row>
    <row r="61" spans="1:54" ht="39.75" customHeight="1">
      <c r="A61" s="11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83"/>
      <c r="C61" s="1183"/>
      <c r="D61" s="1183"/>
      <c r="E61" s="1183"/>
      <c r="F61" s="1183"/>
      <c r="G61" s="1183"/>
      <c r="H61" s="1183"/>
      <c r="I61" s="1183"/>
      <c r="J61" s="1183"/>
      <c r="K61" s="1183"/>
      <c r="L61" s="1183"/>
      <c r="M61" s="1183"/>
      <c r="N61" s="1183"/>
      <c r="O61" s="1183"/>
      <c r="P61" s="1183"/>
      <c r="Q61" s="1183"/>
      <c r="R61" s="1183"/>
      <c r="S61" s="1183"/>
      <c r="T61" s="1183"/>
      <c r="U61" s="1183"/>
      <c r="V61" s="1183"/>
      <c r="W61" s="1183"/>
      <c r="X61" s="1183"/>
      <c r="Y61" s="1183"/>
      <c r="Z61" s="1183"/>
      <c r="AA61" s="1183"/>
      <c r="AB61" s="1183"/>
      <c r="AC61" s="1183"/>
      <c r="AD61" s="1183"/>
      <c r="AE61" s="1183"/>
      <c r="AF61" s="1183"/>
      <c r="AG61" s="1183"/>
      <c r="AH61" s="1183"/>
      <c r="AI61" s="1183"/>
      <c r="AJ61" s="1183"/>
      <c r="AK61" s="1183"/>
      <c r="AL61" s="1183"/>
      <c r="AM61" s="1183"/>
      <c r="AN61" s="1183"/>
      <c r="AO61" s="1183"/>
      <c r="AP61" s="1183"/>
      <c r="AQ61" s="1183"/>
      <c r="AR61" s="1183"/>
      <c r="AS61" s="1183"/>
      <c r="AT61" s="1183"/>
      <c r="AU61" s="1183"/>
      <c r="AV61" s="1183"/>
      <c r="AW61" s="1183"/>
      <c r="AX61" s="1183"/>
      <c r="AY61" s="1183"/>
      <c r="AZ61" s="1183"/>
    </row>
    <row r="62" spans="1:54" ht="6" customHeight="1">
      <c r="A62" s="1184" t="s">
        <v>431</v>
      </c>
      <c r="B62" s="1184"/>
      <c r="C62" s="1184"/>
      <c r="D62" s="1184"/>
      <c r="E62" s="1184"/>
      <c r="F62" s="1184"/>
      <c r="G62" s="1184"/>
      <c r="H62" s="1184"/>
      <c r="I62" s="1184"/>
      <c r="J62" s="1184"/>
      <c r="K62" s="1184"/>
      <c r="L62" s="1184"/>
      <c r="M62" s="1184"/>
      <c r="N62" s="1184"/>
      <c r="O62" s="1184"/>
      <c r="P62" s="1184"/>
      <c r="Q62" s="1184"/>
      <c r="R62" s="1184"/>
      <c r="S62" s="1184"/>
      <c r="T62" s="1184"/>
      <c r="U62" s="1184"/>
      <c r="V62" s="1184"/>
      <c r="W62" s="1184"/>
      <c r="X62" s="1184"/>
      <c r="Y62" s="1184"/>
      <c r="Z62" s="1184"/>
      <c r="AA62" s="1184"/>
      <c r="AB62" s="1184"/>
      <c r="AC62" s="1184"/>
      <c r="AD62" s="1184"/>
      <c r="AE62" s="1184"/>
      <c r="AF62" s="1184"/>
      <c r="AG62" s="1184"/>
      <c r="AH62" s="1184"/>
      <c r="AI62" s="1184"/>
      <c r="AJ62" s="1184"/>
      <c r="AK62" s="1184"/>
      <c r="AL62" s="1184"/>
      <c r="AM62" s="1184"/>
      <c r="AN62" s="1184"/>
      <c r="AO62" s="1184"/>
      <c r="AP62" s="1184"/>
      <c r="AQ62" s="1184"/>
      <c r="AR62" s="1184"/>
      <c r="AS62" s="1184"/>
      <c r="AT62" s="1184"/>
      <c r="AU62" s="1184"/>
      <c r="AV62" s="1184"/>
      <c r="AW62" s="1184"/>
      <c r="AX62" s="1184"/>
      <c r="AY62" s="1184"/>
      <c r="AZ62" s="1184"/>
    </row>
    <row r="63" spans="1:54" ht="12" customHeight="1">
      <c r="A63" s="1190" t="s">
        <v>432</v>
      </c>
      <c r="B63" s="1190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0"/>
      <c r="N63" s="1190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0"/>
      <c r="Z63" s="1190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0"/>
      <c r="AL63" s="1190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0"/>
      <c r="AX63" s="1190"/>
      <c r="AY63" s="1190"/>
      <c r="AZ63" s="1190"/>
    </row>
    <row r="64" spans="1:54" ht="12" customHeight="1">
      <c r="A64" s="1190" t="s">
        <v>433</v>
      </c>
      <c r="B64" s="1190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0"/>
      <c r="N64" s="1190"/>
      <c r="O64" s="1190"/>
      <c r="P64" s="1190"/>
      <c r="Q64" s="1190"/>
      <c r="R64" s="1190"/>
      <c r="S64" s="1190"/>
      <c r="T64" s="1190"/>
      <c r="U64" s="1181" t="str">
        <f>ФОРМА!B9</f>
        <v>СЭС-23-32939-ЭС-ТКР2</v>
      </c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80" t="s">
        <v>568</v>
      </c>
      <c r="V65" s="1180"/>
      <c r="W65" s="1180"/>
      <c r="X65" s="1180"/>
      <c r="Y65" s="1180"/>
      <c r="Z65" s="1180"/>
      <c r="AA65" s="1180"/>
      <c r="AB65" s="1180"/>
      <c r="AC65" s="1180"/>
      <c r="AD65" s="1180"/>
      <c r="AE65" s="1180"/>
      <c r="AF65" s="1180"/>
      <c r="AG65" s="1180"/>
      <c r="AH65" s="1180"/>
      <c r="AI65" s="1180"/>
      <c r="AJ65" s="1180"/>
      <c r="AK65" s="1180"/>
      <c r="AL65" s="1180"/>
      <c r="AM65" s="1180"/>
      <c r="AN65" s="1180"/>
      <c r="AO65" s="1180"/>
      <c r="AP65" s="1180"/>
      <c r="AQ65" s="1180"/>
      <c r="AR65" s="1180"/>
      <c r="AS65" s="1180"/>
      <c r="AT65" s="1180"/>
      <c r="AU65" s="1180"/>
      <c r="AV65" s="1180"/>
      <c r="AW65" s="1180"/>
      <c r="AX65" s="1180"/>
      <c r="AY65" s="1180"/>
      <c r="AZ65" s="1180"/>
    </row>
    <row r="66" spans="1:56" ht="12" customHeight="1">
      <c r="A66" s="1181" t="str">
        <f>ФОРМА!B8</f>
        <v>ООО «Строительные энергетические технологии»</v>
      </c>
      <c r="B66" s="1181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1"/>
      <c r="N66" s="1181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1"/>
      <c r="Z66" s="1181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1"/>
      <c r="AL66" s="1181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1"/>
      <c r="AX66" s="1181"/>
      <c r="AY66" s="1181"/>
      <c r="AZ66" s="1181"/>
    </row>
    <row r="67" spans="1:56" s="302" customFormat="1" ht="6" customHeight="1">
      <c r="A67" s="1184" t="s">
        <v>571</v>
      </c>
      <c r="B67" s="1184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</row>
    <row r="68" spans="1:56" ht="12" customHeight="1">
      <c r="A68" s="1187" t="s">
        <v>434</v>
      </c>
      <c r="B68" s="1187"/>
      <c r="C68" s="1187"/>
      <c r="D68" s="1187"/>
      <c r="E68" s="1187"/>
      <c r="F68" s="1187"/>
      <c r="G68" s="1187"/>
      <c r="H68" s="1187"/>
      <c r="I68" s="1187"/>
      <c r="J68" s="1187"/>
      <c r="K68" s="1187"/>
      <c r="L68" s="1187"/>
      <c r="M68" s="1187"/>
      <c r="N68" s="1187"/>
      <c r="O68" s="1187"/>
      <c r="P68" s="1187"/>
      <c r="Q68" s="1187"/>
      <c r="R68" s="1187"/>
      <c r="S68" s="1188" t="s">
        <v>435</v>
      </c>
      <c r="T68" s="1188"/>
      <c r="U68" s="1188"/>
      <c r="V68" s="1188"/>
      <c r="W68" s="1188"/>
      <c r="X68" s="1188"/>
      <c r="Y68" s="1188"/>
      <c r="Z68" s="1188"/>
      <c r="AA68" s="1188"/>
      <c r="AB68" s="1188"/>
      <c r="AC68" s="1188"/>
      <c r="AD68" s="1188"/>
      <c r="AE68" s="1188"/>
      <c r="AF68" s="1188"/>
      <c r="AG68" s="1188"/>
      <c r="AH68" s="1188"/>
      <c r="AI68" s="1188"/>
      <c r="AJ68" s="1188"/>
      <c r="AK68" s="1188"/>
      <c r="AL68" s="1188"/>
      <c r="AM68" s="1188"/>
      <c r="AN68" s="1188"/>
      <c r="AO68" s="1188"/>
      <c r="AP68" s="1188"/>
      <c r="AQ68" s="1188"/>
      <c r="AR68" s="1188"/>
      <c r="AS68" s="1188"/>
      <c r="AT68" s="1188"/>
      <c r="AU68" s="1188"/>
      <c r="AV68" s="1188"/>
      <c r="AW68" s="1188"/>
      <c r="AX68" s="1188"/>
      <c r="AY68" s="1188"/>
      <c r="AZ68" s="1188"/>
    </row>
    <row r="69" spans="1:56" ht="12" customHeight="1">
      <c r="A69" s="1189" t="s">
        <v>520</v>
      </c>
      <c r="B69" s="1189"/>
      <c r="C69" s="1189"/>
      <c r="D69" s="1189"/>
      <c r="E69" s="1189"/>
      <c r="F69" s="1189"/>
      <c r="G69" s="1189"/>
      <c r="H69" s="1189"/>
      <c r="I69" s="1189"/>
      <c r="J69" s="1189"/>
      <c r="K69" s="1189"/>
      <c r="L69" s="1189"/>
      <c r="M69" s="1189"/>
      <c r="N69" s="1189"/>
      <c r="O69" s="1189"/>
      <c r="P69" s="1189"/>
      <c r="Q69" s="1189"/>
      <c r="R69" s="1189"/>
      <c r="S69" s="1189"/>
      <c r="T69" s="1189"/>
      <c r="U69" s="1189"/>
      <c r="V69" s="1189"/>
      <c r="W69" s="1189"/>
      <c r="X69" s="1189"/>
      <c r="Y69" s="1189"/>
      <c r="Z69" s="1189"/>
      <c r="AA69" s="1189"/>
      <c r="AB69" s="1189"/>
      <c r="AC69" s="1189"/>
      <c r="AD69" s="1189"/>
      <c r="AE69" s="1189"/>
      <c r="AF69" s="1189"/>
      <c r="AG69" s="1189"/>
      <c r="AH69" s="1189"/>
      <c r="AI69" s="1189"/>
      <c r="AJ69" s="1189"/>
      <c r="AK69" s="1189"/>
      <c r="AL69" s="1189"/>
      <c r="AM69" s="1189"/>
      <c r="AN69" s="1189"/>
      <c r="AO69" s="1189"/>
      <c r="AP69" s="1189"/>
      <c r="AQ69" s="1189"/>
      <c r="AR69" s="1189"/>
      <c r="AS69" s="1189"/>
      <c r="AT69" s="1189"/>
      <c r="AU69" s="1189"/>
      <c r="AV69" s="1189"/>
      <c r="AW69" s="1189"/>
      <c r="AX69" s="1189"/>
      <c r="AY69" s="1189"/>
      <c r="AZ69" s="1189"/>
      <c r="BD69" s="291"/>
    </row>
    <row r="70" spans="1:56" ht="12" customHeight="1">
      <c r="A70" s="1178" t="s">
        <v>436</v>
      </c>
      <c r="B70" s="1178"/>
      <c r="C70" s="1178"/>
      <c r="D70" s="1178"/>
      <c r="E70" s="1178"/>
      <c r="F70" s="1178"/>
      <c r="G70" s="1178"/>
      <c r="H70" s="1178"/>
      <c r="I70" s="1178"/>
      <c r="J70" s="1178"/>
      <c r="K70" s="1178"/>
      <c r="L70" s="1178"/>
      <c r="M70" s="1178"/>
      <c r="N70" s="1178"/>
      <c r="O70" s="1178"/>
      <c r="P70" s="1178"/>
      <c r="Q70" s="1178"/>
      <c r="R70" s="1178"/>
      <c r="S70" s="1178"/>
      <c r="T70" s="1178"/>
      <c r="U70" s="1178"/>
      <c r="V70" s="1178"/>
      <c r="W70" s="1178"/>
      <c r="X70" s="1178"/>
      <c r="Y70" s="1178"/>
      <c r="Z70" s="1178"/>
      <c r="AA70" s="1178"/>
      <c r="AB70" s="1178"/>
      <c r="AC70" s="1178"/>
      <c r="AD70" s="1178"/>
      <c r="AE70" s="1178"/>
      <c r="AF70" s="1178"/>
      <c r="AG70" s="1178"/>
      <c r="AH70" s="1178"/>
      <c r="AI70" s="1178"/>
      <c r="AJ70" s="1178"/>
      <c r="AK70" s="1178"/>
      <c r="AL70" s="1178"/>
      <c r="AM70" s="1178"/>
      <c r="AN70" s="1178"/>
      <c r="AO70" s="1178"/>
      <c r="AP70" s="1178"/>
      <c r="AQ70" s="1178"/>
      <c r="AR70" s="1178"/>
      <c r="AS70" s="1178"/>
      <c r="AT70" s="1178"/>
      <c r="AU70" s="1178"/>
      <c r="AV70" s="1178"/>
      <c r="AW70" s="1178"/>
      <c r="AX70" s="1178"/>
      <c r="AY70" s="1178"/>
      <c r="AZ70" s="1178"/>
      <c r="BA70" s="1178"/>
      <c r="BD70" s="291"/>
    </row>
    <row r="71" spans="1:56" ht="12" customHeight="1">
      <c r="A71" s="1178" t="s">
        <v>521</v>
      </c>
      <c r="B71" s="1178"/>
      <c r="C71" s="1178"/>
      <c r="D71" s="1178"/>
      <c r="E71" s="1178"/>
      <c r="F71" s="1178"/>
      <c r="G71" s="1178"/>
      <c r="H71" s="1178"/>
      <c r="I71" s="1178"/>
      <c r="J71" s="1178"/>
      <c r="K71" s="1178"/>
      <c r="L71" s="1178"/>
      <c r="M71" s="1178"/>
      <c r="N71" s="1178"/>
      <c r="O71" s="1178"/>
      <c r="P71" s="1178"/>
      <c r="Q71" s="1178"/>
      <c r="R71" s="1178"/>
      <c r="S71" s="1178"/>
      <c r="T71" s="1178"/>
      <c r="U71" s="1178"/>
      <c r="V71" s="1178"/>
      <c r="W71" s="1178"/>
      <c r="X71" s="1178"/>
      <c r="Y71" s="1178"/>
      <c r="Z71" s="1178"/>
      <c r="AA71" s="1178"/>
      <c r="AB71" s="1178"/>
      <c r="AC71" s="1178"/>
      <c r="AD71" s="1178"/>
      <c r="AE71" s="1178"/>
      <c r="AF71" s="1178"/>
      <c r="AG71" s="1178"/>
      <c r="AH71" s="1178"/>
      <c r="AI71" s="1178"/>
      <c r="AJ71" s="1178"/>
      <c r="AK71" s="1178"/>
      <c r="AL71" s="1178"/>
      <c r="AM71" s="1178"/>
      <c r="AN71" s="1178"/>
      <c r="AO71" s="1178"/>
      <c r="AP71" s="1178"/>
      <c r="AQ71" s="1178"/>
      <c r="AR71" s="1178"/>
      <c r="AS71" s="1178"/>
      <c r="AT71" s="1178"/>
      <c r="AU71" s="1178"/>
      <c r="AV71" s="1178"/>
      <c r="AW71" s="1178"/>
      <c r="AX71" s="1178"/>
      <c r="AY71" s="1178"/>
      <c r="AZ71" s="1178"/>
      <c r="BA71" s="326"/>
      <c r="BD71" s="297"/>
    </row>
    <row r="72" spans="1:56" ht="12" customHeight="1">
      <c r="A72" s="1188" t="str">
        <f>ФОРМА!B9</f>
        <v>СЭС-23-32939-ЭС-ТКР2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D72" s="297"/>
    </row>
    <row r="73" spans="1:56" s="327" customFormat="1" ht="6" customHeight="1">
      <c r="A73" s="1195" t="s">
        <v>568</v>
      </c>
      <c r="B73" s="1195"/>
      <c r="C73" s="1195"/>
      <c r="D73" s="1195"/>
      <c r="E73" s="1195"/>
      <c r="F73" s="1195"/>
      <c r="G73" s="1195"/>
      <c r="H73" s="1195"/>
      <c r="I73" s="1195"/>
      <c r="J73" s="1195"/>
      <c r="K73" s="1195"/>
      <c r="L73" s="1195"/>
      <c r="M73" s="1195"/>
      <c r="N73" s="1195"/>
      <c r="O73" s="1195"/>
      <c r="P73" s="1195"/>
      <c r="Q73" s="1195"/>
      <c r="R73" s="1195"/>
      <c r="S73" s="1195"/>
      <c r="T73" s="1195"/>
      <c r="U73" s="1195"/>
      <c r="V73" s="1195"/>
      <c r="W73" s="1195"/>
      <c r="X73" s="1195"/>
      <c r="Y73" s="1195"/>
      <c r="Z73" s="1195"/>
      <c r="AA73" s="1195"/>
      <c r="AB73" s="1195"/>
      <c r="AC73" s="1195"/>
      <c r="AD73" s="1195"/>
      <c r="AE73" s="1195"/>
      <c r="AF73" s="1195"/>
      <c r="AG73" s="1195"/>
      <c r="AH73" s="1195"/>
      <c r="AI73" s="1195"/>
      <c r="AJ73" s="1195"/>
      <c r="AK73" s="1195"/>
      <c r="AL73" s="1195"/>
      <c r="AM73" s="1195"/>
      <c r="AN73" s="1195"/>
      <c r="AO73" s="1195"/>
      <c r="AP73" s="1195"/>
      <c r="AQ73" s="1195"/>
      <c r="AR73" s="1195"/>
      <c r="AS73" s="1195"/>
      <c r="AT73" s="1195"/>
      <c r="AU73" s="1195"/>
      <c r="AV73" s="1195"/>
      <c r="AW73" s="1195"/>
      <c r="AX73" s="1195"/>
      <c r="AY73" s="1195"/>
      <c r="AZ73" s="1195"/>
    </row>
    <row r="74" spans="1:56" ht="12" customHeight="1">
      <c r="A74" s="1099" t="str">
        <f>ФОРМА!B8</f>
        <v>ООО «Строительные энергетические технологии»</v>
      </c>
      <c r="B74" s="1099"/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D74" s="297"/>
    </row>
    <row r="75" spans="1:56" s="328" customFormat="1" ht="6" customHeight="1">
      <c r="A75" s="1195" t="s">
        <v>570</v>
      </c>
      <c r="B75" s="1195"/>
      <c r="C75" s="1195"/>
      <c r="D75" s="1195"/>
      <c r="E75" s="1195"/>
      <c r="F75" s="1195"/>
      <c r="G75" s="1195"/>
      <c r="H75" s="1195"/>
      <c r="I75" s="1195"/>
      <c r="J75" s="1195"/>
      <c r="K75" s="1195"/>
      <c r="L75" s="1195"/>
      <c r="M75" s="1195"/>
      <c r="N75" s="1195"/>
      <c r="O75" s="1195"/>
      <c r="P75" s="1195"/>
      <c r="Q75" s="1195"/>
      <c r="R75" s="1195"/>
      <c r="S75" s="1195"/>
      <c r="T75" s="1195"/>
      <c r="U75" s="1195"/>
      <c r="V75" s="1195"/>
      <c r="W75" s="1195"/>
      <c r="X75" s="1195"/>
      <c r="Y75" s="1195"/>
      <c r="Z75" s="1195"/>
      <c r="AA75" s="1195"/>
      <c r="AB75" s="1195"/>
      <c r="AC75" s="1195"/>
      <c r="AD75" s="1195"/>
      <c r="AE75" s="1195"/>
      <c r="AF75" s="1195"/>
      <c r="AG75" s="1195"/>
      <c r="AH75" s="1195"/>
      <c r="AI75" s="1195"/>
      <c r="AJ75" s="1195"/>
      <c r="AK75" s="1195"/>
      <c r="AL75" s="1195"/>
      <c r="AM75" s="1195"/>
      <c r="AN75" s="1195"/>
      <c r="AO75" s="1195"/>
      <c r="AP75" s="1195"/>
      <c r="AQ75" s="1195"/>
      <c r="AR75" s="1195"/>
      <c r="AS75" s="1195"/>
      <c r="AT75" s="1195"/>
      <c r="AU75" s="1195"/>
      <c r="AV75" s="1195"/>
      <c r="AW75" s="1195"/>
      <c r="AX75" s="1195"/>
      <c r="AY75" s="1195"/>
      <c r="AZ75" s="1195"/>
    </row>
    <row r="76" spans="1:56" ht="12" customHeight="1">
      <c r="A76" s="1196" t="s">
        <v>726</v>
      </c>
      <c r="B76" s="1196"/>
      <c r="C76" s="1196"/>
      <c r="D76" s="1196"/>
      <c r="E76" s="1196"/>
      <c r="F76" s="1196"/>
      <c r="G76" s="1196"/>
      <c r="H76" s="1196"/>
      <c r="I76" s="1196"/>
      <c r="J76" s="1196"/>
      <c r="K76" s="1196"/>
      <c r="L76" s="1196"/>
      <c r="M76" s="1196"/>
      <c r="N76" s="1196"/>
      <c r="O76" s="1196"/>
      <c r="P76" s="1196"/>
      <c r="Q76" s="1196"/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</row>
    <row r="77" spans="1:56" s="314" customFormat="1" ht="6" customHeight="1">
      <c r="A77" s="1197" t="s">
        <v>569</v>
      </c>
      <c r="B77" s="1197"/>
      <c r="C77" s="1197"/>
      <c r="D77" s="1197"/>
      <c r="E77" s="1197"/>
      <c r="F77" s="1197"/>
      <c r="G77" s="1197"/>
      <c r="H77" s="1197"/>
      <c r="I77" s="1197"/>
      <c r="J77" s="1197"/>
      <c r="K77" s="1197"/>
      <c r="L77" s="1197"/>
      <c r="M77" s="1197"/>
      <c r="N77" s="1197"/>
      <c r="O77" s="1197"/>
      <c r="P77" s="1197"/>
      <c r="Q77" s="1197"/>
      <c r="R77" s="1197"/>
      <c r="S77" s="1197"/>
      <c r="T77" s="1197"/>
      <c r="U77" s="1197"/>
      <c r="V77" s="1197"/>
      <c r="W77" s="1197"/>
      <c r="X77" s="1197"/>
      <c r="Y77" s="1197"/>
      <c r="Z77" s="1197"/>
      <c r="AA77" s="1197"/>
      <c r="AB77" s="1197"/>
      <c r="AC77" s="1197"/>
      <c r="AD77" s="1197"/>
      <c r="AE77" s="1197"/>
      <c r="AF77" s="1197"/>
      <c r="AG77" s="1197"/>
      <c r="AH77" s="1197"/>
      <c r="AI77" s="1197"/>
      <c r="AJ77" s="1197"/>
      <c r="AK77" s="1197"/>
      <c r="AL77" s="1197"/>
      <c r="AM77" s="1197"/>
      <c r="AN77" s="1197"/>
      <c r="AO77" s="1197"/>
      <c r="AP77" s="1197"/>
      <c r="AQ77" s="1197"/>
      <c r="AR77" s="1197"/>
      <c r="AS77" s="1197"/>
      <c r="AT77" s="1197"/>
      <c r="AU77" s="1197"/>
      <c r="AV77" s="1197"/>
      <c r="AW77" s="1197"/>
      <c r="AX77" s="1197"/>
      <c r="AY77" s="1197"/>
      <c r="AZ77" s="1197"/>
    </row>
    <row r="78" spans="1:56">
      <c r="A78" s="1193" t="s">
        <v>437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1"/>
      <c r="V79" s="1191"/>
      <c r="W79" s="1191"/>
      <c r="X79" s="1191"/>
      <c r="Y79" s="1191"/>
      <c r="Z79" s="1191"/>
      <c r="AA79" s="1191"/>
      <c r="AB79" s="1191"/>
      <c r="AC79" s="1191"/>
      <c r="AD79" s="1191"/>
      <c r="AE79" s="1191"/>
      <c r="AF79" s="1191"/>
      <c r="AG79" s="1191"/>
      <c r="AH79" s="1191"/>
      <c r="AI79" s="1191"/>
      <c r="AJ79" s="1191"/>
      <c r="AK79" s="1191"/>
      <c r="AL79" s="1191"/>
      <c r="AM79" s="1191"/>
      <c r="AN79" s="1191"/>
      <c r="AO79" s="1191"/>
      <c r="AP79" s="1191"/>
      <c r="AQ79" s="1191"/>
      <c r="AR79" s="1191"/>
      <c r="AS79" s="1191"/>
      <c r="AT79" s="1191"/>
      <c r="AU79" s="1191"/>
      <c r="AV79" s="1191"/>
      <c r="AW79" s="1191"/>
      <c r="AX79" s="1191"/>
      <c r="AY79" s="1191"/>
      <c r="AZ79" s="1191"/>
    </row>
    <row r="80" spans="1:56" ht="12" customHeight="1">
      <c r="A80" s="1100" t="s">
        <v>86</v>
      </c>
      <c r="B80" s="1100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0"/>
      <c r="N80" s="1100"/>
      <c r="O80" s="1100"/>
      <c r="P80" s="1192" t="s">
        <v>65</v>
      </c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</row>
    <row r="81" spans="1:53" ht="11.25" customHeight="1"/>
    <row r="82" spans="1:53" ht="12" customHeight="1">
      <c r="A82" s="1193" t="s">
        <v>90</v>
      </c>
      <c r="B82" s="1193"/>
      <c r="C82" s="1193"/>
      <c r="D82" s="1193"/>
      <c r="E82" s="1193"/>
      <c r="F82" s="1193"/>
      <c r="G82" s="1193"/>
      <c r="H82" s="1193"/>
      <c r="I82" s="1193"/>
      <c r="J82" s="1194">
        <f>ФОРМА!F5</f>
        <v>2</v>
      </c>
      <c r="K82" s="1194"/>
      <c r="L82" s="1194"/>
      <c r="M82" s="1194"/>
      <c r="N82" s="1194"/>
      <c r="O82" s="1194"/>
      <c r="P82" s="1100" t="s">
        <v>796</v>
      </c>
      <c r="Q82" s="1100"/>
      <c r="R82" s="1100"/>
      <c r="S82" s="1100"/>
      <c r="T82" s="1100"/>
      <c r="U82" s="1100"/>
      <c r="V82" s="1100"/>
      <c r="W82" s="1100"/>
      <c r="X82" s="1100"/>
      <c r="Y82" s="1100"/>
      <c r="Z82" s="1100"/>
      <c r="AA82" s="1100"/>
      <c r="AB82" s="1100"/>
      <c r="AC82" s="1100"/>
      <c r="AD82" s="1100"/>
      <c r="AE82" s="1100"/>
      <c r="AF82" s="1100"/>
      <c r="AG82" s="1100"/>
      <c r="AH82" s="1100"/>
      <c r="AI82" s="1100"/>
      <c r="AJ82" s="1100"/>
      <c r="AK82" s="1100"/>
      <c r="AL82" s="1100"/>
      <c r="AM82" s="1100"/>
      <c r="AN82" s="1100"/>
      <c r="AO82" s="1100"/>
      <c r="AP82" s="1100"/>
      <c r="AQ82" s="1100"/>
      <c r="AR82" s="1100"/>
      <c r="AS82" s="1100"/>
      <c r="AT82" s="1100"/>
      <c r="AU82" s="1100"/>
      <c r="AV82" s="1100"/>
      <c r="AW82" s="1100"/>
      <c r="AX82" s="1100"/>
      <c r="AY82" s="1100"/>
      <c r="AZ82" s="1100"/>
    </row>
    <row r="84" spans="1:53" ht="12" customHeight="1">
      <c r="A84" s="1193" t="s">
        <v>87</v>
      </c>
      <c r="B84" s="1193"/>
      <c r="C84" s="1193"/>
      <c r="D84" s="1193"/>
      <c r="E84" s="1193"/>
      <c r="F84" s="1193"/>
      <c r="G84" s="1193"/>
      <c r="H84" s="1202" t="str">
        <f>ФОРМА!E26</f>
        <v>Схема разбивки и закрепления точек осей трассы</v>
      </c>
      <c r="I84" s="1202"/>
      <c r="J84" s="1202"/>
      <c r="K84" s="1202"/>
      <c r="L84" s="1202"/>
      <c r="M84" s="1202"/>
      <c r="N84" s="1202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2"/>
      <c r="Z84" s="1202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2"/>
      <c r="AL84" s="1202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2"/>
      <c r="AX84" s="1202"/>
      <c r="AY84" s="1202"/>
      <c r="AZ84" s="1202"/>
    </row>
    <row r="85" spans="1:53" s="325" customFormat="1" ht="6" customHeight="1">
      <c r="H85" s="1203" t="s">
        <v>522</v>
      </c>
      <c r="I85" s="1203"/>
      <c r="J85" s="1203"/>
      <c r="K85" s="1203"/>
      <c r="L85" s="1203"/>
      <c r="M85" s="1203"/>
      <c r="N85" s="1203"/>
      <c r="O85" s="1203"/>
      <c r="P85" s="1203"/>
      <c r="Q85" s="1203"/>
      <c r="R85" s="1203"/>
      <c r="S85" s="1203"/>
      <c r="T85" s="1203"/>
      <c r="U85" s="1203"/>
      <c r="V85" s="1203"/>
      <c r="W85" s="1203"/>
      <c r="X85" s="1203"/>
      <c r="Y85" s="1203"/>
      <c r="Z85" s="1203"/>
      <c r="AA85" s="1203"/>
      <c r="AB85" s="1203"/>
      <c r="AC85" s="1203"/>
      <c r="AD85" s="1203"/>
      <c r="AE85" s="1203"/>
      <c r="AF85" s="1203"/>
      <c r="AG85" s="1203"/>
      <c r="AH85" s="1203"/>
      <c r="AI85" s="1203"/>
      <c r="AJ85" s="1203"/>
      <c r="AK85" s="1203"/>
      <c r="AL85" s="1203"/>
      <c r="AM85" s="1203"/>
      <c r="AN85" s="1203"/>
      <c r="AO85" s="1203"/>
      <c r="AP85" s="1203"/>
      <c r="AQ85" s="1203"/>
      <c r="AR85" s="1203"/>
      <c r="AS85" s="1203"/>
      <c r="AT85" s="1203"/>
      <c r="AU85" s="1203"/>
      <c r="AV85" s="1203"/>
      <c r="AW85" s="1203"/>
      <c r="AX85" s="1203"/>
      <c r="AY85" s="1203"/>
      <c r="AZ85" s="1203"/>
    </row>
    <row r="86" spans="1:53" ht="24" customHeight="1">
      <c r="A86" s="1198" t="s">
        <v>780</v>
      </c>
      <c r="B86" s="1198"/>
      <c r="C86" s="1198"/>
      <c r="D86" s="1198"/>
      <c r="E86" s="1198"/>
      <c r="F86" s="1198"/>
      <c r="G86" s="1198"/>
      <c r="H86" s="1198"/>
      <c r="I86" s="1198"/>
      <c r="J86" s="1198"/>
      <c r="K86" s="1198"/>
      <c r="L86" s="1198"/>
      <c r="M86" s="1198"/>
      <c r="N86" s="1198"/>
      <c r="O86" s="1198"/>
      <c r="P86" s="1198"/>
      <c r="Q86" s="1198"/>
      <c r="R86" s="1198"/>
      <c r="S86" s="1198"/>
      <c r="T86" s="1198"/>
      <c r="U86" s="1198"/>
      <c r="V86" s="1198"/>
      <c r="W86" s="1198"/>
      <c r="X86" s="1198"/>
      <c r="Y86" s="1198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8"/>
      <c r="AP86" s="1198"/>
      <c r="AQ86" s="1198"/>
      <c r="AR86" s="1198"/>
      <c r="AS86" s="1198"/>
      <c r="AT86" s="1198"/>
      <c r="AU86" s="1198"/>
      <c r="AV86" s="1198"/>
      <c r="AW86" s="1198"/>
      <c r="AX86" s="1198"/>
      <c r="AY86" s="1198"/>
      <c r="AZ86" s="1198"/>
    </row>
    <row r="87" spans="1:53" ht="27" customHeight="1">
      <c r="A87" s="1204" t="str">
        <f>IF(ПОДПИСИ!B9="",ПОДПИСИ!D7,ПОДПИСИ!D9)</f>
        <v>Филёва Н.О.</v>
      </c>
      <c r="B87" s="1204"/>
      <c r="C87" s="1204"/>
      <c r="D87" s="1204"/>
      <c r="E87" s="1204"/>
      <c r="F87" s="1204"/>
      <c r="G87" s="1204"/>
      <c r="H87" s="1204"/>
      <c r="I87" s="1204"/>
      <c r="J87" s="1204"/>
      <c r="K87" s="1204"/>
      <c r="L87" s="1204"/>
      <c r="M87" s="1204"/>
      <c r="N87" s="1204"/>
      <c r="O87" s="1204"/>
      <c r="P87" s="1204"/>
      <c r="Q87" s="1204"/>
      <c r="R87" s="1204"/>
      <c r="S87" s="1204"/>
      <c r="T87" s="1204"/>
      <c r="U87" s="1204"/>
      <c r="V87" s="1204"/>
      <c r="W87" s="1204"/>
      <c r="X87" s="1204"/>
      <c r="Y87" s="1204"/>
      <c r="Z87" s="1205"/>
      <c r="AA87" s="1205"/>
      <c r="AB87" s="1205"/>
      <c r="AC87" s="1205"/>
      <c r="AD87" s="1205"/>
      <c r="AE87" s="1205"/>
      <c r="AF87" s="1205"/>
      <c r="AG87" s="1205"/>
      <c r="AH87" s="1205"/>
      <c r="AI87" s="1205"/>
      <c r="AJ87" s="1205"/>
      <c r="AK87" s="1205"/>
      <c r="AL87" s="1205"/>
      <c r="AM87" s="1205"/>
      <c r="AN87" s="1205"/>
      <c r="AO87" s="1206"/>
      <c r="AP87" s="1206"/>
      <c r="AQ87" s="1206"/>
      <c r="AR87" s="1206"/>
      <c r="AS87" s="1206"/>
      <c r="AT87" s="1206"/>
      <c r="AU87" s="1206"/>
      <c r="AV87" s="1206"/>
      <c r="AW87" s="1206"/>
      <c r="AX87" s="1206"/>
      <c r="AY87" s="1206"/>
      <c r="AZ87" s="1206"/>
    </row>
    <row r="88" spans="1:53" s="314" customFormat="1" ht="6" customHeight="1">
      <c r="A88" s="1180" t="s">
        <v>799</v>
      </c>
      <c r="B88" s="1180"/>
      <c r="C88" s="1180"/>
      <c r="D88" s="1180"/>
      <c r="E88" s="1180"/>
      <c r="F88" s="1180"/>
      <c r="G88" s="1180"/>
      <c r="H88" s="1180"/>
      <c r="I88" s="1180"/>
      <c r="J88" s="1180"/>
      <c r="K88" s="1180"/>
      <c r="L88" s="1180"/>
      <c r="M88" s="1180"/>
      <c r="N88" s="1180"/>
      <c r="O88" s="1180"/>
      <c r="P88" s="1180"/>
      <c r="Q88" s="1180"/>
      <c r="R88" s="1180"/>
      <c r="S88" s="1180"/>
      <c r="T88" s="1180"/>
      <c r="U88" s="1180"/>
      <c r="V88" s="1180"/>
      <c r="W88" s="1180"/>
      <c r="X88" s="1180"/>
      <c r="Y88" s="118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80" t="s">
        <v>49</v>
      </c>
      <c r="AP88" s="1180"/>
      <c r="AQ88" s="1180"/>
      <c r="AR88" s="1180"/>
      <c r="AS88" s="1180"/>
      <c r="AT88" s="1180"/>
      <c r="AU88" s="1180"/>
      <c r="AV88" s="1180"/>
      <c r="AW88" s="1180"/>
      <c r="AX88" s="1180"/>
      <c r="AY88" s="1180"/>
      <c r="AZ88" s="1180"/>
    </row>
    <row r="89" spans="1:53" ht="6" customHeight="1"/>
    <row r="90" spans="1:53" ht="12" customHeight="1">
      <c r="A90" s="1198" t="s">
        <v>815</v>
      </c>
      <c r="B90" s="1100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0"/>
      <c r="N90" s="1100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0"/>
      <c r="Z90" s="1100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0"/>
      <c r="AL90" s="1100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0"/>
      <c r="AX90" s="1100"/>
      <c r="AY90" s="1100"/>
      <c r="AZ90" s="1100"/>
    </row>
    <row r="91" spans="1:53" ht="27" customHeight="1">
      <c r="A91" s="1199" t="str">
        <f>ПОДПИСИ!D15</f>
        <v>Матвеев А.С.</v>
      </c>
      <c r="B91" s="1199"/>
      <c r="C91" s="1199"/>
      <c r="D91" s="1199"/>
      <c r="E91" s="1199"/>
      <c r="F91" s="1199"/>
      <c r="G91" s="1199"/>
      <c r="H91" s="1199"/>
      <c r="I91" s="1199"/>
      <c r="J91" s="1199"/>
      <c r="K91" s="1199"/>
      <c r="L91" s="1199"/>
      <c r="M91" s="1199"/>
      <c r="N91" s="1199"/>
      <c r="O91" s="1199"/>
      <c r="P91" s="1199"/>
      <c r="Q91" s="1199"/>
      <c r="R91" s="1199"/>
      <c r="S91" s="1199"/>
      <c r="T91" s="1199"/>
      <c r="U91" s="1199"/>
      <c r="V91" s="1199"/>
      <c r="W91" s="1199"/>
      <c r="X91" s="1199"/>
      <c r="Y91" s="1199"/>
      <c r="Z91" s="1200"/>
      <c r="AA91" s="1200"/>
      <c r="AB91" s="1200"/>
      <c r="AC91" s="1200"/>
      <c r="AD91" s="1200"/>
      <c r="AE91" s="1200"/>
      <c r="AF91" s="1200"/>
      <c r="AG91" s="1200"/>
      <c r="AH91" s="1200"/>
      <c r="AI91" s="1200"/>
      <c r="AJ91" s="1200"/>
      <c r="AK91" s="1200"/>
      <c r="AL91" s="1200"/>
      <c r="AM91" s="1200"/>
      <c r="AN91" s="1200"/>
      <c r="AO91" s="1201"/>
      <c r="AP91" s="1201"/>
      <c r="AQ91" s="1201"/>
      <c r="AR91" s="1201"/>
      <c r="AS91" s="1201"/>
      <c r="AT91" s="1201"/>
      <c r="AU91" s="1201"/>
      <c r="AV91" s="1201"/>
      <c r="AW91" s="1201"/>
      <c r="AX91" s="1201"/>
      <c r="AY91" s="1201"/>
      <c r="AZ91" s="1201"/>
      <c r="BA91" s="330"/>
    </row>
    <row r="92" spans="1:53" s="333" customFormat="1" ht="6" customHeight="1">
      <c r="A92" s="1180" t="s">
        <v>799</v>
      </c>
      <c r="B92" s="1180"/>
      <c r="C92" s="1180"/>
      <c r="D92" s="1180"/>
      <c r="E92" s="1180"/>
      <c r="F92" s="1180"/>
      <c r="G92" s="1180"/>
      <c r="H92" s="1180"/>
      <c r="I92" s="1180"/>
      <c r="J92" s="1180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  <c r="U92" s="1180"/>
      <c r="V92" s="1180"/>
      <c r="W92" s="1180"/>
      <c r="X92" s="1180"/>
      <c r="Y92" s="118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80" t="s">
        <v>49</v>
      </c>
      <c r="AP92" s="1180"/>
      <c r="AQ92" s="1180"/>
      <c r="AR92" s="1180"/>
      <c r="AS92" s="1180"/>
      <c r="AT92" s="1180"/>
      <c r="AU92" s="1180"/>
      <c r="AV92" s="1180"/>
      <c r="AW92" s="1180"/>
      <c r="AX92" s="1180"/>
      <c r="AY92" s="1180"/>
      <c r="AZ92" s="1180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209" t="s">
        <v>811</v>
      </c>
      <c r="B94" s="1209"/>
      <c r="C94" s="1209"/>
      <c r="D94" s="1209"/>
      <c r="E94" s="1209"/>
      <c r="F94" s="1209"/>
      <c r="G94" s="1209"/>
      <c r="H94" s="1209"/>
      <c r="I94" s="1209"/>
      <c r="J94" s="1209"/>
      <c r="K94" s="1209"/>
      <c r="L94" s="1209"/>
      <c r="M94" s="1209"/>
      <c r="N94" s="1209"/>
      <c r="O94" s="1209"/>
      <c r="P94" s="1209"/>
      <c r="Q94" s="1209"/>
      <c r="R94" s="1209"/>
      <c r="S94" s="1209"/>
      <c r="T94" s="1209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209"/>
      <c r="AT94" s="1209"/>
      <c r="AU94" s="1209"/>
      <c r="AV94" s="1209"/>
      <c r="AW94" s="1209"/>
      <c r="AX94" s="1209"/>
      <c r="AY94" s="1209"/>
      <c r="AZ94" s="1209"/>
      <c r="BA94" s="330"/>
    </row>
    <row r="95" spans="1:53" ht="27" customHeight="1">
      <c r="A95" s="1199" t="str">
        <f>ПОДПИСИ!D17</f>
        <v>Матвеев А.С.</v>
      </c>
      <c r="B95" s="1199"/>
      <c r="C95" s="1199"/>
      <c r="D95" s="1199"/>
      <c r="E95" s="1199"/>
      <c r="F95" s="1199"/>
      <c r="G95" s="1199"/>
      <c r="H95" s="1199"/>
      <c r="I95" s="1199"/>
      <c r="J95" s="1199"/>
      <c r="K95" s="1199"/>
      <c r="L95" s="1199"/>
      <c r="M95" s="1199"/>
      <c r="N95" s="1199"/>
      <c r="O95" s="1199"/>
      <c r="P95" s="1199"/>
      <c r="Q95" s="1199"/>
      <c r="R95" s="1199"/>
      <c r="S95" s="1199"/>
      <c r="T95" s="1199"/>
      <c r="U95" s="1199"/>
      <c r="V95" s="1199"/>
      <c r="W95" s="1199"/>
      <c r="X95" s="1199"/>
      <c r="Y95" s="1199"/>
      <c r="Z95" s="1200"/>
      <c r="AA95" s="1200"/>
      <c r="AB95" s="1200"/>
      <c r="AC95" s="1200"/>
      <c r="AD95" s="1200"/>
      <c r="AE95" s="1200"/>
      <c r="AF95" s="1200"/>
      <c r="AG95" s="1200"/>
      <c r="AH95" s="1200"/>
      <c r="AI95" s="1200"/>
      <c r="AJ95" s="1200"/>
      <c r="AK95" s="1200"/>
      <c r="AL95" s="1200"/>
      <c r="AM95" s="1200"/>
      <c r="AN95" s="1200"/>
      <c r="AO95" s="1210" t="s">
        <v>64</v>
      </c>
      <c r="AP95" s="1210"/>
      <c r="AQ95" s="1210"/>
      <c r="AR95" s="1210"/>
      <c r="AS95" s="1210"/>
      <c r="AT95" s="1210"/>
      <c r="AU95" s="1210"/>
      <c r="AV95" s="1210"/>
      <c r="AW95" s="1210"/>
      <c r="AX95" s="1210"/>
      <c r="AY95" s="1210"/>
      <c r="AZ95" s="1210"/>
      <c r="BA95" s="1210"/>
    </row>
    <row r="96" spans="1:53" ht="6" customHeight="1">
      <c r="A96" s="1180" t="s">
        <v>799</v>
      </c>
      <c r="B96" s="1180"/>
      <c r="C96" s="1180"/>
      <c r="D96" s="1180"/>
      <c r="E96" s="1180"/>
      <c r="F96" s="1180"/>
      <c r="G96" s="1180"/>
      <c r="H96" s="1180"/>
      <c r="I96" s="1180"/>
      <c r="J96" s="1180"/>
      <c r="K96" s="1180"/>
      <c r="L96" s="1180"/>
      <c r="M96" s="1180"/>
      <c r="N96" s="1180"/>
      <c r="O96" s="1180"/>
      <c r="P96" s="1180"/>
      <c r="Q96" s="1180"/>
      <c r="R96" s="1180"/>
      <c r="S96" s="1180"/>
      <c r="T96" s="1180"/>
      <c r="U96" s="1180"/>
      <c r="V96" s="1180"/>
      <c r="W96" s="1180"/>
      <c r="X96" s="1180"/>
      <c r="Y96" s="118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80" t="s">
        <v>49</v>
      </c>
      <c r="AP96" s="1180"/>
      <c r="AQ96" s="1180"/>
      <c r="AR96" s="1180"/>
      <c r="AS96" s="1180"/>
      <c r="AT96" s="1180"/>
      <c r="AU96" s="1180"/>
      <c r="AV96" s="1180"/>
      <c r="AW96" s="1180"/>
      <c r="AX96" s="1180"/>
      <c r="AY96" s="1180"/>
      <c r="AZ96" s="1180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207" t="s">
        <v>801</v>
      </c>
      <c r="B98" s="1208"/>
      <c r="C98" s="1208"/>
      <c r="D98" s="1208"/>
      <c r="E98" s="1208"/>
      <c r="F98" s="1208"/>
      <c r="G98" s="1208"/>
      <c r="H98" s="1208"/>
      <c r="I98" s="1208"/>
      <c r="J98" s="1208"/>
      <c r="K98" s="1208"/>
      <c r="L98" s="1208"/>
      <c r="M98" s="1208"/>
      <c r="N98" s="1208"/>
      <c r="O98" s="1208"/>
      <c r="P98" s="1208"/>
      <c r="Q98" s="1208"/>
      <c r="R98" s="1208"/>
      <c r="S98" s="1208"/>
      <c r="T98" s="1208"/>
      <c r="U98" s="1208"/>
      <c r="V98" s="1208"/>
      <c r="W98" s="1208"/>
      <c r="X98" s="1208"/>
      <c r="Y98" s="1208"/>
      <c r="Z98" s="1208"/>
      <c r="AA98" s="1208"/>
      <c r="AB98" s="1208"/>
      <c r="AC98" s="1208"/>
      <c r="AD98" s="1208"/>
      <c r="AE98" s="1208"/>
      <c r="AF98" s="1208"/>
      <c r="AG98" s="1208"/>
      <c r="AH98" s="1208"/>
      <c r="AI98" s="1208"/>
      <c r="AJ98" s="1208"/>
      <c r="AK98" s="1208"/>
      <c r="AL98" s="1208"/>
      <c r="AM98" s="1208"/>
      <c r="AN98" s="1208"/>
      <c r="AO98" s="1208"/>
      <c r="AP98" s="1208"/>
      <c r="AQ98" s="1208"/>
      <c r="AR98" s="1208"/>
      <c r="AS98" s="1208"/>
      <c r="AT98" s="1208"/>
      <c r="AU98" s="1208"/>
      <c r="AV98" s="1208"/>
      <c r="AW98" s="1208"/>
      <c r="AX98" s="1208"/>
      <c r="AY98" s="1208"/>
      <c r="AZ98" s="1208"/>
      <c r="BA98" s="330"/>
    </row>
    <row r="99" spans="1:55" ht="27" customHeight="1">
      <c r="A99" s="1199" t="str">
        <f>ПОДПИСИ!D19</f>
        <v xml:space="preserve"> </v>
      </c>
      <c r="B99" s="1199"/>
      <c r="C99" s="1199"/>
      <c r="D99" s="1199"/>
      <c r="E99" s="1199"/>
      <c r="F99" s="1199"/>
      <c r="G99" s="1199"/>
      <c r="H99" s="1199"/>
      <c r="I99" s="1199"/>
      <c r="J99" s="1199"/>
      <c r="K99" s="1199"/>
      <c r="L99" s="1199"/>
      <c r="M99" s="1199"/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200"/>
      <c r="AA99" s="1200"/>
      <c r="AB99" s="1200"/>
      <c r="AC99" s="1200"/>
      <c r="AD99" s="1200"/>
      <c r="AE99" s="1200"/>
      <c r="AF99" s="1200"/>
      <c r="AG99" s="1200"/>
      <c r="AH99" s="1200"/>
      <c r="AI99" s="1200"/>
      <c r="AJ99" s="1200"/>
      <c r="AK99" s="1200"/>
      <c r="AL99" s="1200"/>
      <c r="AM99" s="1200"/>
      <c r="AN99" s="1200"/>
      <c r="AO99" s="1201" t="s">
        <v>64</v>
      </c>
      <c r="AP99" s="1201"/>
      <c r="AQ99" s="1201"/>
      <c r="AR99" s="1201"/>
      <c r="AS99" s="1201"/>
      <c r="AT99" s="1201"/>
      <c r="AU99" s="1201"/>
      <c r="AV99" s="1201"/>
      <c r="AW99" s="1201"/>
      <c r="AX99" s="1201"/>
      <c r="AY99" s="1201"/>
      <c r="AZ99" s="1201"/>
      <c r="BA99" s="336"/>
    </row>
    <row r="100" spans="1:55" ht="6" customHeight="1">
      <c r="A100" s="1180" t="s">
        <v>799</v>
      </c>
      <c r="B100" s="1180"/>
      <c r="C100" s="1180"/>
      <c r="D100" s="1180"/>
      <c r="E100" s="1180"/>
      <c r="F100" s="1180"/>
      <c r="G100" s="1180"/>
      <c r="H100" s="1180"/>
      <c r="I100" s="1180"/>
      <c r="J100" s="1180"/>
      <c r="K100" s="1180"/>
      <c r="L100" s="1180"/>
      <c r="M100" s="1180"/>
      <c r="N100" s="1180"/>
      <c r="O100" s="1180"/>
      <c r="P100" s="1180"/>
      <c r="Q100" s="1180"/>
      <c r="R100" s="1180"/>
      <c r="S100" s="1180"/>
      <c r="T100" s="1180"/>
      <c r="U100" s="1180"/>
      <c r="V100" s="1180"/>
      <c r="W100" s="1180"/>
      <c r="X100" s="1180"/>
      <c r="Y100" s="118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80" t="s">
        <v>49</v>
      </c>
      <c r="AP100" s="1180"/>
      <c r="AQ100" s="1180"/>
      <c r="AR100" s="1180"/>
      <c r="AS100" s="1180"/>
      <c r="AT100" s="1180"/>
      <c r="AU100" s="1180"/>
      <c r="AV100" s="1180"/>
      <c r="AW100" s="1180"/>
      <c r="AX100" s="1180"/>
      <c r="AY100" s="1180"/>
      <c r="AZ100" s="1180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207" t="s">
        <v>816</v>
      </c>
      <c r="B102" s="1207"/>
      <c r="C102" s="1207"/>
      <c r="D102" s="1207"/>
      <c r="E102" s="1207"/>
      <c r="F102" s="1207"/>
      <c r="G102" s="1207"/>
      <c r="H102" s="1207"/>
      <c r="I102" s="1207"/>
      <c r="J102" s="1207"/>
      <c r="K102" s="1207"/>
      <c r="L102" s="1207"/>
      <c r="M102" s="1207"/>
      <c r="N102" s="1207"/>
      <c r="O102" s="1207"/>
      <c r="P102" s="1207"/>
      <c r="Q102" s="1207"/>
      <c r="R102" s="1207"/>
      <c r="S102" s="1207"/>
      <c r="T102" s="1207"/>
      <c r="U102" s="1207"/>
      <c r="V102" s="1207"/>
      <c r="W102" s="1207"/>
      <c r="X102" s="1207"/>
      <c r="Y102" s="1207"/>
      <c r="Z102" s="1207"/>
      <c r="AA102" s="1207"/>
      <c r="AB102" s="1207"/>
      <c r="AC102" s="1207"/>
      <c r="AD102" s="1207"/>
      <c r="AE102" s="1207"/>
      <c r="AF102" s="1207"/>
      <c r="AG102" s="1207"/>
      <c r="AH102" s="1207"/>
      <c r="AI102" s="1207"/>
      <c r="AJ102" s="1207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07"/>
      <c r="AZ102" s="1207"/>
      <c r="BA102" s="330"/>
    </row>
    <row r="103" spans="1:55" ht="27" customHeight="1">
      <c r="A103" s="1199" t="str">
        <f>ПОДПИСИ!D14</f>
        <v>Алексеенков Д.С.</v>
      </c>
      <c r="B103" s="1199"/>
      <c r="C103" s="1199"/>
      <c r="D103" s="1199"/>
      <c r="E103" s="1199"/>
      <c r="F103" s="1199"/>
      <c r="G103" s="1199"/>
      <c r="H103" s="1199"/>
      <c r="I103" s="1199"/>
      <c r="J103" s="1199"/>
      <c r="K103" s="1199"/>
      <c r="L103" s="1199"/>
      <c r="M103" s="1199"/>
      <c r="N103" s="1199"/>
      <c r="O103" s="1199"/>
      <c r="P103" s="1199"/>
      <c r="Q103" s="1199"/>
      <c r="R103" s="1199"/>
      <c r="S103" s="1199"/>
      <c r="T103" s="1199"/>
      <c r="U103" s="1199"/>
      <c r="V103" s="1199"/>
      <c r="W103" s="1199"/>
      <c r="X103" s="1199"/>
      <c r="Y103" s="1199"/>
      <c r="Z103" s="1200"/>
      <c r="AA103" s="1200"/>
      <c r="AB103" s="1200"/>
      <c r="AC103" s="1200"/>
      <c r="AD103" s="1200"/>
      <c r="AE103" s="1200"/>
      <c r="AF103" s="1200"/>
      <c r="AG103" s="1200"/>
      <c r="AH103" s="1200"/>
      <c r="AI103" s="1200"/>
      <c r="AJ103" s="1200"/>
      <c r="AK103" s="1200"/>
      <c r="AL103" s="1200"/>
      <c r="AM103" s="1200"/>
      <c r="AN103" s="1200"/>
      <c r="AO103" s="1201"/>
      <c r="AP103" s="1201"/>
      <c r="AQ103" s="1201"/>
      <c r="AR103" s="1201"/>
      <c r="AS103" s="1201"/>
      <c r="AT103" s="1201"/>
      <c r="AU103" s="1201"/>
      <c r="AV103" s="1201"/>
      <c r="AW103" s="1201"/>
      <c r="AX103" s="1201"/>
      <c r="AY103" s="1201"/>
      <c r="AZ103" s="1201"/>
      <c r="BA103" s="337"/>
      <c r="BB103" s="316"/>
      <c r="BC103" s="316"/>
    </row>
    <row r="104" spans="1:55" s="305" customFormat="1" ht="6" customHeight="1">
      <c r="A104" s="1180" t="s">
        <v>799</v>
      </c>
      <c r="B104" s="1180"/>
      <c r="C104" s="1180"/>
      <c r="D104" s="1180"/>
      <c r="E104" s="1180"/>
      <c r="F104" s="1180"/>
      <c r="G104" s="1180"/>
      <c r="H104" s="1180"/>
      <c r="I104" s="1180"/>
      <c r="J104" s="1180"/>
      <c r="K104" s="1180"/>
      <c r="L104" s="1180"/>
      <c r="M104" s="1180"/>
      <c r="N104" s="1180"/>
      <c r="O104" s="1180"/>
      <c r="P104" s="1180"/>
      <c r="Q104" s="1180"/>
      <c r="R104" s="1180"/>
      <c r="S104" s="1180"/>
      <c r="T104" s="1180"/>
      <c r="U104" s="1180"/>
      <c r="V104" s="1180"/>
      <c r="W104" s="1180"/>
      <c r="X104" s="1180"/>
      <c r="Y104" s="118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80" t="s">
        <v>49</v>
      </c>
      <c r="AP104" s="1180"/>
      <c r="AQ104" s="1180"/>
      <c r="AR104" s="1180"/>
      <c r="AS104" s="1180"/>
      <c r="AT104" s="1180"/>
      <c r="AU104" s="1180"/>
      <c r="AV104" s="1180"/>
      <c r="AW104" s="1180"/>
      <c r="AX104" s="1180"/>
      <c r="AY104" s="1180"/>
      <c r="AZ104" s="1180"/>
    </row>
    <row r="105" spans="1:55">
      <c r="A105" s="1163" t="s">
        <v>942</v>
      </c>
      <c r="B105" s="1163"/>
      <c r="C105" s="1163"/>
      <c r="D105" s="1163"/>
      <c r="E105" s="1163"/>
      <c r="F105" s="1163"/>
      <c r="G105" s="1163"/>
      <c r="H105" s="1163"/>
      <c r="I105" s="1163"/>
      <c r="J105" s="1163"/>
      <c r="K105" s="1163"/>
      <c r="L105" s="1163"/>
      <c r="M105" s="1163"/>
      <c r="N105" s="1163"/>
      <c r="O105" s="1163"/>
      <c r="P105" s="1163"/>
      <c r="Q105" s="1163"/>
      <c r="R105" s="1163"/>
      <c r="S105" s="1163"/>
      <c r="T105" s="1163"/>
      <c r="U105" s="1163"/>
      <c r="V105" s="1163"/>
      <c r="W105" s="1163"/>
      <c r="X105" s="1163"/>
      <c r="Y105" s="1163"/>
      <c r="Z105" s="1163"/>
      <c r="AA105" s="1163"/>
      <c r="AB105" s="1163"/>
      <c r="AC105" s="1163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V105" s="1163"/>
      <c r="AW105" s="1163"/>
      <c r="AX105" s="1163"/>
      <c r="AY105" s="1163"/>
      <c r="AZ105" s="1163"/>
    </row>
    <row r="106" spans="1:55" ht="27" customHeight="1">
      <c r="A106" s="1158" t="str">
        <f>IF(ПОДПИСИ!D9="","",ПОДПИСИ!D7)</f>
        <v>Чечин Д.М.</v>
      </c>
      <c r="B106" s="1158"/>
      <c r="C106" s="1158"/>
      <c r="D106" s="1158"/>
      <c r="E106" s="1158"/>
      <c r="F106" s="1158"/>
      <c r="G106" s="1158"/>
      <c r="H106" s="1158"/>
      <c r="I106" s="1158"/>
      <c r="J106" s="1158"/>
      <c r="K106" s="1158"/>
      <c r="L106" s="1158"/>
      <c r="M106" s="1158"/>
      <c r="N106" s="1158"/>
      <c r="O106" s="1158"/>
      <c r="P106" s="1158"/>
      <c r="Q106" s="1158"/>
      <c r="R106" s="1158"/>
      <c r="S106" s="1158"/>
      <c r="T106" s="1158"/>
      <c r="U106" s="1158"/>
      <c r="V106" s="1158"/>
      <c r="W106" s="1158"/>
      <c r="X106" s="1158"/>
      <c r="Y106" s="1158"/>
      <c r="Z106" s="1159"/>
      <c r="AA106" s="1159"/>
      <c r="AB106" s="1159"/>
      <c r="AC106" s="1159"/>
      <c r="AD106" s="1159"/>
      <c r="AE106" s="1159"/>
      <c r="AF106" s="1159"/>
      <c r="AG106" s="1159"/>
      <c r="AH106" s="1159"/>
      <c r="AI106" s="1159"/>
      <c r="AJ106" s="1159"/>
      <c r="AK106" s="1159"/>
      <c r="AL106" s="1159"/>
      <c r="AM106" s="1159"/>
      <c r="AN106" s="1159"/>
      <c r="AO106" s="1160"/>
      <c r="AP106" s="1160"/>
      <c r="AQ106" s="1160"/>
      <c r="AR106" s="1160"/>
      <c r="AS106" s="1160"/>
      <c r="AT106" s="1160"/>
      <c r="AU106" s="1160"/>
      <c r="AV106" s="1160"/>
      <c r="AW106" s="1160"/>
      <c r="AX106" s="1160"/>
      <c r="AY106" s="1160"/>
      <c r="AZ106" s="1160"/>
    </row>
    <row r="107" spans="1:55" ht="6.75" customHeight="1">
      <c r="A107" s="1131" t="s">
        <v>799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  <c r="L107" s="1131"/>
      <c r="M107" s="1131"/>
      <c r="N107" s="1131"/>
      <c r="O107" s="1131"/>
      <c r="P107" s="1131"/>
      <c r="Q107" s="1131"/>
      <c r="R107" s="1131"/>
      <c r="S107" s="1131"/>
      <c r="T107" s="1131"/>
      <c r="U107" s="1131"/>
      <c r="V107" s="1131"/>
      <c r="W107" s="1131"/>
      <c r="X107" s="1131"/>
      <c r="Y107" s="113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31" t="s">
        <v>49</v>
      </c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4" outlineLevelRow="1"/>
  <cols>
    <col min="1" max="24" width="1.7265625" style="284" customWidth="1"/>
    <col min="25" max="25" width="4.54296875" style="284" customWidth="1"/>
    <col min="26" max="51" width="1.7265625" style="284" customWidth="1"/>
    <col min="52" max="52" width="4.1796875" style="284" customWidth="1"/>
    <col min="53" max="53" width="0.1796875" style="284" hidden="1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65" t="s">
        <v>567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165"/>
      <c r="AW1" s="1165"/>
      <c r="AX1" s="1165"/>
      <c r="AY1" s="1165"/>
      <c r="AZ1" s="1165"/>
      <c r="BA1" s="317"/>
    </row>
    <row r="2" spans="1:63" ht="12" customHeight="1">
      <c r="A2" s="1166" t="s">
        <v>72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  <c r="W3" s="1167"/>
      <c r="X3" s="1167"/>
      <c r="Y3" s="1167"/>
      <c r="Z3" s="1167"/>
      <c r="AA3" s="1167"/>
      <c r="AB3" s="1167"/>
      <c r="AC3" s="1167"/>
      <c r="AD3" s="1167"/>
      <c r="AE3" s="1167"/>
      <c r="AF3" s="1167"/>
      <c r="AG3" s="1167"/>
      <c r="AH3" s="1167"/>
      <c r="AI3" s="1167"/>
      <c r="AJ3" s="1167"/>
      <c r="AK3" s="1167"/>
      <c r="AL3" s="1167"/>
      <c r="AM3" s="1167"/>
      <c r="AN3" s="1167"/>
      <c r="AO3" s="1167"/>
      <c r="AP3" s="1167"/>
      <c r="AQ3" s="1167"/>
      <c r="AR3" s="1167"/>
      <c r="AS3" s="1167"/>
      <c r="AT3" s="1167"/>
      <c r="AU3" s="1167"/>
      <c r="AV3" s="1167"/>
      <c r="AW3" s="1167"/>
      <c r="AX3" s="1167"/>
      <c r="AY3" s="1167"/>
      <c r="AZ3" s="1167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168" t="s">
        <v>804</v>
      </c>
      <c r="B4" s="1168"/>
      <c r="C4" s="1168"/>
      <c r="D4" s="1168"/>
      <c r="E4" s="1168"/>
      <c r="F4" s="1168"/>
      <c r="G4" s="1168"/>
      <c r="H4" s="1168"/>
      <c r="I4" s="1168"/>
      <c r="J4" s="1168"/>
      <c r="K4" s="1168"/>
      <c r="L4" s="1168"/>
      <c r="M4" s="1168"/>
      <c r="N4" s="1168"/>
      <c r="O4" s="1168"/>
      <c r="P4" s="1168"/>
      <c r="Q4" s="1168"/>
      <c r="R4" s="1168"/>
      <c r="S4" s="1168"/>
      <c r="T4" s="1168"/>
      <c r="U4" s="1168"/>
      <c r="V4" s="1168"/>
      <c r="W4" s="1168"/>
      <c r="X4" s="1168"/>
      <c r="Y4" s="1168"/>
      <c r="Z4" s="1168"/>
      <c r="AA4" s="1168"/>
      <c r="AB4" s="1168"/>
      <c r="AC4" s="1168"/>
      <c r="AD4" s="1168"/>
      <c r="AE4" s="1168"/>
      <c r="AF4" s="1168"/>
      <c r="AG4" s="1168"/>
      <c r="AH4" s="1168"/>
      <c r="AI4" s="1168"/>
      <c r="AJ4" s="1168"/>
      <c r="AK4" s="1168"/>
      <c r="AL4" s="1168"/>
      <c r="AM4" s="1168"/>
      <c r="AN4" s="1168"/>
      <c r="AO4" s="1168"/>
      <c r="AP4" s="1168"/>
      <c r="AQ4" s="1168"/>
      <c r="AR4" s="1168"/>
      <c r="AS4" s="1168"/>
      <c r="AT4" s="1168"/>
      <c r="AU4" s="1168"/>
      <c r="AV4" s="1168"/>
      <c r="AW4" s="1168"/>
      <c r="AX4" s="1168"/>
      <c r="AY4" s="1168"/>
      <c r="AZ4" s="116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53" t="s">
        <v>771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3"/>
      <c r="AT5" s="1153"/>
      <c r="AU5" s="1153"/>
      <c r="AV5" s="1153"/>
      <c r="AW5" s="1153"/>
      <c r="AX5" s="1153"/>
      <c r="AY5" s="1153"/>
      <c r="AZ5" s="115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69" t="str">
        <f>ФОРМА!B2</f>
        <v>ПАО "Россети Ленэнерго"</v>
      </c>
      <c r="B6" s="1169"/>
      <c r="C6" s="1169"/>
      <c r="D6" s="1169"/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9"/>
      <c r="S6" s="1169"/>
      <c r="T6" s="1169"/>
      <c r="U6" s="1169"/>
      <c r="V6" s="1169"/>
      <c r="W6" s="1169"/>
      <c r="X6" s="1169"/>
      <c r="Y6" s="1169"/>
      <c r="Z6" s="1169"/>
      <c r="AA6" s="1169"/>
      <c r="AB6" s="1169"/>
      <c r="AC6" s="1169"/>
      <c r="AD6" s="1169"/>
      <c r="AE6" s="1169"/>
      <c r="AF6" s="1169"/>
      <c r="AG6" s="1169"/>
      <c r="AH6" s="1169"/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9"/>
      <c r="AW6" s="1169"/>
      <c r="AX6" s="1169"/>
      <c r="AY6" s="1169"/>
      <c r="AZ6" s="1169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68" t="s">
        <v>805</v>
      </c>
      <c r="B7" s="1168"/>
      <c r="C7" s="1168"/>
      <c r="D7" s="1168"/>
      <c r="E7" s="1168"/>
      <c r="F7" s="1168"/>
      <c r="G7" s="1168"/>
      <c r="H7" s="1168"/>
      <c r="I7" s="1168"/>
      <c r="J7" s="1168"/>
      <c r="K7" s="1168"/>
      <c r="L7" s="1168"/>
      <c r="M7" s="1168"/>
      <c r="N7" s="1168"/>
      <c r="O7" s="1168"/>
      <c r="P7" s="1168"/>
      <c r="Q7" s="1168"/>
      <c r="R7" s="1168"/>
      <c r="S7" s="1168"/>
      <c r="T7" s="1168"/>
      <c r="U7" s="1168"/>
      <c r="V7" s="1168"/>
      <c r="W7" s="1168"/>
      <c r="X7" s="1168"/>
      <c r="Y7" s="1168"/>
      <c r="Z7" s="1168"/>
      <c r="AA7" s="1168"/>
      <c r="AB7" s="1168"/>
      <c r="AC7" s="1168"/>
      <c r="AD7" s="1168"/>
      <c r="AE7" s="1168"/>
      <c r="AF7" s="1168"/>
      <c r="AG7" s="1168"/>
      <c r="AH7" s="1168"/>
      <c r="AI7" s="1168"/>
      <c r="AJ7" s="1168"/>
      <c r="AK7" s="1168"/>
      <c r="AL7" s="1168"/>
      <c r="AM7" s="1168"/>
      <c r="AN7" s="1168"/>
      <c r="AO7" s="1168"/>
      <c r="AP7" s="1168"/>
      <c r="AQ7" s="1168"/>
      <c r="AR7" s="1168"/>
      <c r="AS7" s="1168"/>
      <c r="AT7" s="1168"/>
      <c r="AU7" s="1168"/>
      <c r="AV7" s="1168"/>
      <c r="AW7" s="1168"/>
      <c r="AX7" s="1168"/>
      <c r="AY7" s="1168"/>
      <c r="AZ7" s="116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1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  <c r="R8" s="1211"/>
      <c r="S8" s="1211"/>
      <c r="T8" s="1211"/>
      <c r="U8" s="1211"/>
      <c r="V8" s="1211"/>
      <c r="W8" s="1211"/>
      <c r="X8" s="1211"/>
      <c r="Y8" s="1211"/>
      <c r="Z8" s="1211"/>
      <c r="AA8" s="1211"/>
      <c r="AB8" s="1211"/>
      <c r="AC8" s="1211"/>
      <c r="AD8" s="1211"/>
      <c r="AE8" s="1211"/>
      <c r="AF8" s="1211"/>
      <c r="AG8" s="1211"/>
      <c r="AH8" s="1211"/>
      <c r="AI8" s="1211"/>
      <c r="AJ8" s="1211"/>
      <c r="AK8" s="1211"/>
      <c r="AL8" s="1211"/>
      <c r="AM8" s="1211"/>
      <c r="AN8" s="1211"/>
      <c r="AO8" s="1211"/>
      <c r="AP8" s="1211"/>
      <c r="AQ8" s="1211"/>
      <c r="AR8" s="1211"/>
      <c r="AS8" s="1211"/>
      <c r="AT8" s="1211"/>
      <c r="AU8" s="1211"/>
      <c r="AV8" s="1211"/>
      <c r="AW8" s="1211"/>
      <c r="AX8" s="1211"/>
      <c r="AY8" s="1211"/>
      <c r="AZ8" s="121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170" t="s">
        <v>806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166" t="s">
        <v>775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11" t="str">
        <f>ФОРМА!B3</f>
        <v>ООО «БЭСК»</v>
      </c>
      <c r="B11" s="1211"/>
      <c r="C11" s="1211"/>
      <c r="D11" s="1211"/>
      <c r="E11" s="1211"/>
      <c r="F11" s="1211"/>
      <c r="G11" s="1211"/>
      <c r="H11" s="1211"/>
      <c r="I11" s="1211"/>
      <c r="J11" s="1211"/>
      <c r="K11" s="1211"/>
      <c r="L11" s="1211"/>
      <c r="M11" s="1211"/>
      <c r="N11" s="1211"/>
      <c r="O11" s="1211"/>
      <c r="P11" s="1211"/>
      <c r="Q11" s="1211"/>
      <c r="R11" s="1211"/>
      <c r="S11" s="1211"/>
      <c r="T11" s="1211"/>
      <c r="U11" s="1211"/>
      <c r="V11" s="1211"/>
      <c r="W11" s="1211"/>
      <c r="X11" s="1211"/>
      <c r="Y11" s="1211"/>
      <c r="Z11" s="1211"/>
      <c r="AA11" s="1211"/>
      <c r="AB11" s="1211"/>
      <c r="AC11" s="1211"/>
      <c r="AD11" s="1211"/>
      <c r="AE11" s="1211"/>
      <c r="AF11" s="1211"/>
      <c r="AG11" s="1211"/>
      <c r="AH11" s="1211"/>
      <c r="AI11" s="1211"/>
      <c r="AJ11" s="1211"/>
      <c r="AK11" s="1211"/>
      <c r="AL11" s="1211"/>
      <c r="AM11" s="1211"/>
      <c r="AN11" s="1211"/>
      <c r="AO11" s="1211"/>
      <c r="AP11" s="1211"/>
      <c r="AQ11" s="1211"/>
      <c r="AR11" s="1211"/>
      <c r="AS11" s="1211"/>
      <c r="AT11" s="1211"/>
      <c r="AU11" s="1211"/>
      <c r="AV11" s="1211"/>
      <c r="AW11" s="1211"/>
      <c r="AX11" s="1211"/>
      <c r="AY11" s="1211"/>
      <c r="AZ11" s="1211"/>
      <c r="BA11" s="1211"/>
    </row>
    <row r="12" spans="1:63" s="305" customFormat="1" ht="6" customHeight="1">
      <c r="A12" s="1168" t="s">
        <v>805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318"/>
    </row>
    <row r="13" spans="1:63" ht="24" customHeight="1">
      <c r="A13" s="12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</row>
    <row r="14" spans="1:63" s="305" customFormat="1" ht="21" customHeight="1">
      <c r="A14" s="1170" t="s">
        <v>807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  <c r="BA14" s="318"/>
    </row>
    <row r="15" spans="1:63" ht="13.5" customHeight="1">
      <c r="A15" s="1166" t="s">
        <v>74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  <c r="BA15" s="317"/>
    </row>
    <row r="16" spans="1:63" ht="12" customHeight="1">
      <c r="A16" s="1211" t="str">
        <f>ФОРМА!B8</f>
        <v>ООО «Строительные энергетические технологии»</v>
      </c>
      <c r="B16" s="1211"/>
      <c r="C16" s="1211"/>
      <c r="D16" s="1211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1211"/>
      <c r="S16" s="1211"/>
      <c r="T16" s="1211"/>
      <c r="U16" s="1211"/>
      <c r="V16" s="1211"/>
      <c r="W16" s="1211"/>
      <c r="X16" s="1211"/>
      <c r="Y16" s="1211"/>
      <c r="Z16" s="1211"/>
      <c r="AA16" s="1211"/>
      <c r="AB16" s="1211"/>
      <c r="AC16" s="1211"/>
      <c r="AD16" s="1211"/>
      <c r="AE16" s="1211"/>
      <c r="AF16" s="1211"/>
      <c r="AG16" s="1211"/>
      <c r="AH16" s="1211"/>
      <c r="AI16" s="1211"/>
      <c r="AJ16" s="1211"/>
      <c r="AK16" s="1211"/>
      <c r="AL16" s="1211"/>
      <c r="AM16" s="1211"/>
      <c r="AN16" s="1211"/>
      <c r="AO16" s="1211"/>
      <c r="AP16" s="1211"/>
      <c r="AQ16" s="1211"/>
      <c r="AR16" s="1211"/>
      <c r="AS16" s="1211"/>
      <c r="AT16" s="1211"/>
      <c r="AU16" s="1211"/>
      <c r="AV16" s="1211"/>
      <c r="AW16" s="1211"/>
      <c r="AX16" s="1211"/>
      <c r="AY16" s="1211"/>
      <c r="AZ16" s="1211"/>
      <c r="BA16" s="1211"/>
    </row>
    <row r="17" spans="1:53" s="305" customFormat="1" ht="9">
      <c r="A17" s="1168" t="s">
        <v>805</v>
      </c>
      <c r="B17" s="1168"/>
      <c r="C17" s="1168"/>
      <c r="D17" s="1168"/>
      <c r="E17" s="1168"/>
      <c r="F17" s="1168"/>
      <c r="G17" s="1168"/>
      <c r="H17" s="1168"/>
      <c r="I17" s="1168"/>
      <c r="J17" s="1168"/>
      <c r="K17" s="1168"/>
      <c r="L17" s="1168"/>
      <c r="M17" s="1168"/>
      <c r="N17" s="1168"/>
      <c r="O17" s="1168"/>
      <c r="P17" s="1168"/>
      <c r="Q17" s="1168"/>
      <c r="R17" s="1168"/>
      <c r="S17" s="1168"/>
      <c r="T17" s="1168"/>
      <c r="U17" s="1168"/>
      <c r="V17" s="1168"/>
      <c r="W17" s="1168"/>
      <c r="X17" s="1168"/>
      <c r="Y17" s="1168"/>
      <c r="Z17" s="1168"/>
      <c r="AA17" s="1168"/>
      <c r="AB17" s="1168"/>
      <c r="AC17" s="1168"/>
      <c r="AD17" s="1168"/>
      <c r="AE17" s="1168"/>
      <c r="AF17" s="1168"/>
      <c r="AG17" s="1168"/>
      <c r="AH17" s="1168"/>
      <c r="AI17" s="1168"/>
      <c r="AJ17" s="1168"/>
      <c r="AK17" s="1168"/>
      <c r="AL17" s="1168"/>
      <c r="AM17" s="1168"/>
      <c r="AN17" s="1168"/>
      <c r="AO17" s="1168"/>
      <c r="AP17" s="1168"/>
      <c r="AQ17" s="1168"/>
      <c r="AR17" s="1168"/>
      <c r="AS17" s="1168"/>
      <c r="AT17" s="1168"/>
      <c r="AU17" s="1168"/>
      <c r="AV17" s="1168"/>
      <c r="AW17" s="1168"/>
      <c r="AX17" s="1168"/>
      <c r="AY17" s="1168"/>
      <c r="AZ17" s="1168"/>
      <c r="BA17" s="318"/>
    </row>
    <row r="18" spans="1:53" ht="22.15" customHeight="1">
      <c r="A18" s="12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  <c r="L18" s="1211"/>
      <c r="M18" s="1211"/>
      <c r="N18" s="1211"/>
      <c r="O18" s="1211"/>
      <c r="P18" s="1211"/>
      <c r="Q18" s="1211"/>
      <c r="R18" s="1211"/>
      <c r="S18" s="1211"/>
      <c r="T18" s="1211"/>
      <c r="U18" s="1211"/>
      <c r="V18" s="1211"/>
      <c r="W18" s="1211"/>
      <c r="X18" s="1211"/>
      <c r="Y18" s="1211"/>
      <c r="Z18" s="1211"/>
      <c r="AA18" s="1211"/>
      <c r="AB18" s="1211"/>
      <c r="AC18" s="1211"/>
      <c r="AD18" s="1211"/>
      <c r="AE18" s="1211"/>
      <c r="AF18" s="1211"/>
      <c r="AG18" s="1211"/>
      <c r="AH18" s="1211"/>
      <c r="AI18" s="1211"/>
      <c r="AJ18" s="1211"/>
      <c r="AK18" s="1211"/>
      <c r="AL18" s="1211"/>
      <c r="AM18" s="1211"/>
      <c r="AN18" s="1211"/>
      <c r="AO18" s="1211"/>
      <c r="AP18" s="1211"/>
      <c r="AQ18" s="1211"/>
      <c r="AR18" s="1211"/>
      <c r="AS18" s="1211"/>
      <c r="AT18" s="1211"/>
      <c r="AU18" s="1211"/>
      <c r="AV18" s="1211"/>
      <c r="AW18" s="1211"/>
      <c r="AX18" s="1211"/>
      <c r="AY18" s="1211"/>
      <c r="AZ18" s="1211"/>
      <c r="BA18" s="317"/>
    </row>
    <row r="19" spans="1:53" s="305" customFormat="1" ht="9" customHeight="1">
      <c r="A19" s="1170" t="s">
        <v>773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  <c r="BA19" s="318"/>
    </row>
    <row r="20" spans="1:53" s="305" customFormat="1" ht="15" customHeight="1">
      <c r="A20" s="1152"/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318"/>
    </row>
    <row r="21" spans="1:53" s="305" customFormat="1" ht="15" customHeight="1">
      <c r="A21" s="1151" t="s">
        <v>808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18"/>
    </row>
    <row r="22" spans="1:53" ht="5.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1173" t="s">
        <v>517</v>
      </c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175" t="s">
        <v>19</v>
      </c>
      <c r="B25" s="1175"/>
      <c r="C25" s="1141">
        <f>ФОРМА!B27</f>
        <v>0</v>
      </c>
      <c r="D25" s="1141"/>
      <c r="E25" s="1141"/>
      <c r="F25" s="1141"/>
      <c r="G25" s="1141"/>
      <c r="H25" s="1141"/>
      <c r="I25" s="1141"/>
      <c r="J25" s="1141"/>
      <c r="K25" s="1141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76"/>
      <c r="AH25" s="1176"/>
      <c r="AI25" s="1176"/>
      <c r="AJ25" s="322"/>
      <c r="AK25" s="322"/>
      <c r="AL25" s="1143">
        <f>ФОРМА!C27</f>
        <v>45354</v>
      </c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76"/>
      <c r="AX25" s="1176"/>
      <c r="AY25" s="1176"/>
      <c r="AZ25" s="1176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68" t="s">
        <v>453</v>
      </c>
      <c r="AM26" s="1168"/>
      <c r="AN26" s="1168"/>
      <c r="AO26" s="1168"/>
      <c r="AP26" s="1168"/>
      <c r="AQ26" s="1168"/>
      <c r="AR26" s="1168"/>
      <c r="AS26" s="1168"/>
      <c r="AT26" s="1168"/>
      <c r="AU26" s="1168"/>
      <c r="AV26" s="1168"/>
      <c r="AW26" s="318"/>
      <c r="AX26" s="318"/>
      <c r="AY26" s="318"/>
      <c r="AZ26" s="318"/>
      <c r="BA26" s="318"/>
    </row>
    <row r="27" spans="1:53" ht="24" customHeight="1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317"/>
    </row>
    <row r="28" spans="1:53" ht="12" customHeight="1">
      <c r="A28" s="1171" t="str">
        <f>IF(ПОДПИСИ!B9="",ПОДПИСИ!B6,ПОДПИСИ!B9)</f>
        <v>Ведущий инженер-геодезист АО "ЛЭСР"</v>
      </c>
      <c r="B28" s="1171"/>
      <c r="C28" s="1171"/>
      <c r="D28" s="1171"/>
      <c r="E28" s="1171"/>
      <c r="F28" s="1171"/>
      <c r="G28" s="1171"/>
      <c r="H28" s="1171"/>
      <c r="I28" s="1171"/>
      <c r="J28" s="1171"/>
      <c r="K28" s="1171"/>
      <c r="L28" s="1171"/>
      <c r="M28" s="1171"/>
      <c r="N28" s="1171"/>
      <c r="O28" s="1171"/>
      <c r="P28" s="1171"/>
      <c r="Q28" s="1171"/>
      <c r="R28" s="1171"/>
      <c r="S28" s="1171"/>
      <c r="T28" s="1171"/>
      <c r="U28" s="1171"/>
      <c r="V28" s="1171"/>
      <c r="W28" s="1171"/>
      <c r="X28" s="1171"/>
      <c r="Y28" s="1171"/>
      <c r="Z28" s="1171"/>
      <c r="AA28" s="1171"/>
      <c r="AB28" s="1171"/>
      <c r="AC28" s="1171"/>
      <c r="AD28" s="1171"/>
      <c r="AE28" s="1171"/>
      <c r="AF28" s="1171"/>
      <c r="AG28" s="1171"/>
      <c r="AH28" s="1171"/>
      <c r="AI28" s="1171"/>
      <c r="AJ28" s="1171"/>
      <c r="AK28" s="1171"/>
      <c r="AL28" s="1171"/>
      <c r="AM28" s="1171"/>
      <c r="AN28" s="1171"/>
      <c r="AO28" s="1171"/>
      <c r="AP28" s="1171"/>
      <c r="AQ28" s="1171"/>
      <c r="AR28" s="1171"/>
      <c r="AS28" s="1171"/>
      <c r="AT28" s="1171"/>
      <c r="AU28" s="1171"/>
      <c r="AV28" s="1171"/>
      <c r="AW28" s="1171"/>
      <c r="AX28" s="1171"/>
      <c r="AY28" s="1171"/>
      <c r="AZ28" s="1171"/>
      <c r="BA28" s="317"/>
    </row>
    <row r="29" spans="1:53" ht="12" customHeight="1">
      <c r="A29" s="1172" t="str">
        <f>IF(ПОДПИСИ!C9="",ПОДПИСИ!C6,CONCATENATE(ПОДПИСИ!C9,", ",ПОДПИСИ!F9))</f>
        <v xml:space="preserve">Филёва Н.О.,  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317"/>
    </row>
    <row r="30" spans="1:53" ht="13.9" customHeight="1">
      <c r="A30" s="1170" t="s">
        <v>781</v>
      </c>
      <c r="B30" s="1170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317"/>
    </row>
    <row r="31" spans="1:53" ht="15" customHeight="1">
      <c r="A31" s="1152"/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17"/>
    </row>
    <row r="32" spans="1:53" ht="21.75" customHeight="1">
      <c r="A32" s="1151" t="s">
        <v>809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  <c r="BA32" s="317"/>
    </row>
    <row r="33" spans="1:52" ht="12" customHeight="1">
      <c r="A33" s="1177" t="s">
        <v>783</v>
      </c>
      <c r="B33" s="1178"/>
      <c r="C33" s="1178"/>
      <c r="D33" s="1178"/>
      <c r="E33" s="1178"/>
      <c r="F33" s="1178"/>
      <c r="G33" s="1178"/>
      <c r="H33" s="1178"/>
      <c r="I33" s="1178"/>
      <c r="J33" s="1178"/>
      <c r="K33" s="1178"/>
      <c r="L33" s="1178"/>
      <c r="M33" s="1178"/>
      <c r="N33" s="1178"/>
      <c r="O33" s="1178"/>
      <c r="P33" s="1178"/>
      <c r="Q33" s="1178"/>
      <c r="R33" s="1178"/>
      <c r="S33" s="1178"/>
      <c r="T33" s="1178"/>
      <c r="U33" s="1178"/>
      <c r="V33" s="1178"/>
      <c r="W33" s="1178"/>
      <c r="X33" s="1178"/>
      <c r="Y33" s="1178"/>
      <c r="Z33" s="1178"/>
      <c r="AA33" s="1178"/>
      <c r="AB33" s="1178"/>
      <c r="AC33" s="1178"/>
      <c r="AD33" s="1178"/>
      <c r="AE33" s="1178"/>
      <c r="AF33" s="1178"/>
      <c r="AG33" s="1178"/>
      <c r="AH33" s="1178"/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</row>
    <row r="34" spans="1:52" ht="12" customHeight="1">
      <c r="A34" s="1154" t="str">
        <f>ПОДПИСИ!B15</f>
        <v xml:space="preserve">Заместитель генерального директора ООО «БЭСК» </v>
      </c>
      <c r="B34" s="1154"/>
      <c r="C34" s="1154"/>
      <c r="D34" s="1154"/>
      <c r="E34" s="1154"/>
      <c r="F34" s="1154"/>
      <c r="G34" s="1154"/>
      <c r="H34" s="1154"/>
      <c r="I34" s="1154"/>
      <c r="J34" s="1154"/>
      <c r="K34" s="1154"/>
      <c r="L34" s="1154"/>
      <c r="M34" s="1154"/>
      <c r="N34" s="1154"/>
      <c r="O34" s="1154"/>
      <c r="P34" s="1154"/>
      <c r="Q34" s="1154"/>
      <c r="R34" s="1154"/>
      <c r="S34" s="1154"/>
      <c r="T34" s="1154"/>
      <c r="U34" s="1154"/>
      <c r="V34" s="1154"/>
      <c r="W34" s="1154"/>
      <c r="X34" s="1154"/>
      <c r="Y34" s="1154"/>
      <c r="Z34" s="1154"/>
      <c r="AA34" s="1154"/>
      <c r="AB34" s="1154"/>
      <c r="AC34" s="1154"/>
      <c r="AD34" s="1154"/>
      <c r="AE34" s="1154"/>
      <c r="AF34" s="1154"/>
      <c r="AG34" s="1154"/>
      <c r="AH34" s="1154"/>
      <c r="AI34" s="1154"/>
      <c r="AJ34" s="1154"/>
      <c r="AK34" s="1154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</row>
    <row r="35" spans="1:52" ht="12" customHeight="1">
      <c r="A35" s="1179" t="str">
        <f>CONCATENATE(ПОДПИСИ!C15," ",ПОДПИСИ!F15)</f>
        <v xml:space="preserve">Матвеев А.С. </v>
      </c>
      <c r="B35" s="1179"/>
      <c r="C35" s="1179"/>
      <c r="D35" s="1179"/>
      <c r="E35" s="1179"/>
      <c r="F35" s="1179"/>
      <c r="G35" s="1179"/>
      <c r="H35" s="1179"/>
      <c r="I35" s="1179"/>
      <c r="J35" s="1179"/>
      <c r="K35" s="1179"/>
      <c r="L35" s="1179"/>
      <c r="M35" s="1179"/>
      <c r="N35" s="1179"/>
      <c r="O35" s="1179"/>
      <c r="P35" s="1179"/>
      <c r="Q35" s="1179"/>
      <c r="R35" s="1179"/>
      <c r="S35" s="1179"/>
      <c r="T35" s="1179"/>
      <c r="U35" s="1179"/>
      <c r="V35" s="1179"/>
      <c r="W35" s="1179"/>
      <c r="X35" s="1179"/>
      <c r="Y35" s="1179"/>
      <c r="Z35" s="1179"/>
      <c r="AA35" s="1179"/>
      <c r="AB35" s="1179"/>
      <c r="AC35" s="1179"/>
      <c r="AD35" s="1179"/>
      <c r="AE35" s="1179"/>
      <c r="AF35" s="1179"/>
      <c r="AG35" s="1179"/>
      <c r="AH35" s="1179"/>
      <c r="AI35" s="1179"/>
      <c r="AJ35" s="1179"/>
      <c r="AK35" s="1179"/>
      <c r="AL35" s="1179"/>
      <c r="AM35" s="1179"/>
      <c r="AN35" s="1179"/>
      <c r="AO35" s="1179"/>
      <c r="AP35" s="1179"/>
      <c r="AQ35" s="1179"/>
      <c r="AR35" s="1179"/>
      <c r="AS35" s="1179"/>
      <c r="AT35" s="1179"/>
      <c r="AU35" s="1179"/>
      <c r="AV35" s="1179"/>
      <c r="AW35" s="1179"/>
      <c r="AX35" s="1179"/>
      <c r="AY35" s="1179"/>
      <c r="AZ35" s="1179"/>
    </row>
    <row r="36" spans="1:52" ht="6" customHeight="1">
      <c r="A36" s="1180" t="s">
        <v>810</v>
      </c>
      <c r="B36" s="1180"/>
      <c r="C36" s="1180"/>
      <c r="D36" s="1180"/>
      <c r="E36" s="1180"/>
      <c r="F36" s="1180"/>
      <c r="G36" s="1180"/>
      <c r="H36" s="1180"/>
      <c r="I36" s="1180"/>
      <c r="J36" s="1180"/>
      <c r="K36" s="1180"/>
      <c r="L36" s="1180"/>
      <c r="M36" s="1180"/>
      <c r="N36" s="1180"/>
      <c r="O36" s="1180"/>
      <c r="P36" s="1180"/>
      <c r="Q36" s="1180"/>
      <c r="R36" s="1180"/>
      <c r="S36" s="1180"/>
      <c r="T36" s="1180"/>
      <c r="U36" s="1180"/>
      <c r="V36" s="1180"/>
      <c r="W36" s="1180"/>
      <c r="X36" s="1180"/>
      <c r="Y36" s="1180"/>
      <c r="Z36" s="1180"/>
      <c r="AA36" s="1180"/>
      <c r="AB36" s="1180"/>
      <c r="AC36" s="1180"/>
      <c r="AD36" s="1180"/>
      <c r="AE36" s="1180"/>
      <c r="AF36" s="1180"/>
      <c r="AG36" s="1180"/>
      <c r="AH36" s="1180"/>
      <c r="AI36" s="1180"/>
      <c r="AJ36" s="1180"/>
      <c r="AK36" s="1180"/>
      <c r="AL36" s="1180"/>
      <c r="AM36" s="1180"/>
      <c r="AN36" s="1180"/>
      <c r="AO36" s="1180"/>
      <c r="AP36" s="1180"/>
      <c r="AQ36" s="1180"/>
      <c r="AR36" s="1180"/>
      <c r="AS36" s="1180"/>
      <c r="AT36" s="1180"/>
      <c r="AU36" s="1180"/>
      <c r="AV36" s="1180"/>
      <c r="AW36" s="1180"/>
      <c r="AX36" s="1180"/>
      <c r="AY36" s="1180"/>
      <c r="AZ36" s="1180"/>
    </row>
    <row r="37" spans="1:52" ht="24" customHeight="1">
      <c r="A37" s="1153" t="s">
        <v>811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</row>
    <row r="38" spans="1:52" ht="12" customHeight="1">
      <c r="A38" s="1154" t="str">
        <f>ПОДПИСИ!B17</f>
        <v xml:space="preserve">Заместитель генерального директора ООО «БЭСК» 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  <c r="L38" s="1154"/>
      <c r="M38" s="1154"/>
      <c r="N38" s="1154"/>
      <c r="O38" s="1154"/>
      <c r="P38" s="1154"/>
      <c r="Q38" s="1154"/>
      <c r="R38" s="1154"/>
      <c r="S38" s="1154"/>
      <c r="T38" s="1154"/>
      <c r="U38" s="1154"/>
      <c r="V38" s="1154"/>
      <c r="W38" s="1154"/>
      <c r="X38" s="1154"/>
      <c r="Y38" s="1154"/>
      <c r="Z38" s="1154"/>
      <c r="AA38" s="1154"/>
      <c r="AB38" s="1154"/>
      <c r="AC38" s="1154"/>
      <c r="AD38" s="1154"/>
      <c r="AE38" s="1154"/>
      <c r="AF38" s="1154"/>
      <c r="AG38" s="1154"/>
      <c r="AH38" s="1154"/>
      <c r="AI38" s="1154"/>
      <c r="AJ38" s="1154"/>
      <c r="AK38" s="1154"/>
      <c r="AL38" s="1154"/>
      <c r="AM38" s="1154"/>
      <c r="AN38" s="1154"/>
      <c r="AO38" s="1154"/>
      <c r="AP38" s="1154"/>
      <c r="AQ38" s="1154"/>
      <c r="AR38" s="1154"/>
      <c r="AS38" s="1154"/>
      <c r="AT38" s="1154"/>
      <c r="AU38" s="1154"/>
      <c r="AV38" s="1154"/>
      <c r="AW38" s="1154"/>
      <c r="AX38" s="1154"/>
      <c r="AY38" s="1154"/>
      <c r="AZ38" s="1154"/>
    </row>
    <row r="39" spans="1:52" ht="12" customHeight="1">
      <c r="A39" s="1154" t="str">
        <f>CONCATENATE(ПОДПИСИ!C17," ",ПОДПИСИ!F17)</f>
        <v xml:space="preserve">Матвеев А.С. </v>
      </c>
      <c r="B39" s="1154"/>
      <c r="C39" s="1154"/>
      <c r="D39" s="1154"/>
      <c r="E39" s="1154"/>
      <c r="F39" s="1154"/>
      <c r="G39" s="1154"/>
      <c r="H39" s="1154"/>
      <c r="I39" s="1154"/>
      <c r="J39" s="1154"/>
      <c r="K39" s="1154"/>
      <c r="L39" s="1154"/>
      <c r="M39" s="1154"/>
      <c r="N39" s="1154"/>
      <c r="O39" s="1154"/>
      <c r="P39" s="1154"/>
      <c r="Q39" s="1154"/>
      <c r="R39" s="1154"/>
      <c r="S39" s="1154"/>
      <c r="T39" s="1154"/>
      <c r="U39" s="1154"/>
      <c r="V39" s="1154"/>
      <c r="W39" s="1154"/>
      <c r="X39" s="1154"/>
      <c r="Y39" s="1154"/>
      <c r="Z39" s="1154"/>
      <c r="AA39" s="1154"/>
      <c r="AB39" s="1154"/>
      <c r="AC39" s="1154"/>
      <c r="AD39" s="1154"/>
      <c r="AE39" s="1154"/>
      <c r="AF39" s="1154"/>
      <c r="AG39" s="1154"/>
      <c r="AH39" s="1154"/>
      <c r="AI39" s="1154"/>
      <c r="AJ39" s="1154"/>
      <c r="AK39" s="1154"/>
      <c r="AL39" s="1154"/>
      <c r="AM39" s="1154"/>
      <c r="AN39" s="1154"/>
      <c r="AO39" s="1154"/>
      <c r="AP39" s="1154"/>
      <c r="AQ39" s="1154"/>
      <c r="AR39" s="1154"/>
      <c r="AS39" s="1154"/>
      <c r="AT39" s="1154"/>
      <c r="AU39" s="1154"/>
      <c r="AV39" s="1154"/>
      <c r="AW39" s="1154"/>
      <c r="AX39" s="1154"/>
      <c r="AY39" s="1154"/>
      <c r="AZ39" s="1154"/>
    </row>
    <row r="40" spans="1:52" ht="15" customHeight="1">
      <c r="A40" s="1151" t="s">
        <v>781</v>
      </c>
      <c r="B40" s="1151"/>
      <c r="C40" s="1151"/>
      <c r="D40" s="1151"/>
      <c r="E40" s="1151"/>
      <c r="F40" s="1151"/>
      <c r="G40" s="1151"/>
      <c r="H40" s="1151"/>
      <c r="I40" s="1151"/>
      <c r="J40" s="1151"/>
      <c r="K40" s="1151"/>
      <c r="L40" s="1151"/>
      <c r="M40" s="1151"/>
      <c r="N40" s="1151"/>
      <c r="O40" s="1151"/>
      <c r="P40" s="1151"/>
      <c r="Q40" s="1151"/>
      <c r="R40" s="1151"/>
      <c r="S40" s="1151"/>
      <c r="T40" s="1151"/>
      <c r="U40" s="1151"/>
      <c r="V40" s="1151"/>
      <c r="W40" s="1151"/>
      <c r="X40" s="1151"/>
      <c r="Y40" s="1151"/>
      <c r="Z40" s="1151"/>
      <c r="AA40" s="1151"/>
      <c r="AB40" s="1151"/>
      <c r="AC40" s="1151"/>
      <c r="AD40" s="1151"/>
      <c r="AE40" s="1151"/>
      <c r="AF40" s="1151"/>
      <c r="AG40" s="1151"/>
      <c r="AH40" s="1151"/>
      <c r="AI40" s="1151"/>
      <c r="AJ40" s="1151"/>
      <c r="AK40" s="1151"/>
      <c r="AL40" s="1151"/>
      <c r="AM40" s="1151"/>
      <c r="AN40" s="1151"/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/>
      <c r="AY40" s="1151"/>
      <c r="AZ40" s="1151"/>
    </row>
    <row r="41" spans="1:52" ht="12" customHeight="1">
      <c r="A41" s="1152"/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52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</row>
    <row r="42" spans="1:52" ht="6.75" customHeight="1">
      <c r="A42" s="1151" t="s">
        <v>812</v>
      </c>
      <c r="B42" s="1151"/>
      <c r="C42" s="1151"/>
      <c r="D42" s="1151"/>
      <c r="E42" s="1151"/>
      <c r="F42" s="1151"/>
      <c r="G42" s="1151"/>
      <c r="H42" s="1151"/>
      <c r="I42" s="1151"/>
      <c r="J42" s="1151"/>
      <c r="K42" s="1151"/>
      <c r="L42" s="1151"/>
      <c r="M42" s="1151"/>
      <c r="N42" s="1151"/>
      <c r="O42" s="1151"/>
      <c r="P42" s="1151"/>
      <c r="Q42" s="1151"/>
      <c r="R42" s="1151"/>
      <c r="S42" s="1151"/>
      <c r="T42" s="1151"/>
      <c r="U42" s="1151"/>
      <c r="V42" s="1151"/>
      <c r="W42" s="1151"/>
      <c r="X42" s="1151"/>
      <c r="Y42" s="1151"/>
      <c r="Z42" s="1151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151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</row>
    <row r="43" spans="1:52" ht="35.25" customHeight="1">
      <c r="A43" s="1153" t="s">
        <v>813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</row>
    <row r="44" spans="1:52" ht="12" customHeight="1">
      <c r="A44" s="1154" t="str">
        <f>ПОДПИСИ!B19</f>
        <v xml:space="preserve">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</row>
    <row r="45" spans="1:52" ht="12" customHeight="1">
      <c r="A45" s="1154" t="str">
        <f>CONCATENATE(ПОДПИСИ!C19," ",ПОДПИСИ!F19)</f>
        <v xml:space="preserve"> 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</row>
    <row r="46" spans="1:52" ht="6" customHeight="1">
      <c r="A46" s="1151" t="s">
        <v>787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</row>
    <row r="47" spans="1:52" ht="12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</row>
    <row r="48" spans="1:52" ht="15" customHeight="1">
      <c r="A48" s="1151" t="s">
        <v>788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4" ht="36" customHeight="1">
      <c r="A49" s="1177" t="s">
        <v>814</v>
      </c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1177"/>
      <c r="P49" s="1177"/>
      <c r="Q49" s="1177"/>
      <c r="R49" s="1177"/>
      <c r="S49" s="1177"/>
      <c r="T49" s="1177"/>
      <c r="U49" s="1177"/>
      <c r="V49" s="1177"/>
      <c r="W49" s="1177"/>
      <c r="X49" s="1177"/>
      <c r="Y49" s="1177"/>
      <c r="Z49" s="1177"/>
      <c r="AA49" s="1177"/>
      <c r="AB49" s="1177"/>
      <c r="AC49" s="1177"/>
      <c r="AD49" s="1177"/>
      <c r="AE49" s="1177"/>
      <c r="AF49" s="1177"/>
      <c r="AG49" s="1177"/>
      <c r="AH49" s="1177"/>
      <c r="AI49" s="1177"/>
      <c r="AJ49" s="1177"/>
      <c r="AK49" s="1177"/>
      <c r="AL49" s="1177"/>
      <c r="AM49" s="1177"/>
      <c r="AN49" s="1177"/>
      <c r="AO49" s="1177"/>
      <c r="AP49" s="1177"/>
      <c r="AQ49" s="1177"/>
      <c r="AR49" s="1177"/>
      <c r="AS49" s="1177"/>
      <c r="AT49" s="1177"/>
      <c r="AU49" s="1177"/>
      <c r="AV49" s="1177"/>
      <c r="AW49" s="1177"/>
      <c r="AX49" s="1177"/>
      <c r="AY49" s="1177"/>
      <c r="AZ49" s="1177"/>
    </row>
    <row r="50" spans="1:54" ht="12" customHeight="1">
      <c r="A50" s="1213" t="str">
        <f>ПОДПИСИ!B14</f>
        <v>Инженер-геодезист ООО «БЭСК»</v>
      </c>
      <c r="B50" s="1213"/>
      <c r="C50" s="1213"/>
      <c r="D50" s="1213"/>
      <c r="E50" s="1213"/>
      <c r="F50" s="1213"/>
      <c r="G50" s="1213"/>
      <c r="H50" s="1213"/>
      <c r="I50" s="1213"/>
      <c r="J50" s="1213"/>
      <c r="K50" s="1213"/>
      <c r="L50" s="1213"/>
      <c r="M50" s="1213"/>
      <c r="N50" s="1213"/>
      <c r="O50" s="1213"/>
      <c r="P50" s="1213"/>
      <c r="Q50" s="1213"/>
      <c r="R50" s="1213"/>
      <c r="S50" s="1213"/>
      <c r="T50" s="1213"/>
      <c r="U50" s="1213"/>
      <c r="V50" s="1213"/>
      <c r="W50" s="1213"/>
      <c r="X50" s="1213"/>
      <c r="Y50" s="1213"/>
      <c r="Z50" s="1213"/>
      <c r="AA50" s="1213"/>
      <c r="AB50" s="1213"/>
      <c r="AC50" s="1213"/>
      <c r="AD50" s="1213"/>
      <c r="AE50" s="1213"/>
      <c r="AF50" s="1213"/>
      <c r="AG50" s="1213"/>
      <c r="AH50" s="1213"/>
      <c r="AI50" s="1213"/>
      <c r="AJ50" s="1213"/>
      <c r="AK50" s="1213"/>
      <c r="AL50" s="1213"/>
      <c r="AM50" s="1213"/>
      <c r="AN50" s="1213"/>
      <c r="AO50" s="1213"/>
      <c r="AP50" s="1213"/>
      <c r="AQ50" s="1213"/>
      <c r="AR50" s="1213"/>
      <c r="AS50" s="1213"/>
      <c r="AT50" s="1213"/>
      <c r="AU50" s="1213"/>
      <c r="AV50" s="1213"/>
      <c r="AW50" s="1213"/>
      <c r="AX50" s="1213"/>
      <c r="AY50" s="1213"/>
      <c r="AZ50" s="1213"/>
      <c r="BA50" s="323"/>
      <c r="BB50" s="294"/>
    </row>
    <row r="51" spans="1:54" ht="12" customHeight="1">
      <c r="A51" s="1104" t="str">
        <f>CONCATENATE(ПОДПИСИ!C14," ",ПОДПИСИ!F14)</f>
        <v xml:space="preserve">Алексеенков Д.С. </v>
      </c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N51" s="1104"/>
      <c r="O51" s="1104"/>
      <c r="P51" s="1104"/>
      <c r="Q51" s="1104"/>
      <c r="R51" s="1104"/>
      <c r="S51" s="1104"/>
      <c r="T51" s="1104"/>
      <c r="U51" s="1104"/>
      <c r="V51" s="1104"/>
      <c r="W51" s="1104"/>
      <c r="X51" s="1104"/>
      <c r="Y51" s="1104"/>
      <c r="Z51" s="1104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</row>
    <row r="52" spans="1:54" ht="6" customHeight="1">
      <c r="A52" s="1170" t="s">
        <v>787</v>
      </c>
      <c r="B52" s="1170"/>
      <c r="C52" s="1170"/>
      <c r="D52" s="1170"/>
      <c r="E52" s="1170"/>
      <c r="F52" s="1170"/>
      <c r="G52" s="1170"/>
      <c r="H52" s="1170"/>
      <c r="I52" s="1170"/>
      <c r="J52" s="1170"/>
      <c r="K52" s="1170"/>
      <c r="L52" s="1170"/>
      <c r="M52" s="1170"/>
      <c r="N52" s="1170"/>
      <c r="O52" s="1170"/>
      <c r="P52" s="1170"/>
      <c r="Q52" s="1170"/>
      <c r="R52" s="1170"/>
      <c r="S52" s="1170"/>
      <c r="T52" s="1170"/>
      <c r="U52" s="1170"/>
      <c r="V52" s="1170"/>
      <c r="W52" s="1170"/>
      <c r="X52" s="1170"/>
      <c r="Y52" s="1170"/>
      <c r="Z52" s="1170"/>
      <c r="AA52" s="1170"/>
      <c r="AB52" s="1170"/>
      <c r="AC52" s="1170"/>
      <c r="AD52" s="1170"/>
      <c r="AE52" s="1170"/>
      <c r="AF52" s="1170"/>
      <c r="AG52" s="1170"/>
      <c r="AH52" s="1170"/>
      <c r="AI52" s="1170"/>
      <c r="AJ52" s="1170"/>
      <c r="AK52" s="1170"/>
      <c r="AL52" s="1170"/>
      <c r="AM52" s="1170"/>
      <c r="AN52" s="1170"/>
      <c r="AO52" s="1170"/>
      <c r="AP52" s="1170"/>
      <c r="AQ52" s="1170"/>
      <c r="AR52" s="1170"/>
      <c r="AS52" s="1170"/>
      <c r="AT52" s="1170"/>
      <c r="AU52" s="1170"/>
      <c r="AV52" s="1170"/>
      <c r="AW52" s="1170"/>
      <c r="AX52" s="1170"/>
      <c r="AY52" s="1170"/>
      <c r="AZ52" s="1170"/>
    </row>
    <row r="53" spans="1:54" ht="12" customHeight="1">
      <c r="A53" s="1186"/>
      <c r="B53" s="1186"/>
      <c r="C53" s="1186"/>
      <c r="D53" s="1186"/>
      <c r="E53" s="1186"/>
      <c r="F53" s="1186"/>
      <c r="G53" s="1186"/>
      <c r="H53" s="1186"/>
      <c r="I53" s="1186"/>
      <c r="J53" s="1186"/>
      <c r="K53" s="1186"/>
      <c r="L53" s="1186"/>
      <c r="M53" s="1186"/>
      <c r="N53" s="1186"/>
      <c r="O53" s="1186"/>
      <c r="P53" s="1186"/>
      <c r="Q53" s="1186"/>
      <c r="R53" s="1186"/>
      <c r="S53" s="1186"/>
      <c r="T53" s="1186"/>
      <c r="U53" s="1186"/>
      <c r="V53" s="1186"/>
      <c r="W53" s="1186"/>
      <c r="X53" s="1186"/>
      <c r="Y53" s="1186"/>
      <c r="Z53" s="1186"/>
      <c r="AA53" s="1186"/>
      <c r="AB53" s="1186"/>
      <c r="AC53" s="1186"/>
      <c r="AD53" s="1186"/>
      <c r="AE53" s="1186"/>
      <c r="AF53" s="1186"/>
      <c r="AG53" s="1186"/>
      <c r="AH53" s="1186"/>
      <c r="AI53" s="1186"/>
      <c r="AJ53" s="1186"/>
      <c r="AK53" s="1186"/>
      <c r="AL53" s="1186"/>
      <c r="AM53" s="1186"/>
      <c r="AN53" s="1186"/>
      <c r="AO53" s="1186"/>
      <c r="AP53" s="1186"/>
      <c r="AQ53" s="1186"/>
      <c r="AR53" s="1186"/>
      <c r="AS53" s="1186"/>
      <c r="AT53" s="1186"/>
      <c r="AU53" s="1186"/>
      <c r="AV53" s="1186"/>
      <c r="AW53" s="1186"/>
      <c r="AX53" s="1186"/>
      <c r="AY53" s="1186"/>
      <c r="AZ53" s="1186"/>
    </row>
    <row r="54" spans="1:54" ht="15" customHeight="1">
      <c r="A54" s="1151" t="s">
        <v>788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</row>
    <row r="55" spans="1:54" ht="13.5" customHeight="1" outlineLevel="1">
      <c r="A55" s="1100" t="s">
        <v>79</v>
      </c>
      <c r="B55" s="1100"/>
      <c r="C55" s="1100"/>
      <c r="D55" s="1100"/>
      <c r="E55" s="1100"/>
      <c r="F55" s="1100"/>
      <c r="G55" s="1100"/>
      <c r="H55" s="1100"/>
      <c r="I55" s="1100"/>
      <c r="J55" s="1100"/>
      <c r="K55" s="1100"/>
      <c r="L55" s="1100"/>
      <c r="M55" s="1100"/>
      <c r="N55" s="1100"/>
      <c r="O55" s="1100"/>
      <c r="P55" s="1100"/>
      <c r="Q55" s="1100"/>
      <c r="R55" s="1100"/>
      <c r="S55" s="1100"/>
      <c r="T55" s="1100"/>
      <c r="U55" s="1100"/>
      <c r="V55" s="1100"/>
      <c r="W55" s="1100"/>
      <c r="X55" s="1100"/>
      <c r="Y55" s="1100"/>
      <c r="Z55" s="1100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</row>
    <row r="56" spans="1:54" ht="23.25" customHeight="1" outlineLevel="1">
      <c r="A56" s="1106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106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</row>
    <row r="57" spans="1:54" ht="9.75" customHeight="1" outlineLevel="1">
      <c r="A57" s="1105" t="s">
        <v>523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1105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</row>
    <row r="58" spans="1:54" ht="12" customHeight="1">
      <c r="A58" s="1178" t="s">
        <v>429</v>
      </c>
      <c r="B58" s="1178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8"/>
      <c r="N58" s="1178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8"/>
      <c r="Z58" s="1178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8"/>
      <c r="AL58" s="1178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8"/>
      <c r="AX58" s="1178"/>
      <c r="AY58" s="1178"/>
      <c r="AZ58" s="1178"/>
    </row>
    <row r="59" spans="1:54" ht="12" customHeight="1">
      <c r="A59" s="1181" t="str">
        <f>ФОРМА!D27</f>
        <v>воздушной линии 0,4кВ</v>
      </c>
      <c r="B59" s="1181"/>
      <c r="C59" s="1181"/>
      <c r="D59" s="1181"/>
      <c r="E59" s="1181"/>
      <c r="F59" s="1181"/>
      <c r="G59" s="1181"/>
      <c r="H59" s="1181"/>
      <c r="I59" s="1181"/>
      <c r="J59" s="1181"/>
      <c r="K59" s="1181"/>
      <c r="L59" s="1181"/>
      <c r="M59" s="1181"/>
      <c r="N59" s="1181"/>
      <c r="O59" s="1181"/>
      <c r="P59" s="1181"/>
      <c r="Q59" s="1181"/>
      <c r="R59" s="1181"/>
      <c r="S59" s="1181"/>
      <c r="T59" s="1181"/>
      <c r="U59" s="1181"/>
      <c r="V59" s="1181"/>
      <c r="W59" s="1181"/>
      <c r="X59" s="1181"/>
      <c r="Y59" s="1181"/>
      <c r="Z59" s="1181"/>
      <c r="AA59" s="1181"/>
      <c r="AB59" s="1181"/>
      <c r="AC59" s="1181"/>
      <c r="AD59" s="1181"/>
      <c r="AE59" s="1181"/>
      <c r="AF59" s="1181"/>
      <c r="AG59" s="1181"/>
      <c r="AH59" s="1181"/>
      <c r="AI59" s="1181"/>
      <c r="AJ59" s="1181"/>
      <c r="AK59" s="1181"/>
      <c r="AL59" s="1181"/>
      <c r="AM59" s="1181"/>
      <c r="AN59" s="1181"/>
      <c r="AO59" s="1181"/>
      <c r="AP59" s="1181"/>
      <c r="AQ59" s="1181"/>
      <c r="AR59" s="1181"/>
      <c r="AS59" s="1181"/>
      <c r="AT59" s="1181"/>
      <c r="AU59" s="1181"/>
      <c r="AV59" s="1181"/>
      <c r="AW59" s="1181"/>
      <c r="AX59" s="1181"/>
      <c r="AY59" s="1181"/>
      <c r="AZ59" s="1181"/>
    </row>
    <row r="60" spans="1:54" ht="12" customHeight="1">
      <c r="A60" s="1182" t="s">
        <v>430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</row>
    <row r="61" spans="1:54" ht="34.9" customHeight="1">
      <c r="A61" s="11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83"/>
      <c r="C61" s="1183"/>
      <c r="D61" s="1183"/>
      <c r="E61" s="1183"/>
      <c r="F61" s="1183"/>
      <c r="G61" s="1183"/>
      <c r="H61" s="1183"/>
      <c r="I61" s="1183"/>
      <c r="J61" s="1183"/>
      <c r="K61" s="1183"/>
      <c r="L61" s="1183"/>
      <c r="M61" s="1183"/>
      <c r="N61" s="1183"/>
      <c r="O61" s="1183"/>
      <c r="P61" s="1183"/>
      <c r="Q61" s="1183"/>
      <c r="R61" s="1183"/>
      <c r="S61" s="1183"/>
      <c r="T61" s="1183"/>
      <c r="U61" s="1183"/>
      <c r="V61" s="1183"/>
      <c r="W61" s="1183"/>
      <c r="X61" s="1183"/>
      <c r="Y61" s="1183"/>
      <c r="Z61" s="1183"/>
      <c r="AA61" s="1183"/>
      <c r="AB61" s="1183"/>
      <c r="AC61" s="1183"/>
      <c r="AD61" s="1183"/>
      <c r="AE61" s="1183"/>
      <c r="AF61" s="1183"/>
      <c r="AG61" s="1183"/>
      <c r="AH61" s="1183"/>
      <c r="AI61" s="1183"/>
      <c r="AJ61" s="1183"/>
      <c r="AK61" s="1183"/>
      <c r="AL61" s="1183"/>
      <c r="AM61" s="1183"/>
      <c r="AN61" s="1183"/>
      <c r="AO61" s="1183"/>
      <c r="AP61" s="1183"/>
      <c r="AQ61" s="1183"/>
      <c r="AR61" s="1183"/>
      <c r="AS61" s="1183"/>
      <c r="AT61" s="1183"/>
      <c r="AU61" s="1183"/>
      <c r="AV61" s="1183"/>
      <c r="AW61" s="1183"/>
      <c r="AX61" s="1183"/>
      <c r="AY61" s="1183"/>
      <c r="AZ61" s="1183"/>
    </row>
    <row r="62" spans="1:54" ht="6" customHeight="1">
      <c r="A62" s="1184" t="s">
        <v>431</v>
      </c>
      <c r="B62" s="1184"/>
      <c r="C62" s="1184"/>
      <c r="D62" s="1184"/>
      <c r="E62" s="1184"/>
      <c r="F62" s="1184"/>
      <c r="G62" s="1184"/>
      <c r="H62" s="1184"/>
      <c r="I62" s="1184"/>
      <c r="J62" s="1184"/>
      <c r="K62" s="1184"/>
      <c r="L62" s="1184"/>
      <c r="M62" s="1184"/>
      <c r="N62" s="1184"/>
      <c r="O62" s="1184"/>
      <c r="P62" s="1184"/>
      <c r="Q62" s="1184"/>
      <c r="R62" s="1184"/>
      <c r="S62" s="1184"/>
      <c r="T62" s="1184"/>
      <c r="U62" s="1184"/>
      <c r="V62" s="1184"/>
      <c r="W62" s="1184"/>
      <c r="X62" s="1184"/>
      <c r="Y62" s="1184"/>
      <c r="Z62" s="1184"/>
      <c r="AA62" s="1184"/>
      <c r="AB62" s="1184"/>
      <c r="AC62" s="1184"/>
      <c r="AD62" s="1184"/>
      <c r="AE62" s="1184"/>
      <c r="AF62" s="1184"/>
      <c r="AG62" s="1184"/>
      <c r="AH62" s="1184"/>
      <c r="AI62" s="1184"/>
      <c r="AJ62" s="1184"/>
      <c r="AK62" s="1184"/>
      <c r="AL62" s="1184"/>
      <c r="AM62" s="1184"/>
      <c r="AN62" s="1184"/>
      <c r="AO62" s="1184"/>
      <c r="AP62" s="1184"/>
      <c r="AQ62" s="1184"/>
      <c r="AR62" s="1184"/>
      <c r="AS62" s="1184"/>
      <c r="AT62" s="1184"/>
      <c r="AU62" s="1184"/>
      <c r="AV62" s="1184"/>
      <c r="AW62" s="1184"/>
      <c r="AX62" s="1184"/>
      <c r="AY62" s="1184"/>
      <c r="AZ62" s="1184"/>
    </row>
    <row r="63" spans="1:54" ht="12" customHeight="1">
      <c r="A63" s="1190" t="s">
        <v>432</v>
      </c>
      <c r="B63" s="1190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0"/>
      <c r="N63" s="1190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0"/>
      <c r="Z63" s="1190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0"/>
      <c r="AL63" s="1190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0"/>
      <c r="AX63" s="1190"/>
      <c r="AY63" s="1190"/>
      <c r="AZ63" s="1190"/>
    </row>
    <row r="64" spans="1:54" ht="12" customHeight="1">
      <c r="A64" s="1190" t="s">
        <v>433</v>
      </c>
      <c r="B64" s="1190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0"/>
      <c r="N64" s="1190"/>
      <c r="O64" s="1190"/>
      <c r="P64" s="1190"/>
      <c r="Q64" s="1190"/>
      <c r="R64" s="1190"/>
      <c r="S64" s="1190"/>
      <c r="T64" s="1190"/>
      <c r="U64" s="1181" t="str">
        <f>ФОРМА!B9</f>
        <v>СЭС-23-32939-ЭС-ТКР2</v>
      </c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80" t="s">
        <v>568</v>
      </c>
      <c r="V65" s="1180"/>
      <c r="W65" s="1180"/>
      <c r="X65" s="1180"/>
      <c r="Y65" s="1180"/>
      <c r="Z65" s="1180"/>
      <c r="AA65" s="1180"/>
      <c r="AB65" s="1180"/>
      <c r="AC65" s="1180"/>
      <c r="AD65" s="1180"/>
      <c r="AE65" s="1180"/>
      <c r="AF65" s="1180"/>
      <c r="AG65" s="1180"/>
      <c r="AH65" s="1180"/>
      <c r="AI65" s="1180"/>
      <c r="AJ65" s="1180"/>
      <c r="AK65" s="1180"/>
      <c r="AL65" s="1180"/>
      <c r="AM65" s="1180"/>
      <c r="AN65" s="1180"/>
      <c r="AO65" s="1180"/>
      <c r="AP65" s="1180"/>
      <c r="AQ65" s="1180"/>
      <c r="AR65" s="1180"/>
      <c r="AS65" s="1180"/>
      <c r="AT65" s="1180"/>
      <c r="AU65" s="1180"/>
      <c r="AV65" s="1180"/>
      <c r="AW65" s="1180"/>
      <c r="AX65" s="1180"/>
      <c r="AY65" s="1180"/>
      <c r="AZ65" s="1180"/>
    </row>
    <row r="66" spans="1:56" ht="12" customHeight="1">
      <c r="A66" s="1181" t="str">
        <f>ФОРМА!B8</f>
        <v>ООО «Строительные энергетические технологии»</v>
      </c>
      <c r="B66" s="1181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1"/>
      <c r="N66" s="1181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1"/>
      <c r="Z66" s="1181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1"/>
      <c r="AL66" s="1181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1"/>
      <c r="AX66" s="1181"/>
      <c r="AY66" s="1181"/>
      <c r="AZ66" s="1181"/>
    </row>
    <row r="67" spans="1:56" s="302" customFormat="1" ht="6" customHeight="1">
      <c r="A67" s="1184" t="s">
        <v>571</v>
      </c>
      <c r="B67" s="1184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</row>
    <row r="68" spans="1:56" ht="12" customHeight="1">
      <c r="A68" s="1187" t="s">
        <v>434</v>
      </c>
      <c r="B68" s="1187"/>
      <c r="C68" s="1187"/>
      <c r="D68" s="1187"/>
      <c r="E68" s="1187"/>
      <c r="F68" s="1187"/>
      <c r="G68" s="1187"/>
      <c r="H68" s="1187"/>
      <c r="I68" s="1187"/>
      <c r="J68" s="1187"/>
      <c r="K68" s="1187"/>
      <c r="L68" s="1187"/>
      <c r="M68" s="1187"/>
      <c r="N68" s="1187"/>
      <c r="O68" s="1187"/>
      <c r="P68" s="1187"/>
      <c r="Q68" s="1187"/>
      <c r="R68" s="1187"/>
      <c r="S68" s="1188" t="s">
        <v>435</v>
      </c>
      <c r="T68" s="1188"/>
      <c r="U68" s="1188"/>
      <c r="V68" s="1188"/>
      <c r="W68" s="1188"/>
      <c r="X68" s="1188"/>
      <c r="Y68" s="1188"/>
      <c r="Z68" s="1188"/>
      <c r="AA68" s="1188"/>
      <c r="AB68" s="1188"/>
      <c r="AC68" s="1188"/>
      <c r="AD68" s="1188"/>
      <c r="AE68" s="1188"/>
      <c r="AF68" s="1188"/>
      <c r="AG68" s="1188"/>
      <c r="AH68" s="1188"/>
      <c r="AI68" s="1188"/>
      <c r="AJ68" s="1188"/>
      <c r="AK68" s="1188"/>
      <c r="AL68" s="1188"/>
      <c r="AM68" s="1188"/>
      <c r="AN68" s="1188"/>
      <c r="AO68" s="1188"/>
      <c r="AP68" s="1188"/>
      <c r="AQ68" s="1188"/>
      <c r="AR68" s="1188"/>
      <c r="AS68" s="1188"/>
      <c r="AT68" s="1188"/>
      <c r="AU68" s="1188"/>
      <c r="AV68" s="1188"/>
      <c r="AW68" s="1188"/>
      <c r="AX68" s="1188"/>
      <c r="AY68" s="1188"/>
      <c r="AZ68" s="1188"/>
    </row>
    <row r="69" spans="1:56" ht="12" customHeight="1">
      <c r="A69" s="1189" t="s">
        <v>520</v>
      </c>
      <c r="B69" s="1189"/>
      <c r="C69" s="1189"/>
      <c r="D69" s="1189"/>
      <c r="E69" s="1189"/>
      <c r="F69" s="1189"/>
      <c r="G69" s="1189"/>
      <c r="H69" s="1189"/>
      <c r="I69" s="1189"/>
      <c r="J69" s="1189"/>
      <c r="K69" s="1189"/>
      <c r="L69" s="1189"/>
      <c r="M69" s="1189"/>
      <c r="N69" s="1189"/>
      <c r="O69" s="1189"/>
      <c r="P69" s="1189"/>
      <c r="Q69" s="1189"/>
      <c r="R69" s="1189"/>
      <c r="S69" s="1189"/>
      <c r="T69" s="1189"/>
      <c r="U69" s="1189"/>
      <c r="V69" s="1189"/>
      <c r="W69" s="1189"/>
      <c r="X69" s="1189"/>
      <c r="Y69" s="1189"/>
      <c r="Z69" s="1189"/>
      <c r="AA69" s="1189"/>
      <c r="AB69" s="1189"/>
      <c r="AC69" s="1189"/>
      <c r="AD69" s="1189"/>
      <c r="AE69" s="1189"/>
      <c r="AF69" s="1189"/>
      <c r="AG69" s="1189"/>
      <c r="AH69" s="1189"/>
      <c r="AI69" s="1189"/>
      <c r="AJ69" s="1189"/>
      <c r="AK69" s="1189"/>
      <c r="AL69" s="1189"/>
      <c r="AM69" s="1189"/>
      <c r="AN69" s="1189"/>
      <c r="AO69" s="1189"/>
      <c r="AP69" s="1189"/>
      <c r="AQ69" s="1189"/>
      <c r="AR69" s="1189"/>
      <c r="AS69" s="1189"/>
      <c r="AT69" s="1189"/>
      <c r="AU69" s="1189"/>
      <c r="AV69" s="1189"/>
      <c r="AW69" s="1189"/>
      <c r="AX69" s="1189"/>
      <c r="AY69" s="1189"/>
      <c r="AZ69" s="1189"/>
      <c r="BD69" s="291"/>
    </row>
    <row r="70" spans="1:56" ht="12" customHeight="1">
      <c r="A70" s="1178" t="s">
        <v>436</v>
      </c>
      <c r="B70" s="1178"/>
      <c r="C70" s="1178"/>
      <c r="D70" s="1178"/>
      <c r="E70" s="1178"/>
      <c r="F70" s="1178"/>
      <c r="G70" s="1178"/>
      <c r="H70" s="1178"/>
      <c r="I70" s="1178"/>
      <c r="J70" s="1178"/>
      <c r="K70" s="1178"/>
      <c r="L70" s="1178"/>
      <c r="M70" s="1178"/>
      <c r="N70" s="1178"/>
      <c r="O70" s="1178"/>
      <c r="P70" s="1178"/>
      <c r="Q70" s="1178"/>
      <c r="R70" s="1178"/>
      <c r="S70" s="1178"/>
      <c r="T70" s="1178"/>
      <c r="U70" s="1178"/>
      <c r="V70" s="1178"/>
      <c r="W70" s="1178"/>
      <c r="X70" s="1178"/>
      <c r="Y70" s="1178"/>
      <c r="Z70" s="1178"/>
      <c r="AA70" s="1178"/>
      <c r="AB70" s="1178"/>
      <c r="AC70" s="1178"/>
      <c r="AD70" s="1178"/>
      <c r="AE70" s="1178"/>
      <c r="AF70" s="1178"/>
      <c r="AG70" s="1178"/>
      <c r="AH70" s="1178"/>
      <c r="AI70" s="1178"/>
      <c r="AJ70" s="1178"/>
      <c r="AK70" s="1178"/>
      <c r="AL70" s="1178"/>
      <c r="AM70" s="1178"/>
      <c r="AN70" s="1178"/>
      <c r="AO70" s="1178"/>
      <c r="AP70" s="1178"/>
      <c r="AQ70" s="1178"/>
      <c r="AR70" s="1178"/>
      <c r="AS70" s="1178"/>
      <c r="AT70" s="1178"/>
      <c r="AU70" s="1178"/>
      <c r="AV70" s="1178"/>
      <c r="AW70" s="1178"/>
      <c r="AX70" s="1178"/>
      <c r="AY70" s="1178"/>
      <c r="AZ70" s="1178"/>
      <c r="BA70" s="1178"/>
      <c r="BD70" s="291"/>
    </row>
    <row r="71" spans="1:56" ht="12" customHeight="1">
      <c r="A71" s="1178" t="s">
        <v>521</v>
      </c>
      <c r="B71" s="1178"/>
      <c r="C71" s="1178"/>
      <c r="D71" s="1178"/>
      <c r="E71" s="1178"/>
      <c r="F71" s="1178"/>
      <c r="G71" s="1178"/>
      <c r="H71" s="1178"/>
      <c r="I71" s="1178"/>
      <c r="J71" s="1178"/>
      <c r="K71" s="1178"/>
      <c r="L71" s="1178"/>
      <c r="M71" s="1178"/>
      <c r="N71" s="1178"/>
      <c r="O71" s="1178"/>
      <c r="P71" s="1178"/>
      <c r="Q71" s="1178"/>
      <c r="R71" s="1178"/>
      <c r="S71" s="1178"/>
      <c r="T71" s="1178"/>
      <c r="U71" s="1178"/>
      <c r="V71" s="1178"/>
      <c r="W71" s="1178"/>
      <c r="X71" s="1178"/>
      <c r="Y71" s="1178"/>
      <c r="Z71" s="1178"/>
      <c r="AA71" s="1178"/>
      <c r="AB71" s="1178"/>
      <c r="AC71" s="1178"/>
      <c r="AD71" s="1178"/>
      <c r="AE71" s="1178"/>
      <c r="AF71" s="1178"/>
      <c r="AG71" s="1178"/>
      <c r="AH71" s="1178"/>
      <c r="AI71" s="1178"/>
      <c r="AJ71" s="1178"/>
      <c r="AK71" s="1178"/>
      <c r="AL71" s="1178"/>
      <c r="AM71" s="1178"/>
      <c r="AN71" s="1178"/>
      <c r="AO71" s="1178"/>
      <c r="AP71" s="1178"/>
      <c r="AQ71" s="1178"/>
      <c r="AR71" s="1178"/>
      <c r="AS71" s="1178"/>
      <c r="AT71" s="1178"/>
      <c r="AU71" s="1178"/>
      <c r="AV71" s="1178"/>
      <c r="AW71" s="1178"/>
      <c r="AX71" s="1178"/>
      <c r="AY71" s="1178"/>
      <c r="AZ71" s="1178"/>
      <c r="BA71" s="326"/>
      <c r="BD71" s="297"/>
    </row>
    <row r="72" spans="1:56" ht="12" customHeight="1">
      <c r="A72" s="1188" t="str">
        <f>ФОРМА!B9</f>
        <v>СЭС-23-32939-ЭС-ТКР2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D72" s="297"/>
    </row>
    <row r="73" spans="1:56" s="327" customFormat="1" ht="6" customHeight="1">
      <c r="A73" s="1195" t="s">
        <v>568</v>
      </c>
      <c r="B73" s="1195"/>
      <c r="C73" s="1195"/>
      <c r="D73" s="1195"/>
      <c r="E73" s="1195"/>
      <c r="F73" s="1195"/>
      <c r="G73" s="1195"/>
      <c r="H73" s="1195"/>
      <c r="I73" s="1195"/>
      <c r="J73" s="1195"/>
      <c r="K73" s="1195"/>
      <c r="L73" s="1195"/>
      <c r="M73" s="1195"/>
      <c r="N73" s="1195"/>
      <c r="O73" s="1195"/>
      <c r="P73" s="1195"/>
      <c r="Q73" s="1195"/>
      <c r="R73" s="1195"/>
      <c r="S73" s="1195"/>
      <c r="T73" s="1195"/>
      <c r="U73" s="1195"/>
      <c r="V73" s="1195"/>
      <c r="W73" s="1195"/>
      <c r="X73" s="1195"/>
      <c r="Y73" s="1195"/>
      <c r="Z73" s="1195"/>
      <c r="AA73" s="1195"/>
      <c r="AB73" s="1195"/>
      <c r="AC73" s="1195"/>
      <c r="AD73" s="1195"/>
      <c r="AE73" s="1195"/>
      <c r="AF73" s="1195"/>
      <c r="AG73" s="1195"/>
      <c r="AH73" s="1195"/>
      <c r="AI73" s="1195"/>
      <c r="AJ73" s="1195"/>
      <c r="AK73" s="1195"/>
      <c r="AL73" s="1195"/>
      <c r="AM73" s="1195"/>
      <c r="AN73" s="1195"/>
      <c r="AO73" s="1195"/>
      <c r="AP73" s="1195"/>
      <c r="AQ73" s="1195"/>
      <c r="AR73" s="1195"/>
      <c r="AS73" s="1195"/>
      <c r="AT73" s="1195"/>
      <c r="AU73" s="1195"/>
      <c r="AV73" s="1195"/>
      <c r="AW73" s="1195"/>
      <c r="AX73" s="1195"/>
      <c r="AY73" s="1195"/>
      <c r="AZ73" s="1195"/>
    </row>
    <row r="74" spans="1:56" ht="12" customHeight="1">
      <c r="A74" s="1099" t="str">
        <f>ФОРМА!B8</f>
        <v>ООО «Строительные энергетические технологии»</v>
      </c>
      <c r="B74" s="1099"/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D74" s="297"/>
    </row>
    <row r="75" spans="1:56" s="328" customFormat="1" ht="6" customHeight="1">
      <c r="A75" s="1195" t="s">
        <v>570</v>
      </c>
      <c r="B75" s="1195"/>
      <c r="C75" s="1195"/>
      <c r="D75" s="1195"/>
      <c r="E75" s="1195"/>
      <c r="F75" s="1195"/>
      <c r="G75" s="1195"/>
      <c r="H75" s="1195"/>
      <c r="I75" s="1195"/>
      <c r="J75" s="1195"/>
      <c r="K75" s="1195"/>
      <c r="L75" s="1195"/>
      <c r="M75" s="1195"/>
      <c r="N75" s="1195"/>
      <c r="O75" s="1195"/>
      <c r="P75" s="1195"/>
      <c r="Q75" s="1195"/>
      <c r="R75" s="1195"/>
      <c r="S75" s="1195"/>
      <c r="T75" s="1195"/>
      <c r="U75" s="1195"/>
      <c r="V75" s="1195"/>
      <c r="W75" s="1195"/>
      <c r="X75" s="1195"/>
      <c r="Y75" s="1195"/>
      <c r="Z75" s="1195"/>
      <c r="AA75" s="1195"/>
      <c r="AB75" s="1195"/>
      <c r="AC75" s="1195"/>
      <c r="AD75" s="1195"/>
      <c r="AE75" s="1195"/>
      <c r="AF75" s="1195"/>
      <c r="AG75" s="1195"/>
      <c r="AH75" s="1195"/>
      <c r="AI75" s="1195"/>
      <c r="AJ75" s="1195"/>
      <c r="AK75" s="1195"/>
      <c r="AL75" s="1195"/>
      <c r="AM75" s="1195"/>
      <c r="AN75" s="1195"/>
      <c r="AO75" s="1195"/>
      <c r="AP75" s="1195"/>
      <c r="AQ75" s="1195"/>
      <c r="AR75" s="1195"/>
      <c r="AS75" s="1195"/>
      <c r="AT75" s="1195"/>
      <c r="AU75" s="1195"/>
      <c r="AV75" s="1195"/>
      <c r="AW75" s="1195"/>
      <c r="AX75" s="1195"/>
      <c r="AY75" s="1195"/>
      <c r="AZ75" s="1195"/>
    </row>
    <row r="76" spans="1:56" ht="12" customHeight="1">
      <c r="A76" s="1196" t="s">
        <v>726</v>
      </c>
      <c r="B76" s="1196"/>
      <c r="C76" s="1196"/>
      <c r="D76" s="1196"/>
      <c r="E76" s="1196"/>
      <c r="F76" s="1196"/>
      <c r="G76" s="1196"/>
      <c r="H76" s="1196"/>
      <c r="I76" s="1196"/>
      <c r="J76" s="1196"/>
      <c r="K76" s="1196"/>
      <c r="L76" s="1196"/>
      <c r="M76" s="1196"/>
      <c r="N76" s="1196"/>
      <c r="O76" s="1196"/>
      <c r="P76" s="1196"/>
      <c r="Q76" s="1196"/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</row>
    <row r="77" spans="1:56" s="314" customFormat="1" ht="6" customHeight="1">
      <c r="A77" s="1197" t="s">
        <v>569</v>
      </c>
      <c r="B77" s="1197"/>
      <c r="C77" s="1197"/>
      <c r="D77" s="1197"/>
      <c r="E77" s="1197"/>
      <c r="F77" s="1197"/>
      <c r="G77" s="1197"/>
      <c r="H77" s="1197"/>
      <c r="I77" s="1197"/>
      <c r="J77" s="1197"/>
      <c r="K77" s="1197"/>
      <c r="L77" s="1197"/>
      <c r="M77" s="1197"/>
      <c r="N77" s="1197"/>
      <c r="O77" s="1197"/>
      <c r="P77" s="1197"/>
      <c r="Q77" s="1197"/>
      <c r="R77" s="1197"/>
      <c r="S77" s="1197"/>
      <c r="T77" s="1197"/>
      <c r="U77" s="1197"/>
      <c r="V77" s="1197"/>
      <c r="W77" s="1197"/>
      <c r="X77" s="1197"/>
      <c r="Y77" s="1197"/>
      <c r="Z77" s="1197"/>
      <c r="AA77" s="1197"/>
      <c r="AB77" s="1197"/>
      <c r="AC77" s="1197"/>
      <c r="AD77" s="1197"/>
      <c r="AE77" s="1197"/>
      <c r="AF77" s="1197"/>
      <c r="AG77" s="1197"/>
      <c r="AH77" s="1197"/>
      <c r="AI77" s="1197"/>
      <c r="AJ77" s="1197"/>
      <c r="AK77" s="1197"/>
      <c r="AL77" s="1197"/>
      <c r="AM77" s="1197"/>
      <c r="AN77" s="1197"/>
      <c r="AO77" s="1197"/>
      <c r="AP77" s="1197"/>
      <c r="AQ77" s="1197"/>
      <c r="AR77" s="1197"/>
      <c r="AS77" s="1197"/>
      <c r="AT77" s="1197"/>
      <c r="AU77" s="1197"/>
      <c r="AV77" s="1197"/>
      <c r="AW77" s="1197"/>
      <c r="AX77" s="1197"/>
      <c r="AY77" s="1197"/>
      <c r="AZ77" s="1197"/>
    </row>
    <row r="78" spans="1:56">
      <c r="A78" s="1193" t="s">
        <v>437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1"/>
      <c r="V79" s="1191"/>
      <c r="W79" s="1191"/>
      <c r="X79" s="1191"/>
      <c r="Y79" s="1191"/>
      <c r="Z79" s="1191"/>
      <c r="AA79" s="1191"/>
      <c r="AB79" s="1191"/>
      <c r="AC79" s="1191"/>
      <c r="AD79" s="1191"/>
      <c r="AE79" s="1191"/>
      <c r="AF79" s="1191"/>
      <c r="AG79" s="1191"/>
      <c r="AH79" s="1191"/>
      <c r="AI79" s="1191"/>
      <c r="AJ79" s="1191"/>
      <c r="AK79" s="1191"/>
      <c r="AL79" s="1191"/>
      <c r="AM79" s="1191"/>
      <c r="AN79" s="1191"/>
      <c r="AO79" s="1191"/>
      <c r="AP79" s="1191"/>
      <c r="AQ79" s="1191"/>
      <c r="AR79" s="1191"/>
      <c r="AS79" s="1191"/>
      <c r="AT79" s="1191"/>
      <c r="AU79" s="1191"/>
      <c r="AV79" s="1191"/>
      <c r="AW79" s="1191"/>
      <c r="AX79" s="1191"/>
      <c r="AY79" s="1191"/>
      <c r="AZ79" s="1191"/>
    </row>
    <row r="80" spans="1:56" ht="12" customHeight="1">
      <c r="A80" s="1100" t="s">
        <v>86</v>
      </c>
      <c r="B80" s="1100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0"/>
      <c r="N80" s="1100"/>
      <c r="O80" s="1100"/>
      <c r="P80" s="1192" t="s">
        <v>65</v>
      </c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</row>
    <row r="81" spans="1:53" ht="11.25" customHeight="1"/>
    <row r="82" spans="1:53" ht="12" customHeight="1">
      <c r="A82" s="1193" t="s">
        <v>90</v>
      </c>
      <c r="B82" s="1193"/>
      <c r="C82" s="1193"/>
      <c r="D82" s="1193"/>
      <c r="E82" s="1193"/>
      <c r="F82" s="1193"/>
      <c r="G82" s="1193"/>
      <c r="H82" s="1193"/>
      <c r="I82" s="1193"/>
      <c r="J82" s="1194">
        <f>ФОРМА!F5</f>
        <v>2</v>
      </c>
      <c r="K82" s="1194"/>
      <c r="L82" s="1194"/>
      <c r="M82" s="1194"/>
      <c r="N82" s="1194"/>
      <c r="O82" s="1194"/>
      <c r="P82" s="1100" t="s">
        <v>796</v>
      </c>
      <c r="Q82" s="1100"/>
      <c r="R82" s="1100"/>
      <c r="S82" s="1100"/>
      <c r="T82" s="1100"/>
      <c r="U82" s="1100"/>
      <c r="V82" s="1100"/>
      <c r="W82" s="1100"/>
      <c r="X82" s="1100"/>
      <c r="Y82" s="1100"/>
      <c r="Z82" s="1100"/>
      <c r="AA82" s="1100"/>
      <c r="AB82" s="1100"/>
      <c r="AC82" s="1100"/>
      <c r="AD82" s="1100"/>
      <c r="AE82" s="1100"/>
      <c r="AF82" s="1100"/>
      <c r="AG82" s="1100"/>
      <c r="AH82" s="1100"/>
      <c r="AI82" s="1100"/>
      <c r="AJ82" s="1100"/>
      <c r="AK82" s="1100"/>
      <c r="AL82" s="1100"/>
      <c r="AM82" s="1100"/>
      <c r="AN82" s="1100"/>
      <c r="AO82" s="1100"/>
      <c r="AP82" s="1100"/>
      <c r="AQ82" s="1100"/>
      <c r="AR82" s="1100"/>
      <c r="AS82" s="1100"/>
      <c r="AT82" s="1100"/>
      <c r="AU82" s="1100"/>
      <c r="AV82" s="1100"/>
      <c r="AW82" s="1100"/>
      <c r="AX82" s="1100"/>
      <c r="AY82" s="1100"/>
      <c r="AZ82" s="1100"/>
    </row>
    <row r="84" spans="1:53" ht="12" customHeight="1">
      <c r="A84" s="1193" t="s">
        <v>87</v>
      </c>
      <c r="B84" s="1193"/>
      <c r="C84" s="1193"/>
      <c r="D84" s="1193"/>
      <c r="E84" s="1193"/>
      <c r="F84" s="1193"/>
      <c r="G84" s="1193"/>
      <c r="H84" s="1202" t="str">
        <f>ФОРМА!E27</f>
        <v>План строительства</v>
      </c>
      <c r="I84" s="1202"/>
      <c r="J84" s="1202"/>
      <c r="K84" s="1202"/>
      <c r="L84" s="1202"/>
      <c r="M84" s="1202"/>
      <c r="N84" s="1202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2"/>
      <c r="Z84" s="1202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2"/>
      <c r="AL84" s="1202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2"/>
      <c r="AX84" s="1202"/>
      <c r="AY84" s="1202"/>
      <c r="AZ84" s="1202"/>
    </row>
    <row r="85" spans="1:53" s="325" customFormat="1" ht="6" customHeight="1">
      <c r="H85" s="1203" t="s">
        <v>522</v>
      </c>
      <c r="I85" s="1203"/>
      <c r="J85" s="1203"/>
      <c r="K85" s="1203"/>
      <c r="L85" s="1203"/>
      <c r="M85" s="1203"/>
      <c r="N85" s="1203"/>
      <c r="O85" s="1203"/>
      <c r="P85" s="1203"/>
      <c r="Q85" s="1203"/>
      <c r="R85" s="1203"/>
      <c r="S85" s="1203"/>
      <c r="T85" s="1203"/>
      <c r="U85" s="1203"/>
      <c r="V85" s="1203"/>
      <c r="W85" s="1203"/>
      <c r="X85" s="1203"/>
      <c r="Y85" s="1203"/>
      <c r="Z85" s="1203"/>
      <c r="AA85" s="1203"/>
      <c r="AB85" s="1203"/>
      <c r="AC85" s="1203"/>
      <c r="AD85" s="1203"/>
      <c r="AE85" s="1203"/>
      <c r="AF85" s="1203"/>
      <c r="AG85" s="1203"/>
      <c r="AH85" s="1203"/>
      <c r="AI85" s="1203"/>
      <c r="AJ85" s="1203"/>
      <c r="AK85" s="1203"/>
      <c r="AL85" s="1203"/>
      <c r="AM85" s="1203"/>
      <c r="AN85" s="1203"/>
      <c r="AO85" s="1203"/>
      <c r="AP85" s="1203"/>
      <c r="AQ85" s="1203"/>
      <c r="AR85" s="1203"/>
      <c r="AS85" s="1203"/>
      <c r="AT85" s="1203"/>
      <c r="AU85" s="1203"/>
      <c r="AV85" s="1203"/>
      <c r="AW85" s="1203"/>
      <c r="AX85" s="1203"/>
      <c r="AY85" s="1203"/>
      <c r="AZ85" s="1203"/>
    </row>
    <row r="86" spans="1:53" ht="24" customHeight="1">
      <c r="A86" s="1198" t="s">
        <v>780</v>
      </c>
      <c r="B86" s="1198"/>
      <c r="C86" s="1198"/>
      <c r="D86" s="1198"/>
      <c r="E86" s="1198"/>
      <c r="F86" s="1198"/>
      <c r="G86" s="1198"/>
      <c r="H86" s="1198"/>
      <c r="I86" s="1198"/>
      <c r="J86" s="1198"/>
      <c r="K86" s="1198"/>
      <c r="L86" s="1198"/>
      <c r="M86" s="1198"/>
      <c r="N86" s="1198"/>
      <c r="O86" s="1198"/>
      <c r="P86" s="1198"/>
      <c r="Q86" s="1198"/>
      <c r="R86" s="1198"/>
      <c r="S86" s="1198"/>
      <c r="T86" s="1198"/>
      <c r="U86" s="1198"/>
      <c r="V86" s="1198"/>
      <c r="W86" s="1198"/>
      <c r="X86" s="1198"/>
      <c r="Y86" s="1198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8"/>
      <c r="AP86" s="1198"/>
      <c r="AQ86" s="1198"/>
      <c r="AR86" s="1198"/>
      <c r="AS86" s="1198"/>
      <c r="AT86" s="1198"/>
      <c r="AU86" s="1198"/>
      <c r="AV86" s="1198"/>
      <c r="AW86" s="1198"/>
      <c r="AX86" s="1198"/>
      <c r="AY86" s="1198"/>
      <c r="AZ86" s="1198"/>
    </row>
    <row r="87" spans="1:53" ht="28.9" customHeight="1">
      <c r="A87" s="1204" t="str">
        <f>IF(ПОДПИСИ!B9="",ПОДПИСИ!D6,ПОДПИСИ!D9)</f>
        <v>Филёва Н.О.</v>
      </c>
      <c r="B87" s="1204"/>
      <c r="C87" s="1204"/>
      <c r="D87" s="1204"/>
      <c r="E87" s="1204"/>
      <c r="F87" s="1204"/>
      <c r="G87" s="1204"/>
      <c r="H87" s="1204"/>
      <c r="I87" s="1204"/>
      <c r="J87" s="1204"/>
      <c r="K87" s="1204"/>
      <c r="L87" s="1204"/>
      <c r="M87" s="1204"/>
      <c r="N87" s="1204"/>
      <c r="O87" s="1204"/>
      <c r="P87" s="1204"/>
      <c r="Q87" s="1204"/>
      <c r="R87" s="1204"/>
      <c r="S87" s="1204"/>
      <c r="T87" s="1204"/>
      <c r="U87" s="1204"/>
      <c r="V87" s="1204"/>
      <c r="W87" s="1204"/>
      <c r="X87" s="1204"/>
      <c r="Y87" s="1204"/>
      <c r="Z87" s="1205"/>
      <c r="AA87" s="1205"/>
      <c r="AB87" s="1205"/>
      <c r="AC87" s="1205"/>
      <c r="AD87" s="1205"/>
      <c r="AE87" s="1205"/>
      <c r="AF87" s="1205"/>
      <c r="AG87" s="1205"/>
      <c r="AH87" s="1205"/>
      <c r="AI87" s="1205"/>
      <c r="AJ87" s="1205"/>
      <c r="AK87" s="1205"/>
      <c r="AL87" s="1205"/>
      <c r="AM87" s="1205"/>
      <c r="AN87" s="1205"/>
      <c r="AO87" s="1206"/>
      <c r="AP87" s="1206"/>
      <c r="AQ87" s="1206"/>
      <c r="AR87" s="1206"/>
      <c r="AS87" s="1206"/>
      <c r="AT87" s="1206"/>
      <c r="AU87" s="1206"/>
      <c r="AV87" s="1206"/>
      <c r="AW87" s="1206"/>
      <c r="AX87" s="1206"/>
      <c r="AY87" s="1206"/>
      <c r="AZ87" s="1206"/>
    </row>
    <row r="88" spans="1:53" s="314" customFormat="1" ht="6" customHeight="1">
      <c r="A88" s="1180" t="s">
        <v>799</v>
      </c>
      <c r="B88" s="1180"/>
      <c r="C88" s="1180"/>
      <c r="D88" s="1180"/>
      <c r="E88" s="1180"/>
      <c r="F88" s="1180"/>
      <c r="G88" s="1180"/>
      <c r="H88" s="1180"/>
      <c r="I88" s="1180"/>
      <c r="J88" s="1180"/>
      <c r="K88" s="1180"/>
      <c r="L88" s="1180"/>
      <c r="M88" s="1180"/>
      <c r="N88" s="1180"/>
      <c r="O88" s="1180"/>
      <c r="P88" s="1180"/>
      <c r="Q88" s="1180"/>
      <c r="R88" s="1180"/>
      <c r="S88" s="1180"/>
      <c r="T88" s="1180"/>
      <c r="U88" s="1180"/>
      <c r="V88" s="1180"/>
      <c r="W88" s="1180"/>
      <c r="X88" s="1180"/>
      <c r="Y88" s="118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80" t="s">
        <v>49</v>
      </c>
      <c r="AP88" s="1180"/>
      <c r="AQ88" s="1180"/>
      <c r="AR88" s="1180"/>
      <c r="AS88" s="1180"/>
      <c r="AT88" s="1180"/>
      <c r="AU88" s="1180"/>
      <c r="AV88" s="1180"/>
      <c r="AW88" s="1180"/>
      <c r="AX88" s="1180"/>
      <c r="AY88" s="1180"/>
      <c r="AZ88" s="1180"/>
    </row>
    <row r="89" spans="1:53" ht="6" customHeight="1"/>
    <row r="90" spans="1:53" ht="12" customHeight="1">
      <c r="A90" s="1198" t="s">
        <v>815</v>
      </c>
      <c r="B90" s="1100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0"/>
      <c r="N90" s="1100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0"/>
      <c r="Z90" s="1100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0"/>
      <c r="AL90" s="1100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0"/>
      <c r="AX90" s="1100"/>
      <c r="AY90" s="1100"/>
      <c r="AZ90" s="1100"/>
    </row>
    <row r="91" spans="1:53" ht="28.9" customHeight="1">
      <c r="A91" s="1199" t="str">
        <f>ПОДПИСИ!D15</f>
        <v>Матвеев А.С.</v>
      </c>
      <c r="B91" s="1199"/>
      <c r="C91" s="1199"/>
      <c r="D91" s="1199"/>
      <c r="E91" s="1199"/>
      <c r="F91" s="1199"/>
      <c r="G91" s="1199"/>
      <c r="H91" s="1199"/>
      <c r="I91" s="1199"/>
      <c r="J91" s="1199"/>
      <c r="K91" s="1199"/>
      <c r="L91" s="1199"/>
      <c r="M91" s="1199"/>
      <c r="N91" s="1199"/>
      <c r="O91" s="1199"/>
      <c r="P91" s="1199"/>
      <c r="Q91" s="1199"/>
      <c r="R91" s="1199"/>
      <c r="S91" s="1199"/>
      <c r="T91" s="1199"/>
      <c r="U91" s="1199"/>
      <c r="V91" s="1199"/>
      <c r="W91" s="1199"/>
      <c r="X91" s="1199"/>
      <c r="Y91" s="1199"/>
      <c r="Z91" s="1200"/>
      <c r="AA91" s="1200"/>
      <c r="AB91" s="1200"/>
      <c r="AC91" s="1200"/>
      <c r="AD91" s="1200"/>
      <c r="AE91" s="1200"/>
      <c r="AF91" s="1200"/>
      <c r="AG91" s="1200"/>
      <c r="AH91" s="1200"/>
      <c r="AI91" s="1200"/>
      <c r="AJ91" s="1200"/>
      <c r="AK91" s="1200"/>
      <c r="AL91" s="1200"/>
      <c r="AM91" s="1200"/>
      <c r="AN91" s="1200"/>
      <c r="AO91" s="1201"/>
      <c r="AP91" s="1201"/>
      <c r="AQ91" s="1201"/>
      <c r="AR91" s="1201"/>
      <c r="AS91" s="1201"/>
      <c r="AT91" s="1201"/>
      <c r="AU91" s="1201"/>
      <c r="AV91" s="1201"/>
      <c r="AW91" s="1201"/>
      <c r="AX91" s="1201"/>
      <c r="AY91" s="1201"/>
      <c r="AZ91" s="1201"/>
      <c r="BA91" s="330"/>
    </row>
    <row r="92" spans="1:53" s="333" customFormat="1" ht="6" customHeight="1">
      <c r="A92" s="1180" t="s">
        <v>799</v>
      </c>
      <c r="B92" s="1180"/>
      <c r="C92" s="1180"/>
      <c r="D92" s="1180"/>
      <c r="E92" s="1180"/>
      <c r="F92" s="1180"/>
      <c r="G92" s="1180"/>
      <c r="H92" s="1180"/>
      <c r="I92" s="1180"/>
      <c r="J92" s="1180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  <c r="U92" s="1180"/>
      <c r="V92" s="1180"/>
      <c r="W92" s="1180"/>
      <c r="X92" s="1180"/>
      <c r="Y92" s="118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80" t="s">
        <v>49</v>
      </c>
      <c r="AP92" s="1180"/>
      <c r="AQ92" s="1180"/>
      <c r="AR92" s="1180"/>
      <c r="AS92" s="1180"/>
      <c r="AT92" s="1180"/>
      <c r="AU92" s="1180"/>
      <c r="AV92" s="1180"/>
      <c r="AW92" s="1180"/>
      <c r="AX92" s="1180"/>
      <c r="AY92" s="1180"/>
      <c r="AZ92" s="1180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209" t="s">
        <v>811</v>
      </c>
      <c r="B94" s="1209"/>
      <c r="C94" s="1209"/>
      <c r="D94" s="1209"/>
      <c r="E94" s="1209"/>
      <c r="F94" s="1209"/>
      <c r="G94" s="1209"/>
      <c r="H94" s="1209"/>
      <c r="I94" s="1209"/>
      <c r="J94" s="1209"/>
      <c r="K94" s="1209"/>
      <c r="L94" s="1209"/>
      <c r="M94" s="1209"/>
      <c r="N94" s="1209"/>
      <c r="O94" s="1209"/>
      <c r="P94" s="1209"/>
      <c r="Q94" s="1209"/>
      <c r="R94" s="1209"/>
      <c r="S94" s="1209"/>
      <c r="T94" s="1209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209"/>
      <c r="AT94" s="1209"/>
      <c r="AU94" s="1209"/>
      <c r="AV94" s="1209"/>
      <c r="AW94" s="1209"/>
      <c r="AX94" s="1209"/>
      <c r="AY94" s="1209"/>
      <c r="AZ94" s="1209"/>
      <c r="BA94" s="330"/>
    </row>
    <row r="95" spans="1:53" ht="28.9" customHeight="1">
      <c r="A95" s="1199" t="str">
        <f>ПОДПИСИ!D17</f>
        <v>Матвеев А.С.</v>
      </c>
      <c r="B95" s="1199"/>
      <c r="C95" s="1199"/>
      <c r="D95" s="1199"/>
      <c r="E95" s="1199"/>
      <c r="F95" s="1199"/>
      <c r="G95" s="1199"/>
      <c r="H95" s="1199"/>
      <c r="I95" s="1199"/>
      <c r="J95" s="1199"/>
      <c r="K95" s="1199"/>
      <c r="L95" s="1199"/>
      <c r="M95" s="1199"/>
      <c r="N95" s="1199"/>
      <c r="O95" s="1199"/>
      <c r="P95" s="1199"/>
      <c r="Q95" s="1199"/>
      <c r="R95" s="1199"/>
      <c r="S95" s="1199"/>
      <c r="T95" s="1199"/>
      <c r="U95" s="1199"/>
      <c r="V95" s="1199"/>
      <c r="W95" s="1199"/>
      <c r="X95" s="1199"/>
      <c r="Y95" s="1199"/>
      <c r="Z95" s="1200"/>
      <c r="AA95" s="1200"/>
      <c r="AB95" s="1200"/>
      <c r="AC95" s="1200"/>
      <c r="AD95" s="1200"/>
      <c r="AE95" s="1200"/>
      <c r="AF95" s="1200"/>
      <c r="AG95" s="1200"/>
      <c r="AH95" s="1200"/>
      <c r="AI95" s="1200"/>
      <c r="AJ95" s="1200"/>
      <c r="AK95" s="1200"/>
      <c r="AL95" s="1200"/>
      <c r="AM95" s="1200"/>
      <c r="AN95" s="1200"/>
      <c r="AO95" s="1210" t="s">
        <v>64</v>
      </c>
      <c r="AP95" s="1210"/>
      <c r="AQ95" s="1210"/>
      <c r="AR95" s="1210"/>
      <c r="AS95" s="1210"/>
      <c r="AT95" s="1210"/>
      <c r="AU95" s="1210"/>
      <c r="AV95" s="1210"/>
      <c r="AW95" s="1210"/>
      <c r="AX95" s="1210"/>
      <c r="AY95" s="1210"/>
      <c r="AZ95" s="1210"/>
      <c r="BA95" s="1210"/>
    </row>
    <row r="96" spans="1:53" ht="6" customHeight="1">
      <c r="A96" s="1180" t="s">
        <v>799</v>
      </c>
      <c r="B96" s="1180"/>
      <c r="C96" s="1180"/>
      <c r="D96" s="1180"/>
      <c r="E96" s="1180"/>
      <c r="F96" s="1180"/>
      <c r="G96" s="1180"/>
      <c r="H96" s="1180"/>
      <c r="I96" s="1180"/>
      <c r="J96" s="1180"/>
      <c r="K96" s="1180"/>
      <c r="L96" s="1180"/>
      <c r="M96" s="1180"/>
      <c r="N96" s="1180"/>
      <c r="O96" s="1180"/>
      <c r="P96" s="1180"/>
      <c r="Q96" s="1180"/>
      <c r="R96" s="1180"/>
      <c r="S96" s="1180"/>
      <c r="T96" s="1180"/>
      <c r="U96" s="1180"/>
      <c r="V96" s="1180"/>
      <c r="W96" s="1180"/>
      <c r="X96" s="1180"/>
      <c r="Y96" s="118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80" t="s">
        <v>49</v>
      </c>
      <c r="AP96" s="1180"/>
      <c r="AQ96" s="1180"/>
      <c r="AR96" s="1180"/>
      <c r="AS96" s="1180"/>
      <c r="AT96" s="1180"/>
      <c r="AU96" s="1180"/>
      <c r="AV96" s="1180"/>
      <c r="AW96" s="1180"/>
      <c r="AX96" s="1180"/>
      <c r="AY96" s="1180"/>
      <c r="AZ96" s="1180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207" t="s">
        <v>801</v>
      </c>
      <c r="B98" s="1208"/>
      <c r="C98" s="1208"/>
      <c r="D98" s="1208"/>
      <c r="E98" s="1208"/>
      <c r="F98" s="1208"/>
      <c r="G98" s="1208"/>
      <c r="H98" s="1208"/>
      <c r="I98" s="1208"/>
      <c r="J98" s="1208"/>
      <c r="K98" s="1208"/>
      <c r="L98" s="1208"/>
      <c r="M98" s="1208"/>
      <c r="N98" s="1208"/>
      <c r="O98" s="1208"/>
      <c r="P98" s="1208"/>
      <c r="Q98" s="1208"/>
      <c r="R98" s="1208"/>
      <c r="S98" s="1208"/>
      <c r="T98" s="1208"/>
      <c r="U98" s="1208"/>
      <c r="V98" s="1208"/>
      <c r="W98" s="1208"/>
      <c r="X98" s="1208"/>
      <c r="Y98" s="1208"/>
      <c r="Z98" s="1208"/>
      <c r="AA98" s="1208"/>
      <c r="AB98" s="1208"/>
      <c r="AC98" s="1208"/>
      <c r="AD98" s="1208"/>
      <c r="AE98" s="1208"/>
      <c r="AF98" s="1208"/>
      <c r="AG98" s="1208"/>
      <c r="AH98" s="1208"/>
      <c r="AI98" s="1208"/>
      <c r="AJ98" s="1208"/>
      <c r="AK98" s="1208"/>
      <c r="AL98" s="1208"/>
      <c r="AM98" s="1208"/>
      <c r="AN98" s="1208"/>
      <c r="AO98" s="1208"/>
      <c r="AP98" s="1208"/>
      <c r="AQ98" s="1208"/>
      <c r="AR98" s="1208"/>
      <c r="AS98" s="1208"/>
      <c r="AT98" s="1208"/>
      <c r="AU98" s="1208"/>
      <c r="AV98" s="1208"/>
      <c r="AW98" s="1208"/>
      <c r="AX98" s="1208"/>
      <c r="AY98" s="1208"/>
      <c r="AZ98" s="1208"/>
      <c r="BA98" s="330"/>
    </row>
    <row r="99" spans="1:55" ht="28.9" customHeight="1">
      <c r="A99" s="1199" t="str">
        <f>ПОДПИСИ!D19</f>
        <v xml:space="preserve"> </v>
      </c>
      <c r="B99" s="1199"/>
      <c r="C99" s="1199"/>
      <c r="D99" s="1199"/>
      <c r="E99" s="1199"/>
      <c r="F99" s="1199"/>
      <c r="G99" s="1199"/>
      <c r="H99" s="1199"/>
      <c r="I99" s="1199"/>
      <c r="J99" s="1199"/>
      <c r="K99" s="1199"/>
      <c r="L99" s="1199"/>
      <c r="M99" s="1199"/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200"/>
      <c r="AA99" s="1200"/>
      <c r="AB99" s="1200"/>
      <c r="AC99" s="1200"/>
      <c r="AD99" s="1200"/>
      <c r="AE99" s="1200"/>
      <c r="AF99" s="1200"/>
      <c r="AG99" s="1200"/>
      <c r="AH99" s="1200"/>
      <c r="AI99" s="1200"/>
      <c r="AJ99" s="1200"/>
      <c r="AK99" s="1200"/>
      <c r="AL99" s="1200"/>
      <c r="AM99" s="1200"/>
      <c r="AN99" s="1200"/>
      <c r="AO99" s="1201" t="s">
        <v>64</v>
      </c>
      <c r="AP99" s="1201"/>
      <c r="AQ99" s="1201"/>
      <c r="AR99" s="1201"/>
      <c r="AS99" s="1201"/>
      <c r="AT99" s="1201"/>
      <c r="AU99" s="1201"/>
      <c r="AV99" s="1201"/>
      <c r="AW99" s="1201"/>
      <c r="AX99" s="1201"/>
      <c r="AY99" s="1201"/>
      <c r="AZ99" s="1201"/>
      <c r="BA99" s="336"/>
    </row>
    <row r="100" spans="1:55" ht="6" customHeight="1">
      <c r="A100" s="1180" t="s">
        <v>799</v>
      </c>
      <c r="B100" s="1180"/>
      <c r="C100" s="1180"/>
      <c r="D100" s="1180"/>
      <c r="E100" s="1180"/>
      <c r="F100" s="1180"/>
      <c r="G100" s="1180"/>
      <c r="H100" s="1180"/>
      <c r="I100" s="1180"/>
      <c r="J100" s="1180"/>
      <c r="K100" s="1180"/>
      <c r="L100" s="1180"/>
      <c r="M100" s="1180"/>
      <c r="N100" s="1180"/>
      <c r="O100" s="1180"/>
      <c r="P100" s="1180"/>
      <c r="Q100" s="1180"/>
      <c r="R100" s="1180"/>
      <c r="S100" s="1180"/>
      <c r="T100" s="1180"/>
      <c r="U100" s="1180"/>
      <c r="V100" s="1180"/>
      <c r="W100" s="1180"/>
      <c r="X100" s="1180"/>
      <c r="Y100" s="118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80" t="s">
        <v>49</v>
      </c>
      <c r="AP100" s="1180"/>
      <c r="AQ100" s="1180"/>
      <c r="AR100" s="1180"/>
      <c r="AS100" s="1180"/>
      <c r="AT100" s="1180"/>
      <c r="AU100" s="1180"/>
      <c r="AV100" s="1180"/>
      <c r="AW100" s="1180"/>
      <c r="AX100" s="1180"/>
      <c r="AY100" s="1180"/>
      <c r="AZ100" s="1180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207" t="s">
        <v>816</v>
      </c>
      <c r="B102" s="1207"/>
      <c r="C102" s="1207"/>
      <c r="D102" s="1207"/>
      <c r="E102" s="1207"/>
      <c r="F102" s="1207"/>
      <c r="G102" s="1207"/>
      <c r="H102" s="1207"/>
      <c r="I102" s="1207"/>
      <c r="J102" s="1207"/>
      <c r="K102" s="1207"/>
      <c r="L102" s="1207"/>
      <c r="M102" s="1207"/>
      <c r="N102" s="1207"/>
      <c r="O102" s="1207"/>
      <c r="P102" s="1207"/>
      <c r="Q102" s="1207"/>
      <c r="R102" s="1207"/>
      <c r="S102" s="1207"/>
      <c r="T102" s="1207"/>
      <c r="U102" s="1207"/>
      <c r="V102" s="1207"/>
      <c r="W102" s="1207"/>
      <c r="X102" s="1207"/>
      <c r="Y102" s="1207"/>
      <c r="Z102" s="1207"/>
      <c r="AA102" s="1207"/>
      <c r="AB102" s="1207"/>
      <c r="AC102" s="1207"/>
      <c r="AD102" s="1207"/>
      <c r="AE102" s="1207"/>
      <c r="AF102" s="1207"/>
      <c r="AG102" s="1207"/>
      <c r="AH102" s="1207"/>
      <c r="AI102" s="1207"/>
      <c r="AJ102" s="1207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07"/>
      <c r="AZ102" s="1207"/>
      <c r="BA102" s="330"/>
    </row>
    <row r="103" spans="1:55" ht="28.9" customHeight="1">
      <c r="A103" s="1199" t="str">
        <f>ПОДПИСИ!D14</f>
        <v>Алексеенков Д.С.</v>
      </c>
      <c r="B103" s="1199"/>
      <c r="C103" s="1199"/>
      <c r="D103" s="1199"/>
      <c r="E103" s="1199"/>
      <c r="F103" s="1199"/>
      <c r="G103" s="1199"/>
      <c r="H103" s="1199"/>
      <c r="I103" s="1199"/>
      <c r="J103" s="1199"/>
      <c r="K103" s="1199"/>
      <c r="L103" s="1199"/>
      <c r="M103" s="1199"/>
      <c r="N103" s="1199"/>
      <c r="O103" s="1199"/>
      <c r="P103" s="1199"/>
      <c r="Q103" s="1199"/>
      <c r="R103" s="1199"/>
      <c r="S103" s="1199"/>
      <c r="T103" s="1199"/>
      <c r="U103" s="1199"/>
      <c r="V103" s="1199"/>
      <c r="W103" s="1199"/>
      <c r="X103" s="1199"/>
      <c r="Y103" s="1199"/>
      <c r="Z103" s="1200"/>
      <c r="AA103" s="1200"/>
      <c r="AB103" s="1200"/>
      <c r="AC103" s="1200"/>
      <c r="AD103" s="1200"/>
      <c r="AE103" s="1200"/>
      <c r="AF103" s="1200"/>
      <c r="AG103" s="1200"/>
      <c r="AH103" s="1200"/>
      <c r="AI103" s="1200"/>
      <c r="AJ103" s="1200"/>
      <c r="AK103" s="1200"/>
      <c r="AL103" s="1200"/>
      <c r="AM103" s="1200"/>
      <c r="AN103" s="1200"/>
      <c r="AO103" s="1201"/>
      <c r="AP103" s="1201"/>
      <c r="AQ103" s="1201"/>
      <c r="AR103" s="1201"/>
      <c r="AS103" s="1201"/>
      <c r="AT103" s="1201"/>
      <c r="AU103" s="1201"/>
      <c r="AV103" s="1201"/>
      <c r="AW103" s="1201"/>
      <c r="AX103" s="1201"/>
      <c r="AY103" s="1201"/>
      <c r="AZ103" s="1201"/>
      <c r="BA103" s="337"/>
      <c r="BB103" s="316"/>
      <c r="BC103" s="316"/>
    </row>
    <row r="104" spans="1:55" s="305" customFormat="1" ht="6" customHeight="1">
      <c r="A104" s="1180" t="s">
        <v>799</v>
      </c>
      <c r="B104" s="1180"/>
      <c r="C104" s="1180"/>
      <c r="D104" s="1180"/>
      <c r="E104" s="1180"/>
      <c r="F104" s="1180"/>
      <c r="G104" s="1180"/>
      <c r="H104" s="1180"/>
      <c r="I104" s="1180"/>
      <c r="J104" s="1180"/>
      <c r="K104" s="1180"/>
      <c r="L104" s="1180"/>
      <c r="M104" s="1180"/>
      <c r="N104" s="1180"/>
      <c r="O104" s="1180"/>
      <c r="P104" s="1180"/>
      <c r="Q104" s="1180"/>
      <c r="R104" s="1180"/>
      <c r="S104" s="1180"/>
      <c r="T104" s="1180"/>
      <c r="U104" s="1180"/>
      <c r="V104" s="1180"/>
      <c r="W104" s="1180"/>
      <c r="X104" s="1180"/>
      <c r="Y104" s="118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80" t="s">
        <v>49</v>
      </c>
      <c r="AP104" s="1180"/>
      <c r="AQ104" s="1180"/>
      <c r="AR104" s="1180"/>
      <c r="AS104" s="1180"/>
      <c r="AT104" s="1180"/>
      <c r="AU104" s="1180"/>
      <c r="AV104" s="1180"/>
      <c r="AW104" s="1180"/>
      <c r="AX104" s="1180"/>
      <c r="AY104" s="1180"/>
      <c r="AZ104" s="1180"/>
    </row>
    <row r="105" spans="1:55">
      <c r="A105" s="1163" t="s">
        <v>942</v>
      </c>
      <c r="B105" s="1163"/>
      <c r="C105" s="1163"/>
      <c r="D105" s="1163"/>
      <c r="E105" s="1163"/>
      <c r="F105" s="1163"/>
      <c r="G105" s="1163"/>
      <c r="H105" s="1163"/>
      <c r="I105" s="1163"/>
      <c r="J105" s="1163"/>
      <c r="K105" s="1163"/>
      <c r="L105" s="1163"/>
      <c r="M105" s="1163"/>
      <c r="N105" s="1163"/>
      <c r="O105" s="1163"/>
      <c r="P105" s="1163"/>
      <c r="Q105" s="1163"/>
      <c r="R105" s="1163"/>
      <c r="S105" s="1163"/>
      <c r="T105" s="1163"/>
      <c r="U105" s="1163"/>
      <c r="V105" s="1163"/>
      <c r="W105" s="1163"/>
      <c r="X105" s="1163"/>
      <c r="Y105" s="1163"/>
      <c r="Z105" s="1163"/>
      <c r="AA105" s="1163"/>
      <c r="AB105" s="1163"/>
      <c r="AC105" s="1163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V105" s="1163"/>
      <c r="AW105" s="1163"/>
      <c r="AX105" s="1163"/>
      <c r="AY105" s="1163"/>
      <c r="AZ105" s="1163"/>
    </row>
    <row r="106" spans="1:55" ht="28.9" customHeight="1">
      <c r="A106" s="1158" t="str">
        <f>IF(ПОДПИСИ!D9="","",ПОДПИСИ!D6)</f>
        <v>Чечин Д.М.</v>
      </c>
      <c r="B106" s="1158"/>
      <c r="C106" s="1158"/>
      <c r="D106" s="1158"/>
      <c r="E106" s="1158"/>
      <c r="F106" s="1158"/>
      <c r="G106" s="1158"/>
      <c r="H106" s="1158"/>
      <c r="I106" s="1158"/>
      <c r="J106" s="1158"/>
      <c r="K106" s="1158"/>
      <c r="L106" s="1158"/>
      <c r="M106" s="1158"/>
      <c r="N106" s="1158"/>
      <c r="O106" s="1158"/>
      <c r="P106" s="1158"/>
      <c r="Q106" s="1158"/>
      <c r="R106" s="1158"/>
      <c r="S106" s="1158"/>
      <c r="T106" s="1158"/>
      <c r="U106" s="1158"/>
      <c r="V106" s="1158"/>
      <c r="W106" s="1158"/>
      <c r="X106" s="1158"/>
      <c r="Y106" s="1158"/>
      <c r="Z106" s="1159"/>
      <c r="AA106" s="1159"/>
      <c r="AB106" s="1159"/>
      <c r="AC106" s="1159"/>
      <c r="AD106" s="1159"/>
      <c r="AE106" s="1159"/>
      <c r="AF106" s="1159"/>
      <c r="AG106" s="1159"/>
      <c r="AH106" s="1159"/>
      <c r="AI106" s="1159"/>
      <c r="AJ106" s="1159"/>
      <c r="AK106" s="1159"/>
      <c r="AL106" s="1159"/>
      <c r="AM106" s="1159"/>
      <c r="AN106" s="1159"/>
      <c r="AO106" s="1160"/>
      <c r="AP106" s="1160"/>
      <c r="AQ106" s="1160"/>
      <c r="AR106" s="1160"/>
      <c r="AS106" s="1160"/>
      <c r="AT106" s="1160"/>
      <c r="AU106" s="1160"/>
      <c r="AV106" s="1160"/>
      <c r="AW106" s="1160"/>
      <c r="AX106" s="1160"/>
      <c r="AY106" s="1160"/>
      <c r="AZ106" s="1160"/>
    </row>
    <row r="107" spans="1:55">
      <c r="A107" s="1131" t="s">
        <v>799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  <c r="L107" s="1131"/>
      <c r="M107" s="1131"/>
      <c r="N107" s="1131"/>
      <c r="O107" s="1131"/>
      <c r="P107" s="1131"/>
      <c r="Q107" s="1131"/>
      <c r="R107" s="1131"/>
      <c r="S107" s="1131"/>
      <c r="T107" s="1131"/>
      <c r="U107" s="1131"/>
      <c r="V107" s="1131"/>
      <c r="W107" s="1131"/>
      <c r="X107" s="1131"/>
      <c r="Y107" s="113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31" t="s">
        <v>49</v>
      </c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4" outlineLevelRow="1"/>
  <cols>
    <col min="1" max="24" width="1.7265625" style="284" customWidth="1"/>
    <col min="25" max="25" width="4.54296875" style="284" customWidth="1"/>
    <col min="26" max="51" width="1.7265625" style="284" customWidth="1"/>
    <col min="52" max="52" width="4.1796875" style="284" customWidth="1"/>
    <col min="53" max="53" width="0.1796875" style="284" hidden="1" customWidth="1"/>
    <col min="54" max="54" width="9.1796875" style="284"/>
    <col min="55" max="57" width="15.7265625" style="284" customWidth="1"/>
    <col min="58" max="254" width="9.1796875" style="284"/>
    <col min="255" max="307" width="1.7265625" style="284" customWidth="1"/>
    <col min="308" max="308" width="0.1796875" style="284" customWidth="1"/>
    <col min="309" max="510" width="9.1796875" style="284"/>
    <col min="511" max="563" width="1.7265625" style="284" customWidth="1"/>
    <col min="564" max="564" width="0.1796875" style="284" customWidth="1"/>
    <col min="565" max="766" width="9.1796875" style="284"/>
    <col min="767" max="819" width="1.7265625" style="284" customWidth="1"/>
    <col min="820" max="820" width="0.1796875" style="284" customWidth="1"/>
    <col min="821" max="1022" width="9.1796875" style="284"/>
    <col min="1023" max="1075" width="1.7265625" style="284" customWidth="1"/>
    <col min="1076" max="1076" width="0.1796875" style="284" customWidth="1"/>
    <col min="1077" max="1278" width="9.1796875" style="284"/>
    <col min="1279" max="1331" width="1.7265625" style="284" customWidth="1"/>
    <col min="1332" max="1332" width="0.1796875" style="284" customWidth="1"/>
    <col min="1333" max="1534" width="9.1796875" style="284"/>
    <col min="1535" max="1587" width="1.7265625" style="284" customWidth="1"/>
    <col min="1588" max="1588" width="0.1796875" style="284" customWidth="1"/>
    <col min="1589" max="1790" width="9.1796875" style="284"/>
    <col min="1791" max="1843" width="1.7265625" style="284" customWidth="1"/>
    <col min="1844" max="1844" width="0.1796875" style="284" customWidth="1"/>
    <col min="1845" max="2046" width="9.1796875" style="284"/>
    <col min="2047" max="2099" width="1.7265625" style="284" customWidth="1"/>
    <col min="2100" max="2100" width="0.1796875" style="284" customWidth="1"/>
    <col min="2101" max="2302" width="9.1796875" style="284"/>
    <col min="2303" max="2355" width="1.7265625" style="284" customWidth="1"/>
    <col min="2356" max="2356" width="0.1796875" style="284" customWidth="1"/>
    <col min="2357" max="2558" width="9.1796875" style="284"/>
    <col min="2559" max="2611" width="1.7265625" style="284" customWidth="1"/>
    <col min="2612" max="2612" width="0.1796875" style="284" customWidth="1"/>
    <col min="2613" max="2814" width="9.1796875" style="284"/>
    <col min="2815" max="2867" width="1.7265625" style="284" customWidth="1"/>
    <col min="2868" max="2868" width="0.1796875" style="284" customWidth="1"/>
    <col min="2869" max="3070" width="9.1796875" style="284"/>
    <col min="3071" max="3123" width="1.7265625" style="284" customWidth="1"/>
    <col min="3124" max="3124" width="0.1796875" style="284" customWidth="1"/>
    <col min="3125" max="3326" width="9.1796875" style="284"/>
    <col min="3327" max="3379" width="1.7265625" style="284" customWidth="1"/>
    <col min="3380" max="3380" width="0.1796875" style="284" customWidth="1"/>
    <col min="3381" max="3582" width="9.1796875" style="284"/>
    <col min="3583" max="3635" width="1.7265625" style="284" customWidth="1"/>
    <col min="3636" max="3636" width="0.1796875" style="284" customWidth="1"/>
    <col min="3637" max="3838" width="9.1796875" style="284"/>
    <col min="3839" max="3891" width="1.7265625" style="284" customWidth="1"/>
    <col min="3892" max="3892" width="0.1796875" style="284" customWidth="1"/>
    <col min="3893" max="4094" width="9.1796875" style="284"/>
    <col min="4095" max="4147" width="1.7265625" style="284" customWidth="1"/>
    <col min="4148" max="4148" width="0.1796875" style="284" customWidth="1"/>
    <col min="4149" max="4350" width="9.1796875" style="284"/>
    <col min="4351" max="4403" width="1.7265625" style="284" customWidth="1"/>
    <col min="4404" max="4404" width="0.1796875" style="284" customWidth="1"/>
    <col min="4405" max="4606" width="9.1796875" style="284"/>
    <col min="4607" max="4659" width="1.7265625" style="284" customWidth="1"/>
    <col min="4660" max="4660" width="0.1796875" style="284" customWidth="1"/>
    <col min="4661" max="4862" width="9.1796875" style="284"/>
    <col min="4863" max="4915" width="1.7265625" style="284" customWidth="1"/>
    <col min="4916" max="4916" width="0.1796875" style="284" customWidth="1"/>
    <col min="4917" max="5118" width="9.1796875" style="284"/>
    <col min="5119" max="5171" width="1.7265625" style="284" customWidth="1"/>
    <col min="5172" max="5172" width="0.1796875" style="284" customWidth="1"/>
    <col min="5173" max="5374" width="9.1796875" style="284"/>
    <col min="5375" max="5427" width="1.7265625" style="284" customWidth="1"/>
    <col min="5428" max="5428" width="0.1796875" style="284" customWidth="1"/>
    <col min="5429" max="5630" width="9.1796875" style="284"/>
    <col min="5631" max="5683" width="1.7265625" style="284" customWidth="1"/>
    <col min="5684" max="5684" width="0.1796875" style="284" customWidth="1"/>
    <col min="5685" max="5886" width="9.1796875" style="284"/>
    <col min="5887" max="5939" width="1.7265625" style="284" customWidth="1"/>
    <col min="5940" max="5940" width="0.1796875" style="284" customWidth="1"/>
    <col min="5941" max="6142" width="9.1796875" style="284"/>
    <col min="6143" max="6195" width="1.7265625" style="284" customWidth="1"/>
    <col min="6196" max="6196" width="0.1796875" style="284" customWidth="1"/>
    <col min="6197" max="6398" width="9.1796875" style="284"/>
    <col min="6399" max="6451" width="1.7265625" style="284" customWidth="1"/>
    <col min="6452" max="6452" width="0.1796875" style="284" customWidth="1"/>
    <col min="6453" max="6654" width="9.1796875" style="284"/>
    <col min="6655" max="6707" width="1.7265625" style="284" customWidth="1"/>
    <col min="6708" max="6708" width="0.1796875" style="284" customWidth="1"/>
    <col min="6709" max="6910" width="9.1796875" style="284"/>
    <col min="6911" max="6963" width="1.7265625" style="284" customWidth="1"/>
    <col min="6964" max="6964" width="0.1796875" style="284" customWidth="1"/>
    <col min="6965" max="7166" width="9.1796875" style="284"/>
    <col min="7167" max="7219" width="1.7265625" style="284" customWidth="1"/>
    <col min="7220" max="7220" width="0.1796875" style="284" customWidth="1"/>
    <col min="7221" max="7422" width="9.1796875" style="284"/>
    <col min="7423" max="7475" width="1.7265625" style="284" customWidth="1"/>
    <col min="7476" max="7476" width="0.1796875" style="284" customWidth="1"/>
    <col min="7477" max="7678" width="9.1796875" style="284"/>
    <col min="7679" max="7731" width="1.7265625" style="284" customWidth="1"/>
    <col min="7732" max="7732" width="0.1796875" style="284" customWidth="1"/>
    <col min="7733" max="7934" width="9.1796875" style="284"/>
    <col min="7935" max="7987" width="1.7265625" style="284" customWidth="1"/>
    <col min="7988" max="7988" width="0.1796875" style="284" customWidth="1"/>
    <col min="7989" max="8190" width="9.1796875" style="284"/>
    <col min="8191" max="8243" width="1.7265625" style="284" customWidth="1"/>
    <col min="8244" max="8244" width="0.1796875" style="284" customWidth="1"/>
    <col min="8245" max="8446" width="9.1796875" style="284"/>
    <col min="8447" max="8499" width="1.7265625" style="284" customWidth="1"/>
    <col min="8500" max="8500" width="0.1796875" style="284" customWidth="1"/>
    <col min="8501" max="8702" width="9.1796875" style="284"/>
    <col min="8703" max="8755" width="1.7265625" style="284" customWidth="1"/>
    <col min="8756" max="8756" width="0.1796875" style="284" customWidth="1"/>
    <col min="8757" max="8958" width="9.1796875" style="284"/>
    <col min="8959" max="9011" width="1.7265625" style="284" customWidth="1"/>
    <col min="9012" max="9012" width="0.1796875" style="284" customWidth="1"/>
    <col min="9013" max="9214" width="9.1796875" style="284"/>
    <col min="9215" max="9267" width="1.7265625" style="284" customWidth="1"/>
    <col min="9268" max="9268" width="0.1796875" style="284" customWidth="1"/>
    <col min="9269" max="9470" width="9.1796875" style="284"/>
    <col min="9471" max="9523" width="1.7265625" style="284" customWidth="1"/>
    <col min="9524" max="9524" width="0.1796875" style="284" customWidth="1"/>
    <col min="9525" max="9726" width="9.1796875" style="284"/>
    <col min="9727" max="9779" width="1.7265625" style="284" customWidth="1"/>
    <col min="9780" max="9780" width="0.1796875" style="284" customWidth="1"/>
    <col min="9781" max="9982" width="9.1796875" style="284"/>
    <col min="9983" max="10035" width="1.7265625" style="284" customWidth="1"/>
    <col min="10036" max="10036" width="0.1796875" style="284" customWidth="1"/>
    <col min="10037" max="10238" width="9.1796875" style="284"/>
    <col min="10239" max="10291" width="1.7265625" style="284" customWidth="1"/>
    <col min="10292" max="10292" width="0.1796875" style="284" customWidth="1"/>
    <col min="10293" max="10494" width="9.1796875" style="284"/>
    <col min="10495" max="10547" width="1.7265625" style="284" customWidth="1"/>
    <col min="10548" max="10548" width="0.1796875" style="284" customWidth="1"/>
    <col min="10549" max="10750" width="9.1796875" style="284"/>
    <col min="10751" max="10803" width="1.7265625" style="284" customWidth="1"/>
    <col min="10804" max="10804" width="0.1796875" style="284" customWidth="1"/>
    <col min="10805" max="11006" width="9.1796875" style="284"/>
    <col min="11007" max="11059" width="1.7265625" style="284" customWidth="1"/>
    <col min="11060" max="11060" width="0.1796875" style="284" customWidth="1"/>
    <col min="11061" max="11262" width="9.1796875" style="284"/>
    <col min="11263" max="11315" width="1.7265625" style="284" customWidth="1"/>
    <col min="11316" max="11316" width="0.1796875" style="284" customWidth="1"/>
    <col min="11317" max="11518" width="9.1796875" style="284"/>
    <col min="11519" max="11571" width="1.7265625" style="284" customWidth="1"/>
    <col min="11572" max="11572" width="0.1796875" style="284" customWidth="1"/>
    <col min="11573" max="11774" width="9.1796875" style="284"/>
    <col min="11775" max="11827" width="1.7265625" style="284" customWidth="1"/>
    <col min="11828" max="11828" width="0.1796875" style="284" customWidth="1"/>
    <col min="11829" max="12030" width="9.1796875" style="284"/>
    <col min="12031" max="12083" width="1.7265625" style="284" customWidth="1"/>
    <col min="12084" max="12084" width="0.1796875" style="284" customWidth="1"/>
    <col min="12085" max="12286" width="9.1796875" style="284"/>
    <col min="12287" max="12339" width="1.7265625" style="284" customWidth="1"/>
    <col min="12340" max="12340" width="0.1796875" style="284" customWidth="1"/>
    <col min="12341" max="12542" width="9.1796875" style="284"/>
    <col min="12543" max="12595" width="1.7265625" style="284" customWidth="1"/>
    <col min="12596" max="12596" width="0.1796875" style="284" customWidth="1"/>
    <col min="12597" max="12798" width="9.1796875" style="284"/>
    <col min="12799" max="12851" width="1.7265625" style="284" customWidth="1"/>
    <col min="12852" max="12852" width="0.1796875" style="284" customWidth="1"/>
    <col min="12853" max="13054" width="9.1796875" style="284"/>
    <col min="13055" max="13107" width="1.7265625" style="284" customWidth="1"/>
    <col min="13108" max="13108" width="0.1796875" style="284" customWidth="1"/>
    <col min="13109" max="13310" width="9.1796875" style="284"/>
    <col min="13311" max="13363" width="1.7265625" style="284" customWidth="1"/>
    <col min="13364" max="13364" width="0.1796875" style="284" customWidth="1"/>
    <col min="13365" max="13566" width="9.1796875" style="284"/>
    <col min="13567" max="13619" width="1.7265625" style="284" customWidth="1"/>
    <col min="13620" max="13620" width="0.1796875" style="284" customWidth="1"/>
    <col min="13621" max="13822" width="9.1796875" style="284"/>
    <col min="13823" max="13875" width="1.7265625" style="284" customWidth="1"/>
    <col min="13876" max="13876" width="0.1796875" style="284" customWidth="1"/>
    <col min="13877" max="14078" width="9.1796875" style="284"/>
    <col min="14079" max="14131" width="1.7265625" style="284" customWidth="1"/>
    <col min="14132" max="14132" width="0.1796875" style="284" customWidth="1"/>
    <col min="14133" max="14334" width="9.1796875" style="284"/>
    <col min="14335" max="14387" width="1.7265625" style="284" customWidth="1"/>
    <col min="14388" max="14388" width="0.1796875" style="284" customWidth="1"/>
    <col min="14389" max="14590" width="9.1796875" style="284"/>
    <col min="14591" max="14643" width="1.7265625" style="284" customWidth="1"/>
    <col min="14644" max="14644" width="0.1796875" style="284" customWidth="1"/>
    <col min="14645" max="14846" width="9.1796875" style="284"/>
    <col min="14847" max="14899" width="1.7265625" style="284" customWidth="1"/>
    <col min="14900" max="14900" width="0.1796875" style="284" customWidth="1"/>
    <col min="14901" max="15102" width="9.1796875" style="284"/>
    <col min="15103" max="15155" width="1.7265625" style="284" customWidth="1"/>
    <col min="15156" max="15156" width="0.1796875" style="284" customWidth="1"/>
    <col min="15157" max="15358" width="9.1796875" style="284"/>
    <col min="15359" max="15411" width="1.7265625" style="284" customWidth="1"/>
    <col min="15412" max="15412" width="0.1796875" style="284" customWidth="1"/>
    <col min="15413" max="15614" width="9.1796875" style="284"/>
    <col min="15615" max="15667" width="1.7265625" style="284" customWidth="1"/>
    <col min="15668" max="15668" width="0.1796875" style="284" customWidth="1"/>
    <col min="15669" max="15870" width="9.1796875" style="284"/>
    <col min="15871" max="15923" width="1.7265625" style="284" customWidth="1"/>
    <col min="15924" max="15924" width="0.1796875" style="284" customWidth="1"/>
    <col min="15925" max="16126" width="9.1796875" style="284"/>
    <col min="16127" max="16179" width="1.7265625" style="284" customWidth="1"/>
    <col min="16180" max="16180" width="0.1796875" style="284" customWidth="1"/>
    <col min="16181" max="16384" width="9.1796875" style="284"/>
  </cols>
  <sheetData>
    <row r="1" spans="1:63" ht="25.5" hidden="1" customHeight="1">
      <c r="A1" s="1165" t="s">
        <v>567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165"/>
      <c r="AW1" s="1165"/>
      <c r="AX1" s="1165"/>
      <c r="AY1" s="1165"/>
      <c r="AZ1" s="1165"/>
      <c r="BA1" s="317"/>
    </row>
    <row r="2" spans="1:63" ht="12" customHeight="1">
      <c r="A2" s="1166" t="s">
        <v>72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6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  <c r="W3" s="1167"/>
      <c r="X3" s="1167"/>
      <c r="Y3" s="1167"/>
      <c r="Z3" s="1167"/>
      <c r="AA3" s="1167"/>
      <c r="AB3" s="1167"/>
      <c r="AC3" s="1167"/>
      <c r="AD3" s="1167"/>
      <c r="AE3" s="1167"/>
      <c r="AF3" s="1167"/>
      <c r="AG3" s="1167"/>
      <c r="AH3" s="1167"/>
      <c r="AI3" s="1167"/>
      <c r="AJ3" s="1167"/>
      <c r="AK3" s="1167"/>
      <c r="AL3" s="1167"/>
      <c r="AM3" s="1167"/>
      <c r="AN3" s="1167"/>
      <c r="AO3" s="1167"/>
      <c r="AP3" s="1167"/>
      <c r="AQ3" s="1167"/>
      <c r="AR3" s="1167"/>
      <c r="AS3" s="1167"/>
      <c r="AT3" s="1167"/>
      <c r="AU3" s="1167"/>
      <c r="AV3" s="1167"/>
      <c r="AW3" s="1167"/>
      <c r="AX3" s="1167"/>
      <c r="AY3" s="1167"/>
      <c r="AZ3" s="1167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168" t="s">
        <v>804</v>
      </c>
      <c r="B4" s="1168"/>
      <c r="C4" s="1168"/>
      <c r="D4" s="1168"/>
      <c r="E4" s="1168"/>
      <c r="F4" s="1168"/>
      <c r="G4" s="1168"/>
      <c r="H4" s="1168"/>
      <c r="I4" s="1168"/>
      <c r="J4" s="1168"/>
      <c r="K4" s="1168"/>
      <c r="L4" s="1168"/>
      <c r="M4" s="1168"/>
      <c r="N4" s="1168"/>
      <c r="O4" s="1168"/>
      <c r="P4" s="1168"/>
      <c r="Q4" s="1168"/>
      <c r="R4" s="1168"/>
      <c r="S4" s="1168"/>
      <c r="T4" s="1168"/>
      <c r="U4" s="1168"/>
      <c r="V4" s="1168"/>
      <c r="W4" s="1168"/>
      <c r="X4" s="1168"/>
      <c r="Y4" s="1168"/>
      <c r="Z4" s="1168"/>
      <c r="AA4" s="1168"/>
      <c r="AB4" s="1168"/>
      <c r="AC4" s="1168"/>
      <c r="AD4" s="1168"/>
      <c r="AE4" s="1168"/>
      <c r="AF4" s="1168"/>
      <c r="AG4" s="1168"/>
      <c r="AH4" s="1168"/>
      <c r="AI4" s="1168"/>
      <c r="AJ4" s="1168"/>
      <c r="AK4" s="1168"/>
      <c r="AL4" s="1168"/>
      <c r="AM4" s="1168"/>
      <c r="AN4" s="1168"/>
      <c r="AO4" s="1168"/>
      <c r="AP4" s="1168"/>
      <c r="AQ4" s="1168"/>
      <c r="AR4" s="1168"/>
      <c r="AS4" s="1168"/>
      <c r="AT4" s="1168"/>
      <c r="AU4" s="1168"/>
      <c r="AV4" s="1168"/>
      <c r="AW4" s="1168"/>
      <c r="AX4" s="1168"/>
      <c r="AY4" s="1168"/>
      <c r="AZ4" s="1168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53" t="s">
        <v>771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3"/>
      <c r="AT5" s="1153"/>
      <c r="AU5" s="1153"/>
      <c r="AV5" s="1153"/>
      <c r="AW5" s="1153"/>
      <c r="AX5" s="1153"/>
      <c r="AY5" s="1153"/>
      <c r="AZ5" s="115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11" t="str">
        <f>ФОРМА!B2</f>
        <v>ПАО "Россети Ленэнерго"</v>
      </c>
      <c r="B6" s="1211"/>
      <c r="C6" s="1211"/>
      <c r="D6" s="1211"/>
      <c r="E6" s="1211"/>
      <c r="F6" s="1211"/>
      <c r="G6" s="1211"/>
      <c r="H6" s="1211"/>
      <c r="I6" s="1211"/>
      <c r="J6" s="1211"/>
      <c r="K6" s="1211"/>
      <c r="L6" s="1211"/>
      <c r="M6" s="1211"/>
      <c r="N6" s="1211"/>
      <c r="O6" s="1211"/>
      <c r="P6" s="1211"/>
      <c r="Q6" s="1211"/>
      <c r="R6" s="1211"/>
      <c r="S6" s="1211"/>
      <c r="T6" s="1211"/>
      <c r="U6" s="1211"/>
      <c r="V6" s="1211"/>
      <c r="W6" s="1211"/>
      <c r="X6" s="1211"/>
      <c r="Y6" s="1211"/>
      <c r="Z6" s="1211"/>
      <c r="AA6" s="1211"/>
      <c r="AB6" s="1211"/>
      <c r="AC6" s="1211"/>
      <c r="AD6" s="1211"/>
      <c r="AE6" s="1211"/>
      <c r="AF6" s="1211"/>
      <c r="AG6" s="1211"/>
      <c r="AH6" s="1211"/>
      <c r="AI6" s="1211"/>
      <c r="AJ6" s="1211"/>
      <c r="AK6" s="1211"/>
      <c r="AL6" s="1211"/>
      <c r="AM6" s="1211"/>
      <c r="AN6" s="1211"/>
      <c r="AO6" s="1211"/>
      <c r="AP6" s="1211"/>
      <c r="AQ6" s="1211"/>
      <c r="AR6" s="1211"/>
      <c r="AS6" s="1211"/>
      <c r="AT6" s="1211"/>
      <c r="AU6" s="1211"/>
      <c r="AV6" s="1211"/>
      <c r="AW6" s="1211"/>
      <c r="AX6" s="1211"/>
      <c r="AY6" s="1211"/>
      <c r="AZ6" s="1211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68" t="s">
        <v>805</v>
      </c>
      <c r="B7" s="1168"/>
      <c r="C7" s="1168"/>
      <c r="D7" s="1168"/>
      <c r="E7" s="1168"/>
      <c r="F7" s="1168"/>
      <c r="G7" s="1168"/>
      <c r="H7" s="1168"/>
      <c r="I7" s="1168"/>
      <c r="J7" s="1168"/>
      <c r="K7" s="1168"/>
      <c r="L7" s="1168"/>
      <c r="M7" s="1168"/>
      <c r="N7" s="1168"/>
      <c r="O7" s="1168"/>
      <c r="P7" s="1168"/>
      <c r="Q7" s="1168"/>
      <c r="R7" s="1168"/>
      <c r="S7" s="1168"/>
      <c r="T7" s="1168"/>
      <c r="U7" s="1168"/>
      <c r="V7" s="1168"/>
      <c r="W7" s="1168"/>
      <c r="X7" s="1168"/>
      <c r="Y7" s="1168"/>
      <c r="Z7" s="1168"/>
      <c r="AA7" s="1168"/>
      <c r="AB7" s="1168"/>
      <c r="AC7" s="1168"/>
      <c r="AD7" s="1168"/>
      <c r="AE7" s="1168"/>
      <c r="AF7" s="1168"/>
      <c r="AG7" s="1168"/>
      <c r="AH7" s="1168"/>
      <c r="AI7" s="1168"/>
      <c r="AJ7" s="1168"/>
      <c r="AK7" s="1168"/>
      <c r="AL7" s="1168"/>
      <c r="AM7" s="1168"/>
      <c r="AN7" s="1168"/>
      <c r="AO7" s="1168"/>
      <c r="AP7" s="1168"/>
      <c r="AQ7" s="1168"/>
      <c r="AR7" s="1168"/>
      <c r="AS7" s="1168"/>
      <c r="AT7" s="1168"/>
      <c r="AU7" s="1168"/>
      <c r="AV7" s="1168"/>
      <c r="AW7" s="1168"/>
      <c r="AX7" s="1168"/>
      <c r="AY7" s="1168"/>
      <c r="AZ7" s="1168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15" customHeight="1">
      <c r="A8" s="121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  <c r="R8" s="1211"/>
      <c r="S8" s="1211"/>
      <c r="T8" s="1211"/>
      <c r="U8" s="1211"/>
      <c r="V8" s="1211"/>
      <c r="W8" s="1211"/>
      <c r="X8" s="1211"/>
      <c r="Y8" s="1211"/>
      <c r="Z8" s="1211"/>
      <c r="AA8" s="1211"/>
      <c r="AB8" s="1211"/>
      <c r="AC8" s="1211"/>
      <c r="AD8" s="1211"/>
      <c r="AE8" s="1211"/>
      <c r="AF8" s="1211"/>
      <c r="AG8" s="1211"/>
      <c r="AH8" s="1211"/>
      <c r="AI8" s="1211"/>
      <c r="AJ8" s="1211"/>
      <c r="AK8" s="1211"/>
      <c r="AL8" s="1211"/>
      <c r="AM8" s="1211"/>
      <c r="AN8" s="1211"/>
      <c r="AO8" s="1211"/>
      <c r="AP8" s="1211"/>
      <c r="AQ8" s="1211"/>
      <c r="AR8" s="1211"/>
      <c r="AS8" s="1211"/>
      <c r="AT8" s="1211"/>
      <c r="AU8" s="1211"/>
      <c r="AV8" s="1211"/>
      <c r="AW8" s="1211"/>
      <c r="AX8" s="1211"/>
      <c r="AY8" s="1211"/>
      <c r="AZ8" s="121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170" t="s">
        <v>806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166" t="s">
        <v>775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11" t="str">
        <f>ФОРМА!B3</f>
        <v>ООО «БЭСК»</v>
      </c>
      <c r="B11" s="1211"/>
      <c r="C11" s="1211"/>
      <c r="D11" s="1211"/>
      <c r="E11" s="1211"/>
      <c r="F11" s="1211"/>
      <c r="G11" s="1211"/>
      <c r="H11" s="1211"/>
      <c r="I11" s="1211"/>
      <c r="J11" s="1211"/>
      <c r="K11" s="1211"/>
      <c r="L11" s="1211"/>
      <c r="M11" s="1211"/>
      <c r="N11" s="1211"/>
      <c r="O11" s="1211"/>
      <c r="P11" s="1211"/>
      <c r="Q11" s="1211"/>
      <c r="R11" s="1211"/>
      <c r="S11" s="1211"/>
      <c r="T11" s="1211"/>
      <c r="U11" s="1211"/>
      <c r="V11" s="1211"/>
      <c r="W11" s="1211"/>
      <c r="X11" s="1211"/>
      <c r="Y11" s="1211"/>
      <c r="Z11" s="1211"/>
      <c r="AA11" s="1211"/>
      <c r="AB11" s="1211"/>
      <c r="AC11" s="1211"/>
      <c r="AD11" s="1211"/>
      <c r="AE11" s="1211"/>
      <c r="AF11" s="1211"/>
      <c r="AG11" s="1211"/>
      <c r="AH11" s="1211"/>
      <c r="AI11" s="1211"/>
      <c r="AJ11" s="1211"/>
      <c r="AK11" s="1211"/>
      <c r="AL11" s="1211"/>
      <c r="AM11" s="1211"/>
      <c r="AN11" s="1211"/>
      <c r="AO11" s="1211"/>
      <c r="AP11" s="1211"/>
      <c r="AQ11" s="1211"/>
      <c r="AR11" s="1211"/>
      <c r="AS11" s="1211"/>
      <c r="AT11" s="1211"/>
      <c r="AU11" s="1211"/>
      <c r="AV11" s="1211"/>
      <c r="AW11" s="1211"/>
      <c r="AX11" s="1211"/>
      <c r="AY11" s="1211"/>
      <c r="AZ11" s="1211"/>
      <c r="BA11" s="1211"/>
    </row>
    <row r="12" spans="1:63" s="305" customFormat="1" ht="6" customHeight="1">
      <c r="A12" s="1168" t="s">
        <v>805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318"/>
    </row>
    <row r="13" spans="1:63" ht="21.65" customHeight="1">
      <c r="A13" s="12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</row>
    <row r="14" spans="1:63" s="305" customFormat="1" ht="21" customHeight="1">
      <c r="A14" s="1170" t="s">
        <v>807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  <c r="BA14" s="318"/>
    </row>
    <row r="15" spans="1:63">
      <c r="A15" s="1166" t="s">
        <v>74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  <c r="BA15" s="317"/>
    </row>
    <row r="16" spans="1:63" ht="12" customHeight="1">
      <c r="A16" s="1211" t="str">
        <f>ФОРМА!B8</f>
        <v>ООО «Строительные энергетические технологии»</v>
      </c>
      <c r="B16" s="1211"/>
      <c r="C16" s="1211"/>
      <c r="D16" s="1211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1211"/>
      <c r="S16" s="1211"/>
      <c r="T16" s="1211"/>
      <c r="U16" s="1211"/>
      <c r="V16" s="1211"/>
      <c r="W16" s="1211"/>
      <c r="X16" s="1211"/>
      <c r="Y16" s="1211"/>
      <c r="Z16" s="1211"/>
      <c r="AA16" s="1211"/>
      <c r="AB16" s="1211"/>
      <c r="AC16" s="1211"/>
      <c r="AD16" s="1211"/>
      <c r="AE16" s="1211"/>
      <c r="AF16" s="1211"/>
      <c r="AG16" s="1211"/>
      <c r="AH16" s="1211"/>
      <c r="AI16" s="1211"/>
      <c r="AJ16" s="1211"/>
      <c r="AK16" s="1211"/>
      <c r="AL16" s="1211"/>
      <c r="AM16" s="1211"/>
      <c r="AN16" s="1211"/>
      <c r="AO16" s="1211"/>
      <c r="AP16" s="1211"/>
      <c r="AQ16" s="1211"/>
      <c r="AR16" s="1211"/>
      <c r="AS16" s="1211"/>
      <c r="AT16" s="1211"/>
      <c r="AU16" s="1211"/>
      <c r="AV16" s="1211"/>
      <c r="AW16" s="1211"/>
      <c r="AX16" s="1211"/>
      <c r="AY16" s="1211"/>
      <c r="AZ16" s="1211"/>
      <c r="BA16" s="1211"/>
    </row>
    <row r="17" spans="1:53" s="305" customFormat="1" ht="9">
      <c r="A17" s="1168" t="s">
        <v>805</v>
      </c>
      <c r="B17" s="1168"/>
      <c r="C17" s="1168"/>
      <c r="D17" s="1168"/>
      <c r="E17" s="1168"/>
      <c r="F17" s="1168"/>
      <c r="G17" s="1168"/>
      <c r="H17" s="1168"/>
      <c r="I17" s="1168"/>
      <c r="J17" s="1168"/>
      <c r="K17" s="1168"/>
      <c r="L17" s="1168"/>
      <c r="M17" s="1168"/>
      <c r="N17" s="1168"/>
      <c r="O17" s="1168"/>
      <c r="P17" s="1168"/>
      <c r="Q17" s="1168"/>
      <c r="R17" s="1168"/>
      <c r="S17" s="1168"/>
      <c r="T17" s="1168"/>
      <c r="U17" s="1168"/>
      <c r="V17" s="1168"/>
      <c r="W17" s="1168"/>
      <c r="X17" s="1168"/>
      <c r="Y17" s="1168"/>
      <c r="Z17" s="1168"/>
      <c r="AA17" s="1168"/>
      <c r="AB17" s="1168"/>
      <c r="AC17" s="1168"/>
      <c r="AD17" s="1168"/>
      <c r="AE17" s="1168"/>
      <c r="AF17" s="1168"/>
      <c r="AG17" s="1168"/>
      <c r="AH17" s="1168"/>
      <c r="AI17" s="1168"/>
      <c r="AJ17" s="1168"/>
      <c r="AK17" s="1168"/>
      <c r="AL17" s="1168"/>
      <c r="AM17" s="1168"/>
      <c r="AN17" s="1168"/>
      <c r="AO17" s="1168"/>
      <c r="AP17" s="1168"/>
      <c r="AQ17" s="1168"/>
      <c r="AR17" s="1168"/>
      <c r="AS17" s="1168"/>
      <c r="AT17" s="1168"/>
      <c r="AU17" s="1168"/>
      <c r="AV17" s="1168"/>
      <c r="AW17" s="1168"/>
      <c r="AX17" s="1168"/>
      <c r="AY17" s="1168"/>
      <c r="AZ17" s="1168"/>
      <c r="BA17" s="318"/>
    </row>
    <row r="18" spans="1:53" ht="21.65" customHeight="1">
      <c r="A18" s="12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  <c r="L18" s="1211"/>
      <c r="M18" s="1211"/>
      <c r="N18" s="1211"/>
      <c r="O18" s="1211"/>
      <c r="P18" s="1211"/>
      <c r="Q18" s="1211"/>
      <c r="R18" s="1211"/>
      <c r="S18" s="1211"/>
      <c r="T18" s="1211"/>
      <c r="U18" s="1211"/>
      <c r="V18" s="1211"/>
      <c r="W18" s="1211"/>
      <c r="X18" s="1211"/>
      <c r="Y18" s="1211"/>
      <c r="Z18" s="1211"/>
      <c r="AA18" s="1211"/>
      <c r="AB18" s="1211"/>
      <c r="AC18" s="1211"/>
      <c r="AD18" s="1211"/>
      <c r="AE18" s="1211"/>
      <c r="AF18" s="1211"/>
      <c r="AG18" s="1211"/>
      <c r="AH18" s="1211"/>
      <c r="AI18" s="1211"/>
      <c r="AJ18" s="1211"/>
      <c r="AK18" s="1211"/>
      <c r="AL18" s="1211"/>
      <c r="AM18" s="1211"/>
      <c r="AN18" s="1211"/>
      <c r="AO18" s="1211"/>
      <c r="AP18" s="1211"/>
      <c r="AQ18" s="1211"/>
      <c r="AR18" s="1211"/>
      <c r="AS18" s="1211"/>
      <c r="AT18" s="1211"/>
      <c r="AU18" s="1211"/>
      <c r="AV18" s="1211"/>
      <c r="AW18" s="1211"/>
      <c r="AX18" s="1211"/>
      <c r="AY18" s="1211"/>
      <c r="AZ18" s="1211"/>
      <c r="BA18" s="317"/>
    </row>
    <row r="19" spans="1:53" s="305" customFormat="1" ht="7.5" customHeight="1">
      <c r="A19" s="1170" t="s">
        <v>773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  <c r="BA19" s="318"/>
    </row>
    <row r="20" spans="1:53" s="305" customFormat="1" ht="15" customHeight="1">
      <c r="A20" s="1152"/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318"/>
    </row>
    <row r="21" spans="1:53" s="305" customFormat="1" ht="15" customHeight="1">
      <c r="A21" s="1151" t="s">
        <v>808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18"/>
    </row>
    <row r="22" spans="1:53" ht="5.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>
      <c r="A23" s="1173" t="s">
        <v>517</v>
      </c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175" t="s">
        <v>19</v>
      </c>
      <c r="B25" s="1175"/>
      <c r="C25" s="1141">
        <f>ФОРМА!B28</f>
        <v>0</v>
      </c>
      <c r="D25" s="1141"/>
      <c r="E25" s="1141"/>
      <c r="F25" s="1141"/>
      <c r="G25" s="1141"/>
      <c r="H25" s="1141"/>
      <c r="I25" s="1141"/>
      <c r="J25" s="1141"/>
      <c r="K25" s="1141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76"/>
      <c r="AH25" s="1176"/>
      <c r="AI25" s="1176"/>
      <c r="AJ25" s="322"/>
      <c r="AK25" s="322"/>
      <c r="AL25" s="1143">
        <f>ФОРМА!C28</f>
        <v>45354</v>
      </c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76"/>
      <c r="AX25" s="1176"/>
      <c r="AY25" s="1176"/>
      <c r="AZ25" s="1176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68" t="s">
        <v>453</v>
      </c>
      <c r="AM26" s="1168"/>
      <c r="AN26" s="1168"/>
      <c r="AO26" s="1168"/>
      <c r="AP26" s="1168"/>
      <c r="AQ26" s="1168"/>
      <c r="AR26" s="1168"/>
      <c r="AS26" s="1168"/>
      <c r="AT26" s="1168"/>
      <c r="AU26" s="1168"/>
      <c r="AV26" s="1168"/>
      <c r="AW26" s="318"/>
      <c r="AX26" s="318"/>
      <c r="AY26" s="318"/>
      <c r="AZ26" s="318"/>
      <c r="BA26" s="318"/>
    </row>
    <row r="27" spans="1:53" ht="24" customHeight="1">
      <c r="A27" s="1153" t="s">
        <v>780</v>
      </c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1153"/>
      <c r="P27" s="1153"/>
      <c r="Q27" s="1153"/>
      <c r="R27" s="1153"/>
      <c r="S27" s="1153"/>
      <c r="T27" s="1153"/>
      <c r="U27" s="1153"/>
      <c r="V27" s="1153"/>
      <c r="W27" s="1153"/>
      <c r="X27" s="1153"/>
      <c r="Y27" s="1153"/>
      <c r="Z27" s="1153"/>
      <c r="AA27" s="1153"/>
      <c r="AB27" s="1153"/>
      <c r="AC27" s="1153"/>
      <c r="AD27" s="1153"/>
      <c r="AE27" s="1153"/>
      <c r="AF27" s="1153"/>
      <c r="AG27" s="1153"/>
      <c r="AH27" s="1153"/>
      <c r="AI27" s="1153"/>
      <c r="AJ27" s="1153"/>
      <c r="AK27" s="1153"/>
      <c r="AL27" s="1153"/>
      <c r="AM27" s="1153"/>
      <c r="AN27" s="1153"/>
      <c r="AO27" s="1153"/>
      <c r="AP27" s="1153"/>
      <c r="AQ27" s="1153"/>
      <c r="AR27" s="1153"/>
      <c r="AS27" s="1153"/>
      <c r="AT27" s="1153"/>
      <c r="AU27" s="1153"/>
      <c r="AV27" s="1153"/>
      <c r="AW27" s="1153"/>
      <c r="AX27" s="1153"/>
      <c r="AY27" s="1153"/>
      <c r="AZ27" s="1153"/>
      <c r="BA27" s="317"/>
    </row>
    <row r="28" spans="1:53" ht="12" customHeight="1">
      <c r="A28" s="1171" t="str">
        <f>IF(ПОДПИСИ!B9="",ПОДПИСИ!B5,ПОДПИСИ!B9)</f>
        <v>Ведущий инженер-геодезист АО "ЛЭСР"</v>
      </c>
      <c r="B28" s="1171"/>
      <c r="C28" s="1171"/>
      <c r="D28" s="1171"/>
      <c r="E28" s="1171"/>
      <c r="F28" s="1171"/>
      <c r="G28" s="1171"/>
      <c r="H28" s="1171"/>
      <c r="I28" s="1171"/>
      <c r="J28" s="1171"/>
      <c r="K28" s="1171"/>
      <c r="L28" s="1171"/>
      <c r="M28" s="1171"/>
      <c r="N28" s="1171"/>
      <c r="O28" s="1171"/>
      <c r="P28" s="1171"/>
      <c r="Q28" s="1171"/>
      <c r="R28" s="1171"/>
      <c r="S28" s="1171"/>
      <c r="T28" s="1171"/>
      <c r="U28" s="1171"/>
      <c r="V28" s="1171"/>
      <c r="W28" s="1171"/>
      <c r="X28" s="1171"/>
      <c r="Y28" s="1171"/>
      <c r="Z28" s="1171"/>
      <c r="AA28" s="1171"/>
      <c r="AB28" s="1171"/>
      <c r="AC28" s="1171"/>
      <c r="AD28" s="1171"/>
      <c r="AE28" s="1171"/>
      <c r="AF28" s="1171"/>
      <c r="AG28" s="1171"/>
      <c r="AH28" s="1171"/>
      <c r="AI28" s="1171"/>
      <c r="AJ28" s="1171"/>
      <c r="AK28" s="1171"/>
      <c r="AL28" s="1171"/>
      <c r="AM28" s="1171"/>
      <c r="AN28" s="1171"/>
      <c r="AO28" s="1171"/>
      <c r="AP28" s="1171"/>
      <c r="AQ28" s="1171"/>
      <c r="AR28" s="1171"/>
      <c r="AS28" s="1171"/>
      <c r="AT28" s="1171"/>
      <c r="AU28" s="1171"/>
      <c r="AV28" s="1171"/>
      <c r="AW28" s="1171"/>
      <c r="AX28" s="1171"/>
      <c r="AY28" s="1171"/>
      <c r="AZ28" s="1171"/>
      <c r="BA28" s="317"/>
    </row>
    <row r="29" spans="1:53" ht="12" customHeight="1">
      <c r="A29" s="1172" t="str">
        <f>IF(ПОДПИСИ!C9="",ПОДПИСИ!C5,CONCATENATE(ПОДПИСИ!C9,", ",ПОДПИСИ!F9))</f>
        <v xml:space="preserve">Филёва Н.О.,  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317"/>
    </row>
    <row r="30" spans="1:53" ht="15" customHeight="1">
      <c r="A30" s="1170" t="s">
        <v>781</v>
      </c>
      <c r="B30" s="1170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317"/>
    </row>
    <row r="31" spans="1:53" ht="15" customHeight="1">
      <c r="A31" s="1152"/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17"/>
    </row>
    <row r="32" spans="1:53" ht="21.75" customHeight="1">
      <c r="A32" s="1151" t="s">
        <v>809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  <c r="BA32" s="317"/>
    </row>
    <row r="33" spans="1:52" ht="12" customHeight="1">
      <c r="A33" s="1177" t="s">
        <v>783</v>
      </c>
      <c r="B33" s="1178"/>
      <c r="C33" s="1178"/>
      <c r="D33" s="1178"/>
      <c r="E33" s="1178"/>
      <c r="F33" s="1178"/>
      <c r="G33" s="1178"/>
      <c r="H33" s="1178"/>
      <c r="I33" s="1178"/>
      <c r="J33" s="1178"/>
      <c r="K33" s="1178"/>
      <c r="L33" s="1178"/>
      <c r="M33" s="1178"/>
      <c r="N33" s="1178"/>
      <c r="O33" s="1178"/>
      <c r="P33" s="1178"/>
      <c r="Q33" s="1178"/>
      <c r="R33" s="1178"/>
      <c r="S33" s="1178"/>
      <c r="T33" s="1178"/>
      <c r="U33" s="1178"/>
      <c r="V33" s="1178"/>
      <c r="W33" s="1178"/>
      <c r="X33" s="1178"/>
      <c r="Y33" s="1178"/>
      <c r="Z33" s="1178"/>
      <c r="AA33" s="1178"/>
      <c r="AB33" s="1178"/>
      <c r="AC33" s="1178"/>
      <c r="AD33" s="1178"/>
      <c r="AE33" s="1178"/>
      <c r="AF33" s="1178"/>
      <c r="AG33" s="1178"/>
      <c r="AH33" s="1178"/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</row>
    <row r="34" spans="1:52" ht="12" customHeight="1">
      <c r="A34" s="1154" t="str">
        <f>ПОДПИСИ!B15</f>
        <v xml:space="preserve">Заместитель генерального директора ООО «БЭСК» </v>
      </c>
      <c r="B34" s="1154"/>
      <c r="C34" s="1154"/>
      <c r="D34" s="1154"/>
      <c r="E34" s="1154"/>
      <c r="F34" s="1154"/>
      <c r="G34" s="1154"/>
      <c r="H34" s="1154"/>
      <c r="I34" s="1154"/>
      <c r="J34" s="1154"/>
      <c r="K34" s="1154"/>
      <c r="L34" s="1154"/>
      <c r="M34" s="1154"/>
      <c r="N34" s="1154"/>
      <c r="O34" s="1154"/>
      <c r="P34" s="1154"/>
      <c r="Q34" s="1154"/>
      <c r="R34" s="1154"/>
      <c r="S34" s="1154"/>
      <c r="T34" s="1154"/>
      <c r="U34" s="1154"/>
      <c r="V34" s="1154"/>
      <c r="W34" s="1154"/>
      <c r="X34" s="1154"/>
      <c r="Y34" s="1154"/>
      <c r="Z34" s="1154"/>
      <c r="AA34" s="1154"/>
      <c r="AB34" s="1154"/>
      <c r="AC34" s="1154"/>
      <c r="AD34" s="1154"/>
      <c r="AE34" s="1154"/>
      <c r="AF34" s="1154"/>
      <c r="AG34" s="1154"/>
      <c r="AH34" s="1154"/>
      <c r="AI34" s="1154"/>
      <c r="AJ34" s="1154"/>
      <c r="AK34" s="1154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</row>
    <row r="35" spans="1:52" ht="12" customHeight="1">
      <c r="A35" s="1179" t="str">
        <f>CONCATENATE(ПОДПИСИ!C15," ",ПОДПИСИ!F15)</f>
        <v xml:space="preserve">Матвеев А.С. </v>
      </c>
      <c r="B35" s="1179"/>
      <c r="C35" s="1179"/>
      <c r="D35" s="1179"/>
      <c r="E35" s="1179"/>
      <c r="F35" s="1179"/>
      <c r="G35" s="1179"/>
      <c r="H35" s="1179"/>
      <c r="I35" s="1179"/>
      <c r="J35" s="1179"/>
      <c r="K35" s="1179"/>
      <c r="L35" s="1179"/>
      <c r="M35" s="1179"/>
      <c r="N35" s="1179"/>
      <c r="O35" s="1179"/>
      <c r="P35" s="1179"/>
      <c r="Q35" s="1179"/>
      <c r="R35" s="1179"/>
      <c r="S35" s="1179"/>
      <c r="T35" s="1179"/>
      <c r="U35" s="1179"/>
      <c r="V35" s="1179"/>
      <c r="W35" s="1179"/>
      <c r="X35" s="1179"/>
      <c r="Y35" s="1179"/>
      <c r="Z35" s="1179"/>
      <c r="AA35" s="1179"/>
      <c r="AB35" s="1179"/>
      <c r="AC35" s="1179"/>
      <c r="AD35" s="1179"/>
      <c r="AE35" s="1179"/>
      <c r="AF35" s="1179"/>
      <c r="AG35" s="1179"/>
      <c r="AH35" s="1179"/>
      <c r="AI35" s="1179"/>
      <c r="AJ35" s="1179"/>
      <c r="AK35" s="1179"/>
      <c r="AL35" s="1179"/>
      <c r="AM35" s="1179"/>
      <c r="AN35" s="1179"/>
      <c r="AO35" s="1179"/>
      <c r="AP35" s="1179"/>
      <c r="AQ35" s="1179"/>
      <c r="AR35" s="1179"/>
      <c r="AS35" s="1179"/>
      <c r="AT35" s="1179"/>
      <c r="AU35" s="1179"/>
      <c r="AV35" s="1179"/>
      <c r="AW35" s="1179"/>
      <c r="AX35" s="1179"/>
      <c r="AY35" s="1179"/>
      <c r="AZ35" s="1179"/>
    </row>
    <row r="36" spans="1:52" ht="6" customHeight="1">
      <c r="A36" s="1180" t="s">
        <v>810</v>
      </c>
      <c r="B36" s="1180"/>
      <c r="C36" s="1180"/>
      <c r="D36" s="1180"/>
      <c r="E36" s="1180"/>
      <c r="F36" s="1180"/>
      <c r="G36" s="1180"/>
      <c r="H36" s="1180"/>
      <c r="I36" s="1180"/>
      <c r="J36" s="1180"/>
      <c r="K36" s="1180"/>
      <c r="L36" s="1180"/>
      <c r="M36" s="1180"/>
      <c r="N36" s="1180"/>
      <c r="O36" s="1180"/>
      <c r="P36" s="1180"/>
      <c r="Q36" s="1180"/>
      <c r="R36" s="1180"/>
      <c r="S36" s="1180"/>
      <c r="T36" s="1180"/>
      <c r="U36" s="1180"/>
      <c r="V36" s="1180"/>
      <c r="W36" s="1180"/>
      <c r="X36" s="1180"/>
      <c r="Y36" s="1180"/>
      <c r="Z36" s="1180"/>
      <c r="AA36" s="1180"/>
      <c r="AB36" s="1180"/>
      <c r="AC36" s="1180"/>
      <c r="AD36" s="1180"/>
      <c r="AE36" s="1180"/>
      <c r="AF36" s="1180"/>
      <c r="AG36" s="1180"/>
      <c r="AH36" s="1180"/>
      <c r="AI36" s="1180"/>
      <c r="AJ36" s="1180"/>
      <c r="AK36" s="1180"/>
      <c r="AL36" s="1180"/>
      <c r="AM36" s="1180"/>
      <c r="AN36" s="1180"/>
      <c r="AO36" s="1180"/>
      <c r="AP36" s="1180"/>
      <c r="AQ36" s="1180"/>
      <c r="AR36" s="1180"/>
      <c r="AS36" s="1180"/>
      <c r="AT36" s="1180"/>
      <c r="AU36" s="1180"/>
      <c r="AV36" s="1180"/>
      <c r="AW36" s="1180"/>
      <c r="AX36" s="1180"/>
      <c r="AY36" s="1180"/>
      <c r="AZ36" s="1180"/>
    </row>
    <row r="37" spans="1:52" ht="24" customHeight="1">
      <c r="A37" s="1153" t="s">
        <v>811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</row>
    <row r="38" spans="1:52" ht="12" customHeight="1">
      <c r="A38" s="1154" t="str">
        <f>ПОДПИСИ!B17</f>
        <v xml:space="preserve">Заместитель генерального директора ООО «БЭСК» 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  <c r="L38" s="1154"/>
      <c r="M38" s="1154"/>
      <c r="N38" s="1154"/>
      <c r="O38" s="1154"/>
      <c r="P38" s="1154"/>
      <c r="Q38" s="1154"/>
      <c r="R38" s="1154"/>
      <c r="S38" s="1154"/>
      <c r="T38" s="1154"/>
      <c r="U38" s="1154"/>
      <c r="V38" s="1154"/>
      <c r="W38" s="1154"/>
      <c r="X38" s="1154"/>
      <c r="Y38" s="1154"/>
      <c r="Z38" s="1154"/>
      <c r="AA38" s="1154"/>
      <c r="AB38" s="1154"/>
      <c r="AC38" s="1154"/>
      <c r="AD38" s="1154"/>
      <c r="AE38" s="1154"/>
      <c r="AF38" s="1154"/>
      <c r="AG38" s="1154"/>
      <c r="AH38" s="1154"/>
      <c r="AI38" s="1154"/>
      <c r="AJ38" s="1154"/>
      <c r="AK38" s="1154"/>
      <c r="AL38" s="1154"/>
      <c r="AM38" s="1154"/>
      <c r="AN38" s="1154"/>
      <c r="AO38" s="1154"/>
      <c r="AP38" s="1154"/>
      <c r="AQ38" s="1154"/>
      <c r="AR38" s="1154"/>
      <c r="AS38" s="1154"/>
      <c r="AT38" s="1154"/>
      <c r="AU38" s="1154"/>
      <c r="AV38" s="1154"/>
      <c r="AW38" s="1154"/>
      <c r="AX38" s="1154"/>
      <c r="AY38" s="1154"/>
      <c r="AZ38" s="1154"/>
    </row>
    <row r="39" spans="1:52" ht="12" customHeight="1">
      <c r="A39" s="1154" t="str">
        <f>CONCATENATE(ПОДПИСИ!C17," ",ПОДПИСИ!F17)</f>
        <v xml:space="preserve">Матвеев А.С. </v>
      </c>
      <c r="B39" s="1154"/>
      <c r="C39" s="1154"/>
      <c r="D39" s="1154"/>
      <c r="E39" s="1154"/>
      <c r="F39" s="1154"/>
      <c r="G39" s="1154"/>
      <c r="H39" s="1154"/>
      <c r="I39" s="1154"/>
      <c r="J39" s="1154"/>
      <c r="K39" s="1154"/>
      <c r="L39" s="1154"/>
      <c r="M39" s="1154"/>
      <c r="N39" s="1154"/>
      <c r="O39" s="1154"/>
      <c r="P39" s="1154"/>
      <c r="Q39" s="1154"/>
      <c r="R39" s="1154"/>
      <c r="S39" s="1154"/>
      <c r="T39" s="1154"/>
      <c r="U39" s="1154"/>
      <c r="V39" s="1154"/>
      <c r="W39" s="1154"/>
      <c r="X39" s="1154"/>
      <c r="Y39" s="1154"/>
      <c r="Z39" s="1154"/>
      <c r="AA39" s="1154"/>
      <c r="AB39" s="1154"/>
      <c r="AC39" s="1154"/>
      <c r="AD39" s="1154"/>
      <c r="AE39" s="1154"/>
      <c r="AF39" s="1154"/>
      <c r="AG39" s="1154"/>
      <c r="AH39" s="1154"/>
      <c r="AI39" s="1154"/>
      <c r="AJ39" s="1154"/>
      <c r="AK39" s="1154"/>
      <c r="AL39" s="1154"/>
      <c r="AM39" s="1154"/>
      <c r="AN39" s="1154"/>
      <c r="AO39" s="1154"/>
      <c r="AP39" s="1154"/>
      <c r="AQ39" s="1154"/>
      <c r="AR39" s="1154"/>
      <c r="AS39" s="1154"/>
      <c r="AT39" s="1154"/>
      <c r="AU39" s="1154"/>
      <c r="AV39" s="1154"/>
      <c r="AW39" s="1154"/>
      <c r="AX39" s="1154"/>
      <c r="AY39" s="1154"/>
      <c r="AZ39" s="1154"/>
    </row>
    <row r="40" spans="1:52" ht="15" customHeight="1">
      <c r="A40" s="1151" t="s">
        <v>781</v>
      </c>
      <c r="B40" s="1151"/>
      <c r="C40" s="1151"/>
      <c r="D40" s="1151"/>
      <c r="E40" s="1151"/>
      <c r="F40" s="1151"/>
      <c r="G40" s="1151"/>
      <c r="H40" s="1151"/>
      <c r="I40" s="1151"/>
      <c r="J40" s="1151"/>
      <c r="K40" s="1151"/>
      <c r="L40" s="1151"/>
      <c r="M40" s="1151"/>
      <c r="N40" s="1151"/>
      <c r="O40" s="1151"/>
      <c r="P40" s="1151"/>
      <c r="Q40" s="1151"/>
      <c r="R40" s="1151"/>
      <c r="S40" s="1151"/>
      <c r="T40" s="1151"/>
      <c r="U40" s="1151"/>
      <c r="V40" s="1151"/>
      <c r="W40" s="1151"/>
      <c r="X40" s="1151"/>
      <c r="Y40" s="1151"/>
      <c r="Z40" s="1151"/>
      <c r="AA40" s="1151"/>
      <c r="AB40" s="1151"/>
      <c r="AC40" s="1151"/>
      <c r="AD40" s="1151"/>
      <c r="AE40" s="1151"/>
      <c r="AF40" s="1151"/>
      <c r="AG40" s="1151"/>
      <c r="AH40" s="1151"/>
      <c r="AI40" s="1151"/>
      <c r="AJ40" s="1151"/>
      <c r="AK40" s="1151"/>
      <c r="AL40" s="1151"/>
      <c r="AM40" s="1151"/>
      <c r="AN40" s="1151"/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/>
      <c r="AY40" s="1151"/>
      <c r="AZ40" s="1151"/>
    </row>
    <row r="41" spans="1:52" ht="12" customHeight="1">
      <c r="A41" s="1152"/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52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</row>
    <row r="42" spans="1:52" ht="6.75" customHeight="1">
      <c r="A42" s="1151" t="s">
        <v>812</v>
      </c>
      <c r="B42" s="1151"/>
      <c r="C42" s="1151"/>
      <c r="D42" s="1151"/>
      <c r="E42" s="1151"/>
      <c r="F42" s="1151"/>
      <c r="G42" s="1151"/>
      <c r="H42" s="1151"/>
      <c r="I42" s="1151"/>
      <c r="J42" s="1151"/>
      <c r="K42" s="1151"/>
      <c r="L42" s="1151"/>
      <c r="M42" s="1151"/>
      <c r="N42" s="1151"/>
      <c r="O42" s="1151"/>
      <c r="P42" s="1151"/>
      <c r="Q42" s="1151"/>
      <c r="R42" s="1151"/>
      <c r="S42" s="1151"/>
      <c r="T42" s="1151"/>
      <c r="U42" s="1151"/>
      <c r="V42" s="1151"/>
      <c r="W42" s="1151"/>
      <c r="X42" s="1151"/>
      <c r="Y42" s="1151"/>
      <c r="Z42" s="1151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151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</row>
    <row r="43" spans="1:52" ht="35.25" customHeight="1">
      <c r="A43" s="1153" t="s">
        <v>813</v>
      </c>
      <c r="B43" s="1153"/>
      <c r="C43" s="1153"/>
      <c r="D43" s="1153"/>
      <c r="E43" s="1153"/>
      <c r="F43" s="1153"/>
      <c r="G43" s="1153"/>
      <c r="H43" s="1153"/>
      <c r="I43" s="1153"/>
      <c r="J43" s="1153"/>
      <c r="K43" s="1153"/>
      <c r="L43" s="1153"/>
      <c r="M43" s="1153"/>
      <c r="N43" s="1153"/>
      <c r="O43" s="1153"/>
      <c r="P43" s="1153"/>
      <c r="Q43" s="1153"/>
      <c r="R43" s="1153"/>
      <c r="S43" s="1153"/>
      <c r="T43" s="1153"/>
      <c r="U43" s="1153"/>
      <c r="V43" s="1153"/>
      <c r="W43" s="1153"/>
      <c r="X43" s="1153"/>
      <c r="Y43" s="1153"/>
      <c r="Z43" s="1153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</row>
    <row r="44" spans="1:52" ht="12" customHeight="1">
      <c r="A44" s="1154" t="str">
        <f>ПОДПИСИ!B19</f>
        <v xml:space="preserve"> </v>
      </c>
      <c r="B44" s="1154"/>
      <c r="C44" s="1154"/>
      <c r="D44" s="1154"/>
      <c r="E44" s="1154"/>
      <c r="F44" s="1154"/>
      <c r="G44" s="1154"/>
      <c r="H44" s="1154"/>
      <c r="I44" s="1154"/>
      <c r="J44" s="1154"/>
      <c r="K44" s="1154"/>
      <c r="L44" s="1154"/>
      <c r="M44" s="1154"/>
      <c r="N44" s="1154"/>
      <c r="O44" s="1154"/>
      <c r="P44" s="1154"/>
      <c r="Q44" s="1154"/>
      <c r="R44" s="1154"/>
      <c r="S44" s="1154"/>
      <c r="T44" s="1154"/>
      <c r="U44" s="1154"/>
      <c r="V44" s="1154"/>
      <c r="W44" s="1154"/>
      <c r="X44" s="1154"/>
      <c r="Y44" s="1154"/>
      <c r="Z44" s="1154"/>
      <c r="AA44" s="1154"/>
      <c r="AB44" s="1154"/>
      <c r="AC44" s="1154"/>
      <c r="AD44" s="1154"/>
      <c r="AE44" s="1154"/>
      <c r="AF44" s="1154"/>
      <c r="AG44" s="1154"/>
      <c r="AH44" s="1154"/>
      <c r="AI44" s="1154"/>
      <c r="AJ44" s="1154"/>
      <c r="AK44" s="1154"/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</row>
    <row r="45" spans="1:52" ht="12" customHeight="1">
      <c r="A45" s="1154" t="str">
        <f>CONCATENATE(ПОДПИСИ!C19," ",ПОДПИСИ!F19)</f>
        <v xml:space="preserve">  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</row>
    <row r="46" spans="1:52" ht="6" customHeight="1">
      <c r="A46" s="1151" t="s">
        <v>787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</row>
    <row r="47" spans="1:52" ht="12" customHeight="1">
      <c r="A47" s="1152"/>
      <c r="B47" s="1152"/>
      <c r="C47" s="1152"/>
      <c r="D47" s="1152"/>
      <c r="E47" s="1152"/>
      <c r="F47" s="1152"/>
      <c r="G47" s="1152"/>
      <c r="H47" s="1152"/>
      <c r="I47" s="1152"/>
      <c r="J47" s="1152"/>
      <c r="K47" s="1152"/>
      <c r="L47" s="1152"/>
      <c r="M47" s="1152"/>
      <c r="N47" s="1152"/>
      <c r="O47" s="1152"/>
      <c r="P47" s="1152"/>
      <c r="Q47" s="1152"/>
      <c r="R47" s="1152"/>
      <c r="S47" s="1152"/>
      <c r="T47" s="1152"/>
      <c r="U47" s="1152"/>
      <c r="V47" s="1152"/>
      <c r="W47" s="1152"/>
      <c r="X47" s="1152"/>
      <c r="Y47" s="1152"/>
      <c r="Z47" s="1152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152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</row>
    <row r="48" spans="1:52" ht="15" customHeight="1">
      <c r="A48" s="1151" t="s">
        <v>788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4" ht="36" customHeight="1">
      <c r="A49" s="1177" t="s">
        <v>814</v>
      </c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1177"/>
      <c r="P49" s="1177"/>
      <c r="Q49" s="1177"/>
      <c r="R49" s="1177"/>
      <c r="S49" s="1177"/>
      <c r="T49" s="1177"/>
      <c r="U49" s="1177"/>
      <c r="V49" s="1177"/>
      <c r="W49" s="1177"/>
      <c r="X49" s="1177"/>
      <c r="Y49" s="1177"/>
      <c r="Z49" s="1177"/>
      <c r="AA49" s="1177"/>
      <c r="AB49" s="1177"/>
      <c r="AC49" s="1177"/>
      <c r="AD49" s="1177"/>
      <c r="AE49" s="1177"/>
      <c r="AF49" s="1177"/>
      <c r="AG49" s="1177"/>
      <c r="AH49" s="1177"/>
      <c r="AI49" s="1177"/>
      <c r="AJ49" s="1177"/>
      <c r="AK49" s="1177"/>
      <c r="AL49" s="1177"/>
      <c r="AM49" s="1177"/>
      <c r="AN49" s="1177"/>
      <c r="AO49" s="1177"/>
      <c r="AP49" s="1177"/>
      <c r="AQ49" s="1177"/>
      <c r="AR49" s="1177"/>
      <c r="AS49" s="1177"/>
      <c r="AT49" s="1177"/>
      <c r="AU49" s="1177"/>
      <c r="AV49" s="1177"/>
      <c r="AW49" s="1177"/>
      <c r="AX49" s="1177"/>
      <c r="AY49" s="1177"/>
      <c r="AZ49" s="1177"/>
    </row>
    <row r="50" spans="1:54" ht="12" customHeight="1">
      <c r="A50" s="1185" t="str">
        <f>ПОДПИСИ!B14</f>
        <v>Инженер-геодезист ООО «БЭСК»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  <c r="BA50" s="323"/>
      <c r="BB50" s="294"/>
    </row>
    <row r="51" spans="1:54" ht="12" customHeight="1">
      <c r="A51" s="1104" t="str">
        <f>CONCATENATE(ПОДПИСИ!C14," ",ПОДПИСИ!F14)</f>
        <v xml:space="preserve">Алексеенков Д.С. </v>
      </c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N51" s="1104"/>
      <c r="O51" s="1104"/>
      <c r="P51" s="1104"/>
      <c r="Q51" s="1104"/>
      <c r="R51" s="1104"/>
      <c r="S51" s="1104"/>
      <c r="T51" s="1104"/>
      <c r="U51" s="1104"/>
      <c r="V51" s="1104"/>
      <c r="W51" s="1104"/>
      <c r="X51" s="1104"/>
      <c r="Y51" s="1104"/>
      <c r="Z51" s="1104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</row>
    <row r="52" spans="1:54" ht="6" customHeight="1">
      <c r="A52" s="1170" t="s">
        <v>787</v>
      </c>
      <c r="B52" s="1170"/>
      <c r="C52" s="1170"/>
      <c r="D52" s="1170"/>
      <c r="E52" s="1170"/>
      <c r="F52" s="1170"/>
      <c r="G52" s="1170"/>
      <c r="H52" s="1170"/>
      <c r="I52" s="1170"/>
      <c r="J52" s="1170"/>
      <c r="K52" s="1170"/>
      <c r="L52" s="1170"/>
      <c r="M52" s="1170"/>
      <c r="N52" s="1170"/>
      <c r="O52" s="1170"/>
      <c r="P52" s="1170"/>
      <c r="Q52" s="1170"/>
      <c r="R52" s="1170"/>
      <c r="S52" s="1170"/>
      <c r="T52" s="1170"/>
      <c r="U52" s="1170"/>
      <c r="V52" s="1170"/>
      <c r="W52" s="1170"/>
      <c r="X52" s="1170"/>
      <c r="Y52" s="1170"/>
      <c r="Z52" s="1170"/>
      <c r="AA52" s="1170"/>
      <c r="AB52" s="1170"/>
      <c r="AC52" s="1170"/>
      <c r="AD52" s="1170"/>
      <c r="AE52" s="1170"/>
      <c r="AF52" s="1170"/>
      <c r="AG52" s="1170"/>
      <c r="AH52" s="1170"/>
      <c r="AI52" s="1170"/>
      <c r="AJ52" s="1170"/>
      <c r="AK52" s="1170"/>
      <c r="AL52" s="1170"/>
      <c r="AM52" s="1170"/>
      <c r="AN52" s="1170"/>
      <c r="AO52" s="1170"/>
      <c r="AP52" s="1170"/>
      <c r="AQ52" s="1170"/>
      <c r="AR52" s="1170"/>
      <c r="AS52" s="1170"/>
      <c r="AT52" s="1170"/>
      <c r="AU52" s="1170"/>
      <c r="AV52" s="1170"/>
      <c r="AW52" s="1170"/>
      <c r="AX52" s="1170"/>
      <c r="AY52" s="1170"/>
      <c r="AZ52" s="1170"/>
    </row>
    <row r="53" spans="1:54" ht="9.65" customHeight="1">
      <c r="A53" s="1186"/>
      <c r="B53" s="1186"/>
      <c r="C53" s="1186"/>
      <c r="D53" s="1186"/>
      <c r="E53" s="1186"/>
      <c r="F53" s="1186"/>
      <c r="G53" s="1186"/>
      <c r="H53" s="1186"/>
      <c r="I53" s="1186"/>
      <c r="J53" s="1186"/>
      <c r="K53" s="1186"/>
      <c r="L53" s="1186"/>
      <c r="M53" s="1186"/>
      <c r="N53" s="1186"/>
      <c r="O53" s="1186"/>
      <c r="P53" s="1186"/>
      <c r="Q53" s="1186"/>
      <c r="R53" s="1186"/>
      <c r="S53" s="1186"/>
      <c r="T53" s="1186"/>
      <c r="U53" s="1186"/>
      <c r="V53" s="1186"/>
      <c r="W53" s="1186"/>
      <c r="X53" s="1186"/>
      <c r="Y53" s="1186"/>
      <c r="Z53" s="1186"/>
      <c r="AA53" s="1186"/>
      <c r="AB53" s="1186"/>
      <c r="AC53" s="1186"/>
      <c r="AD53" s="1186"/>
      <c r="AE53" s="1186"/>
      <c r="AF53" s="1186"/>
      <c r="AG53" s="1186"/>
      <c r="AH53" s="1186"/>
      <c r="AI53" s="1186"/>
      <c r="AJ53" s="1186"/>
      <c r="AK53" s="1186"/>
      <c r="AL53" s="1186"/>
      <c r="AM53" s="1186"/>
      <c r="AN53" s="1186"/>
      <c r="AO53" s="1186"/>
      <c r="AP53" s="1186"/>
      <c r="AQ53" s="1186"/>
      <c r="AR53" s="1186"/>
      <c r="AS53" s="1186"/>
      <c r="AT53" s="1186"/>
      <c r="AU53" s="1186"/>
      <c r="AV53" s="1186"/>
      <c r="AW53" s="1186"/>
      <c r="AX53" s="1186"/>
      <c r="AY53" s="1186"/>
      <c r="AZ53" s="1186"/>
    </row>
    <row r="54" spans="1:54" ht="12" customHeight="1">
      <c r="A54" s="1151" t="s">
        <v>788</v>
      </c>
      <c r="B54" s="1151"/>
      <c r="C54" s="1151"/>
      <c r="D54" s="1151"/>
      <c r="E54" s="1151"/>
      <c r="F54" s="1151"/>
      <c r="G54" s="1151"/>
      <c r="H54" s="1151"/>
      <c r="I54" s="1151"/>
      <c r="J54" s="1151"/>
      <c r="K54" s="1151"/>
      <c r="L54" s="1151"/>
      <c r="M54" s="1151"/>
      <c r="N54" s="1151"/>
      <c r="O54" s="1151"/>
      <c r="P54" s="1151"/>
      <c r="Q54" s="1151"/>
      <c r="R54" s="1151"/>
      <c r="S54" s="1151"/>
      <c r="T54" s="1151"/>
      <c r="U54" s="1151"/>
      <c r="V54" s="1151"/>
      <c r="W54" s="1151"/>
      <c r="X54" s="1151"/>
      <c r="Y54" s="1151"/>
      <c r="Z54" s="1151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151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</row>
    <row r="55" spans="1:54" ht="15" customHeight="1" outlineLevel="1">
      <c r="A55" s="1100" t="s">
        <v>79</v>
      </c>
      <c r="B55" s="1100"/>
      <c r="C55" s="1100"/>
      <c r="D55" s="1100"/>
      <c r="E55" s="1100"/>
      <c r="F55" s="1100"/>
      <c r="G55" s="1100"/>
      <c r="H55" s="1100"/>
      <c r="I55" s="1100"/>
      <c r="J55" s="1100"/>
      <c r="K55" s="1100"/>
      <c r="L55" s="1100"/>
      <c r="M55" s="1100"/>
      <c r="N55" s="1100"/>
      <c r="O55" s="1100"/>
      <c r="P55" s="1100"/>
      <c r="Q55" s="1100"/>
      <c r="R55" s="1100"/>
      <c r="S55" s="1100"/>
      <c r="T55" s="1100"/>
      <c r="U55" s="1100"/>
      <c r="V55" s="1100"/>
      <c r="W55" s="1100"/>
      <c r="X55" s="1100"/>
      <c r="Y55" s="1100"/>
      <c r="Z55" s="1100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</row>
    <row r="56" spans="1:54" ht="24.75" customHeight="1" outlineLevel="1">
      <c r="A56" s="1106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106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</row>
    <row r="57" spans="1:54" ht="8.25" customHeight="1" outlineLevel="1">
      <c r="A57" s="1105" t="s">
        <v>523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1105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</row>
    <row r="58" spans="1:54" ht="12" customHeight="1">
      <c r="A58" s="1178" t="s">
        <v>429</v>
      </c>
      <c r="B58" s="1178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8"/>
      <c r="N58" s="1178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8"/>
      <c r="Z58" s="1178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8"/>
      <c r="AL58" s="1178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8"/>
      <c r="AX58" s="1178"/>
      <c r="AY58" s="1178"/>
      <c r="AZ58" s="1178"/>
    </row>
    <row r="59" spans="1:54" ht="12" customHeight="1">
      <c r="A59" s="1181" t="str">
        <f>ФОРМА!D28</f>
        <v>трансформаторной подстанции</v>
      </c>
      <c r="B59" s="1181"/>
      <c r="C59" s="1181"/>
      <c r="D59" s="1181"/>
      <c r="E59" s="1181"/>
      <c r="F59" s="1181"/>
      <c r="G59" s="1181"/>
      <c r="H59" s="1181"/>
      <c r="I59" s="1181"/>
      <c r="J59" s="1181"/>
      <c r="K59" s="1181"/>
      <c r="L59" s="1181"/>
      <c r="M59" s="1181"/>
      <c r="N59" s="1181"/>
      <c r="O59" s="1181"/>
      <c r="P59" s="1181"/>
      <c r="Q59" s="1181"/>
      <c r="R59" s="1181"/>
      <c r="S59" s="1181"/>
      <c r="T59" s="1181"/>
      <c r="U59" s="1181"/>
      <c r="V59" s="1181"/>
      <c r="W59" s="1181"/>
      <c r="X59" s="1181"/>
      <c r="Y59" s="1181"/>
      <c r="Z59" s="1181"/>
      <c r="AA59" s="1181"/>
      <c r="AB59" s="1181"/>
      <c r="AC59" s="1181"/>
      <c r="AD59" s="1181"/>
      <c r="AE59" s="1181"/>
      <c r="AF59" s="1181"/>
      <c r="AG59" s="1181"/>
      <c r="AH59" s="1181"/>
      <c r="AI59" s="1181"/>
      <c r="AJ59" s="1181"/>
      <c r="AK59" s="1181"/>
      <c r="AL59" s="1181"/>
      <c r="AM59" s="1181"/>
      <c r="AN59" s="1181"/>
      <c r="AO59" s="1181"/>
      <c r="AP59" s="1181"/>
      <c r="AQ59" s="1181"/>
      <c r="AR59" s="1181"/>
      <c r="AS59" s="1181"/>
      <c r="AT59" s="1181"/>
      <c r="AU59" s="1181"/>
      <c r="AV59" s="1181"/>
      <c r="AW59" s="1181"/>
      <c r="AX59" s="1181"/>
      <c r="AY59" s="1181"/>
      <c r="AZ59" s="1181"/>
    </row>
    <row r="60" spans="1:54" ht="12" customHeight="1">
      <c r="A60" s="1182" t="s">
        <v>430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</row>
    <row r="61" spans="1:54" ht="37.5" customHeight="1">
      <c r="A61" s="11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83"/>
      <c r="C61" s="1183"/>
      <c r="D61" s="1183"/>
      <c r="E61" s="1183"/>
      <c r="F61" s="1183"/>
      <c r="G61" s="1183"/>
      <c r="H61" s="1183"/>
      <c r="I61" s="1183"/>
      <c r="J61" s="1183"/>
      <c r="K61" s="1183"/>
      <c r="L61" s="1183"/>
      <c r="M61" s="1183"/>
      <c r="N61" s="1183"/>
      <c r="O61" s="1183"/>
      <c r="P61" s="1183"/>
      <c r="Q61" s="1183"/>
      <c r="R61" s="1183"/>
      <c r="S61" s="1183"/>
      <c r="T61" s="1183"/>
      <c r="U61" s="1183"/>
      <c r="V61" s="1183"/>
      <c r="W61" s="1183"/>
      <c r="X61" s="1183"/>
      <c r="Y61" s="1183"/>
      <c r="Z61" s="1183"/>
      <c r="AA61" s="1183"/>
      <c r="AB61" s="1183"/>
      <c r="AC61" s="1183"/>
      <c r="AD61" s="1183"/>
      <c r="AE61" s="1183"/>
      <c r="AF61" s="1183"/>
      <c r="AG61" s="1183"/>
      <c r="AH61" s="1183"/>
      <c r="AI61" s="1183"/>
      <c r="AJ61" s="1183"/>
      <c r="AK61" s="1183"/>
      <c r="AL61" s="1183"/>
      <c r="AM61" s="1183"/>
      <c r="AN61" s="1183"/>
      <c r="AO61" s="1183"/>
      <c r="AP61" s="1183"/>
      <c r="AQ61" s="1183"/>
      <c r="AR61" s="1183"/>
      <c r="AS61" s="1183"/>
      <c r="AT61" s="1183"/>
      <c r="AU61" s="1183"/>
      <c r="AV61" s="1183"/>
      <c r="AW61" s="1183"/>
      <c r="AX61" s="1183"/>
      <c r="AY61" s="1183"/>
      <c r="AZ61" s="1183"/>
    </row>
    <row r="62" spans="1:54" ht="6" customHeight="1">
      <c r="A62" s="1184" t="s">
        <v>431</v>
      </c>
      <c r="B62" s="1184"/>
      <c r="C62" s="1184"/>
      <c r="D62" s="1184"/>
      <c r="E62" s="1184"/>
      <c r="F62" s="1184"/>
      <c r="G62" s="1184"/>
      <c r="H62" s="1184"/>
      <c r="I62" s="1184"/>
      <c r="J62" s="1184"/>
      <c r="K62" s="1184"/>
      <c r="L62" s="1184"/>
      <c r="M62" s="1184"/>
      <c r="N62" s="1184"/>
      <c r="O62" s="1184"/>
      <c r="P62" s="1184"/>
      <c r="Q62" s="1184"/>
      <c r="R62" s="1184"/>
      <c r="S62" s="1184"/>
      <c r="T62" s="1184"/>
      <c r="U62" s="1184"/>
      <c r="V62" s="1184"/>
      <c r="W62" s="1184"/>
      <c r="X62" s="1184"/>
      <c r="Y62" s="1184"/>
      <c r="Z62" s="1184"/>
      <c r="AA62" s="1184"/>
      <c r="AB62" s="1184"/>
      <c r="AC62" s="1184"/>
      <c r="AD62" s="1184"/>
      <c r="AE62" s="1184"/>
      <c r="AF62" s="1184"/>
      <c r="AG62" s="1184"/>
      <c r="AH62" s="1184"/>
      <c r="AI62" s="1184"/>
      <c r="AJ62" s="1184"/>
      <c r="AK62" s="1184"/>
      <c r="AL62" s="1184"/>
      <c r="AM62" s="1184"/>
      <c r="AN62" s="1184"/>
      <c r="AO62" s="1184"/>
      <c r="AP62" s="1184"/>
      <c r="AQ62" s="1184"/>
      <c r="AR62" s="1184"/>
      <c r="AS62" s="1184"/>
      <c r="AT62" s="1184"/>
      <c r="AU62" s="1184"/>
      <c r="AV62" s="1184"/>
      <c r="AW62" s="1184"/>
      <c r="AX62" s="1184"/>
      <c r="AY62" s="1184"/>
      <c r="AZ62" s="1184"/>
    </row>
    <row r="63" spans="1:54" ht="12" customHeight="1">
      <c r="A63" s="1190" t="s">
        <v>432</v>
      </c>
      <c r="B63" s="1190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0"/>
      <c r="N63" s="1190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0"/>
      <c r="Z63" s="1190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0"/>
      <c r="AL63" s="1190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0"/>
      <c r="AX63" s="1190"/>
      <c r="AY63" s="1190"/>
      <c r="AZ63" s="1190"/>
    </row>
    <row r="64" spans="1:54" ht="12" customHeight="1">
      <c r="A64" s="1190" t="s">
        <v>433</v>
      </c>
      <c r="B64" s="1190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0"/>
      <c r="N64" s="1190"/>
      <c r="O64" s="1190"/>
      <c r="P64" s="1190"/>
      <c r="Q64" s="1190"/>
      <c r="R64" s="1190"/>
      <c r="S64" s="1190"/>
      <c r="T64" s="1190"/>
      <c r="U64" s="1181" t="str">
        <f>ФОРМА!B9</f>
        <v>СЭС-23-32939-ЭС-ТКР2</v>
      </c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80" t="s">
        <v>568</v>
      </c>
      <c r="V65" s="1180"/>
      <c r="W65" s="1180"/>
      <c r="X65" s="1180"/>
      <c r="Y65" s="1180"/>
      <c r="Z65" s="1180"/>
      <c r="AA65" s="1180"/>
      <c r="AB65" s="1180"/>
      <c r="AC65" s="1180"/>
      <c r="AD65" s="1180"/>
      <c r="AE65" s="1180"/>
      <c r="AF65" s="1180"/>
      <c r="AG65" s="1180"/>
      <c r="AH65" s="1180"/>
      <c r="AI65" s="1180"/>
      <c r="AJ65" s="1180"/>
      <c r="AK65" s="1180"/>
      <c r="AL65" s="1180"/>
      <c r="AM65" s="1180"/>
      <c r="AN65" s="1180"/>
      <c r="AO65" s="1180"/>
      <c r="AP65" s="1180"/>
      <c r="AQ65" s="1180"/>
      <c r="AR65" s="1180"/>
      <c r="AS65" s="1180"/>
      <c r="AT65" s="1180"/>
      <c r="AU65" s="1180"/>
      <c r="AV65" s="1180"/>
      <c r="AW65" s="1180"/>
      <c r="AX65" s="1180"/>
      <c r="AY65" s="1180"/>
      <c r="AZ65" s="1180"/>
    </row>
    <row r="66" spans="1:56" ht="12" customHeight="1">
      <c r="A66" s="1181" t="str">
        <f>ФОРМА!B8</f>
        <v>ООО «Строительные энергетические технологии»</v>
      </c>
      <c r="B66" s="1181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1"/>
      <c r="N66" s="1181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1"/>
      <c r="Z66" s="1181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1"/>
      <c r="AL66" s="1181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1"/>
      <c r="AX66" s="1181"/>
      <c r="AY66" s="1181"/>
      <c r="AZ66" s="1181"/>
    </row>
    <row r="67" spans="1:56" s="302" customFormat="1" ht="6" customHeight="1">
      <c r="A67" s="1184" t="s">
        <v>571</v>
      </c>
      <c r="B67" s="1184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</row>
    <row r="68" spans="1:56" ht="12" customHeight="1">
      <c r="A68" s="1187" t="s">
        <v>434</v>
      </c>
      <c r="B68" s="1187"/>
      <c r="C68" s="1187"/>
      <c r="D68" s="1187"/>
      <c r="E68" s="1187"/>
      <c r="F68" s="1187"/>
      <c r="G68" s="1187"/>
      <c r="H68" s="1187"/>
      <c r="I68" s="1187"/>
      <c r="J68" s="1187"/>
      <c r="K68" s="1187"/>
      <c r="L68" s="1187"/>
      <c r="M68" s="1187"/>
      <c r="N68" s="1187"/>
      <c r="O68" s="1187"/>
      <c r="P68" s="1187"/>
      <c r="Q68" s="1187"/>
      <c r="R68" s="1187"/>
      <c r="S68" s="1188" t="s">
        <v>435</v>
      </c>
      <c r="T68" s="1188"/>
      <c r="U68" s="1188"/>
      <c r="V68" s="1188"/>
      <c r="W68" s="1188"/>
      <c r="X68" s="1188"/>
      <c r="Y68" s="1188"/>
      <c r="Z68" s="1188"/>
      <c r="AA68" s="1188"/>
      <c r="AB68" s="1188"/>
      <c r="AC68" s="1188"/>
      <c r="AD68" s="1188"/>
      <c r="AE68" s="1188"/>
      <c r="AF68" s="1188"/>
      <c r="AG68" s="1188"/>
      <c r="AH68" s="1188"/>
      <c r="AI68" s="1188"/>
      <c r="AJ68" s="1188"/>
      <c r="AK68" s="1188"/>
      <c r="AL68" s="1188"/>
      <c r="AM68" s="1188"/>
      <c r="AN68" s="1188"/>
      <c r="AO68" s="1188"/>
      <c r="AP68" s="1188"/>
      <c r="AQ68" s="1188"/>
      <c r="AR68" s="1188"/>
      <c r="AS68" s="1188"/>
      <c r="AT68" s="1188"/>
      <c r="AU68" s="1188"/>
      <c r="AV68" s="1188"/>
      <c r="AW68" s="1188"/>
      <c r="AX68" s="1188"/>
      <c r="AY68" s="1188"/>
      <c r="AZ68" s="1188"/>
    </row>
    <row r="69" spans="1:56" ht="12" customHeight="1">
      <c r="A69" s="1189" t="s">
        <v>520</v>
      </c>
      <c r="B69" s="1189"/>
      <c r="C69" s="1189"/>
      <c r="D69" s="1189"/>
      <c r="E69" s="1189"/>
      <c r="F69" s="1189"/>
      <c r="G69" s="1189"/>
      <c r="H69" s="1189"/>
      <c r="I69" s="1189"/>
      <c r="J69" s="1189"/>
      <c r="K69" s="1189"/>
      <c r="L69" s="1189"/>
      <c r="M69" s="1189"/>
      <c r="N69" s="1189"/>
      <c r="O69" s="1189"/>
      <c r="P69" s="1189"/>
      <c r="Q69" s="1189"/>
      <c r="R69" s="1189"/>
      <c r="S69" s="1189"/>
      <c r="T69" s="1189"/>
      <c r="U69" s="1189"/>
      <c r="V69" s="1189"/>
      <c r="W69" s="1189"/>
      <c r="X69" s="1189"/>
      <c r="Y69" s="1189"/>
      <c r="Z69" s="1189"/>
      <c r="AA69" s="1189"/>
      <c r="AB69" s="1189"/>
      <c r="AC69" s="1189"/>
      <c r="AD69" s="1189"/>
      <c r="AE69" s="1189"/>
      <c r="AF69" s="1189"/>
      <c r="AG69" s="1189"/>
      <c r="AH69" s="1189"/>
      <c r="AI69" s="1189"/>
      <c r="AJ69" s="1189"/>
      <c r="AK69" s="1189"/>
      <c r="AL69" s="1189"/>
      <c r="AM69" s="1189"/>
      <c r="AN69" s="1189"/>
      <c r="AO69" s="1189"/>
      <c r="AP69" s="1189"/>
      <c r="AQ69" s="1189"/>
      <c r="AR69" s="1189"/>
      <c r="AS69" s="1189"/>
      <c r="AT69" s="1189"/>
      <c r="AU69" s="1189"/>
      <c r="AV69" s="1189"/>
      <c r="AW69" s="1189"/>
      <c r="AX69" s="1189"/>
      <c r="AY69" s="1189"/>
      <c r="AZ69" s="1189"/>
      <c r="BD69" s="291"/>
    </row>
    <row r="70" spans="1:56" ht="12" customHeight="1">
      <c r="A70" s="1178" t="s">
        <v>436</v>
      </c>
      <c r="B70" s="1178"/>
      <c r="C70" s="1178"/>
      <c r="D70" s="1178"/>
      <c r="E70" s="1178"/>
      <c r="F70" s="1178"/>
      <c r="G70" s="1178"/>
      <c r="H70" s="1178"/>
      <c r="I70" s="1178"/>
      <c r="J70" s="1178"/>
      <c r="K70" s="1178"/>
      <c r="L70" s="1178"/>
      <c r="M70" s="1178"/>
      <c r="N70" s="1178"/>
      <c r="O70" s="1178"/>
      <c r="P70" s="1178"/>
      <c r="Q70" s="1178"/>
      <c r="R70" s="1178"/>
      <c r="S70" s="1178"/>
      <c r="T70" s="1178"/>
      <c r="U70" s="1178"/>
      <c r="V70" s="1178"/>
      <c r="W70" s="1178"/>
      <c r="X70" s="1178"/>
      <c r="Y70" s="1178"/>
      <c r="Z70" s="1178"/>
      <c r="AA70" s="1178"/>
      <c r="AB70" s="1178"/>
      <c r="AC70" s="1178"/>
      <c r="AD70" s="1178"/>
      <c r="AE70" s="1178"/>
      <c r="AF70" s="1178"/>
      <c r="AG70" s="1178"/>
      <c r="AH70" s="1178"/>
      <c r="AI70" s="1178"/>
      <c r="AJ70" s="1178"/>
      <c r="AK70" s="1178"/>
      <c r="AL70" s="1178"/>
      <c r="AM70" s="1178"/>
      <c r="AN70" s="1178"/>
      <c r="AO70" s="1178"/>
      <c r="AP70" s="1178"/>
      <c r="AQ70" s="1178"/>
      <c r="AR70" s="1178"/>
      <c r="AS70" s="1178"/>
      <c r="AT70" s="1178"/>
      <c r="AU70" s="1178"/>
      <c r="AV70" s="1178"/>
      <c r="AW70" s="1178"/>
      <c r="AX70" s="1178"/>
      <c r="AY70" s="1178"/>
      <c r="AZ70" s="1178"/>
      <c r="BA70" s="1178"/>
      <c r="BD70" s="291"/>
    </row>
    <row r="71" spans="1:56" ht="12" customHeight="1">
      <c r="A71" s="1178" t="s">
        <v>521</v>
      </c>
      <c r="B71" s="1178"/>
      <c r="C71" s="1178"/>
      <c r="D71" s="1178"/>
      <c r="E71" s="1178"/>
      <c r="F71" s="1178"/>
      <c r="G71" s="1178"/>
      <c r="H71" s="1178"/>
      <c r="I71" s="1178"/>
      <c r="J71" s="1178"/>
      <c r="K71" s="1178"/>
      <c r="L71" s="1178"/>
      <c r="M71" s="1178"/>
      <c r="N71" s="1178"/>
      <c r="O71" s="1178"/>
      <c r="P71" s="1178"/>
      <c r="Q71" s="1178"/>
      <c r="R71" s="1178"/>
      <c r="S71" s="1178"/>
      <c r="T71" s="1178"/>
      <c r="U71" s="1178"/>
      <c r="V71" s="1178"/>
      <c r="W71" s="1178"/>
      <c r="X71" s="1178"/>
      <c r="Y71" s="1178"/>
      <c r="Z71" s="1178"/>
      <c r="AA71" s="1178"/>
      <c r="AB71" s="1178"/>
      <c r="AC71" s="1178"/>
      <c r="AD71" s="1178"/>
      <c r="AE71" s="1178"/>
      <c r="AF71" s="1178"/>
      <c r="AG71" s="1178"/>
      <c r="AH71" s="1178"/>
      <c r="AI71" s="1178"/>
      <c r="AJ71" s="1178"/>
      <c r="AK71" s="1178"/>
      <c r="AL71" s="1178"/>
      <c r="AM71" s="1178"/>
      <c r="AN71" s="1178"/>
      <c r="AO71" s="1178"/>
      <c r="AP71" s="1178"/>
      <c r="AQ71" s="1178"/>
      <c r="AR71" s="1178"/>
      <c r="AS71" s="1178"/>
      <c r="AT71" s="1178"/>
      <c r="AU71" s="1178"/>
      <c r="AV71" s="1178"/>
      <c r="AW71" s="1178"/>
      <c r="AX71" s="1178"/>
      <c r="AY71" s="1178"/>
      <c r="AZ71" s="1178"/>
      <c r="BA71" s="326"/>
      <c r="BD71" s="297"/>
    </row>
    <row r="72" spans="1:56" ht="12" customHeight="1">
      <c r="A72" s="1188" t="str">
        <f>ФОРМА!B9</f>
        <v>СЭС-23-32939-ЭС-ТКР2</v>
      </c>
      <c r="B72" s="1188"/>
      <c r="C72" s="1188"/>
      <c r="D72" s="1188"/>
      <c r="E72" s="1188"/>
      <c r="F72" s="1188"/>
      <c r="G72" s="1188"/>
      <c r="H72" s="1188"/>
      <c r="I72" s="1188"/>
      <c r="J72" s="1188"/>
      <c r="K72" s="1188"/>
      <c r="L72" s="1188"/>
      <c r="M72" s="1188"/>
      <c r="N72" s="1188"/>
      <c r="O72" s="1188"/>
      <c r="P72" s="1188"/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  <c r="BD72" s="297"/>
    </row>
    <row r="73" spans="1:56" s="327" customFormat="1" ht="6" customHeight="1">
      <c r="A73" s="1195" t="s">
        <v>568</v>
      </c>
      <c r="B73" s="1195"/>
      <c r="C73" s="1195"/>
      <c r="D73" s="1195"/>
      <c r="E73" s="1195"/>
      <c r="F73" s="1195"/>
      <c r="G73" s="1195"/>
      <c r="H73" s="1195"/>
      <c r="I73" s="1195"/>
      <c r="J73" s="1195"/>
      <c r="K73" s="1195"/>
      <c r="L73" s="1195"/>
      <c r="M73" s="1195"/>
      <c r="N73" s="1195"/>
      <c r="O73" s="1195"/>
      <c r="P73" s="1195"/>
      <c r="Q73" s="1195"/>
      <c r="R73" s="1195"/>
      <c r="S73" s="1195"/>
      <c r="T73" s="1195"/>
      <c r="U73" s="1195"/>
      <c r="V73" s="1195"/>
      <c r="W73" s="1195"/>
      <c r="X73" s="1195"/>
      <c r="Y73" s="1195"/>
      <c r="Z73" s="1195"/>
      <c r="AA73" s="1195"/>
      <c r="AB73" s="1195"/>
      <c r="AC73" s="1195"/>
      <c r="AD73" s="1195"/>
      <c r="AE73" s="1195"/>
      <c r="AF73" s="1195"/>
      <c r="AG73" s="1195"/>
      <c r="AH73" s="1195"/>
      <c r="AI73" s="1195"/>
      <c r="AJ73" s="1195"/>
      <c r="AK73" s="1195"/>
      <c r="AL73" s="1195"/>
      <c r="AM73" s="1195"/>
      <c r="AN73" s="1195"/>
      <c r="AO73" s="1195"/>
      <c r="AP73" s="1195"/>
      <c r="AQ73" s="1195"/>
      <c r="AR73" s="1195"/>
      <c r="AS73" s="1195"/>
      <c r="AT73" s="1195"/>
      <c r="AU73" s="1195"/>
      <c r="AV73" s="1195"/>
      <c r="AW73" s="1195"/>
      <c r="AX73" s="1195"/>
      <c r="AY73" s="1195"/>
      <c r="AZ73" s="1195"/>
    </row>
    <row r="74" spans="1:56" ht="12" customHeight="1">
      <c r="A74" s="1099" t="str">
        <f>ФОРМА!B8</f>
        <v>ООО «Строительные энергетические технологии»</v>
      </c>
      <c r="B74" s="1099"/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D74" s="297"/>
    </row>
    <row r="75" spans="1:56" s="328" customFormat="1" ht="6" customHeight="1">
      <c r="A75" s="1195" t="s">
        <v>570</v>
      </c>
      <c r="B75" s="1195"/>
      <c r="C75" s="1195"/>
      <c r="D75" s="1195"/>
      <c r="E75" s="1195"/>
      <c r="F75" s="1195"/>
      <c r="G75" s="1195"/>
      <c r="H75" s="1195"/>
      <c r="I75" s="1195"/>
      <c r="J75" s="1195"/>
      <c r="K75" s="1195"/>
      <c r="L75" s="1195"/>
      <c r="M75" s="1195"/>
      <c r="N75" s="1195"/>
      <c r="O75" s="1195"/>
      <c r="P75" s="1195"/>
      <c r="Q75" s="1195"/>
      <c r="R75" s="1195"/>
      <c r="S75" s="1195"/>
      <c r="T75" s="1195"/>
      <c r="U75" s="1195"/>
      <c r="V75" s="1195"/>
      <c r="W75" s="1195"/>
      <c r="X75" s="1195"/>
      <c r="Y75" s="1195"/>
      <c r="Z75" s="1195"/>
      <c r="AA75" s="1195"/>
      <c r="AB75" s="1195"/>
      <c r="AC75" s="1195"/>
      <c r="AD75" s="1195"/>
      <c r="AE75" s="1195"/>
      <c r="AF75" s="1195"/>
      <c r="AG75" s="1195"/>
      <c r="AH75" s="1195"/>
      <c r="AI75" s="1195"/>
      <c r="AJ75" s="1195"/>
      <c r="AK75" s="1195"/>
      <c r="AL75" s="1195"/>
      <c r="AM75" s="1195"/>
      <c r="AN75" s="1195"/>
      <c r="AO75" s="1195"/>
      <c r="AP75" s="1195"/>
      <c r="AQ75" s="1195"/>
      <c r="AR75" s="1195"/>
      <c r="AS75" s="1195"/>
      <c r="AT75" s="1195"/>
      <c r="AU75" s="1195"/>
      <c r="AV75" s="1195"/>
      <c r="AW75" s="1195"/>
      <c r="AX75" s="1195"/>
      <c r="AY75" s="1195"/>
      <c r="AZ75" s="1195"/>
    </row>
    <row r="76" spans="1:56" ht="12" customHeight="1">
      <c r="A76" s="1196" t="s">
        <v>726</v>
      </c>
      <c r="B76" s="1196"/>
      <c r="C76" s="1196"/>
      <c r="D76" s="1196"/>
      <c r="E76" s="1196"/>
      <c r="F76" s="1196"/>
      <c r="G76" s="1196"/>
      <c r="H76" s="1196"/>
      <c r="I76" s="1196"/>
      <c r="J76" s="1196"/>
      <c r="K76" s="1196"/>
      <c r="L76" s="1196"/>
      <c r="M76" s="1196"/>
      <c r="N76" s="1196"/>
      <c r="O76" s="1196"/>
      <c r="P76" s="1196"/>
      <c r="Q76" s="1196"/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</row>
    <row r="77" spans="1:56" s="314" customFormat="1" ht="6" customHeight="1">
      <c r="A77" s="1197" t="s">
        <v>569</v>
      </c>
      <c r="B77" s="1197"/>
      <c r="C77" s="1197"/>
      <c r="D77" s="1197"/>
      <c r="E77" s="1197"/>
      <c r="F77" s="1197"/>
      <c r="G77" s="1197"/>
      <c r="H77" s="1197"/>
      <c r="I77" s="1197"/>
      <c r="J77" s="1197"/>
      <c r="K77" s="1197"/>
      <c r="L77" s="1197"/>
      <c r="M77" s="1197"/>
      <c r="N77" s="1197"/>
      <c r="O77" s="1197"/>
      <c r="P77" s="1197"/>
      <c r="Q77" s="1197"/>
      <c r="R77" s="1197"/>
      <c r="S77" s="1197"/>
      <c r="T77" s="1197"/>
      <c r="U77" s="1197"/>
      <c r="V77" s="1197"/>
      <c r="W77" s="1197"/>
      <c r="X77" s="1197"/>
      <c r="Y77" s="1197"/>
      <c r="Z77" s="1197"/>
      <c r="AA77" s="1197"/>
      <c r="AB77" s="1197"/>
      <c r="AC77" s="1197"/>
      <c r="AD77" s="1197"/>
      <c r="AE77" s="1197"/>
      <c r="AF77" s="1197"/>
      <c r="AG77" s="1197"/>
      <c r="AH77" s="1197"/>
      <c r="AI77" s="1197"/>
      <c r="AJ77" s="1197"/>
      <c r="AK77" s="1197"/>
      <c r="AL77" s="1197"/>
      <c r="AM77" s="1197"/>
      <c r="AN77" s="1197"/>
      <c r="AO77" s="1197"/>
      <c r="AP77" s="1197"/>
      <c r="AQ77" s="1197"/>
      <c r="AR77" s="1197"/>
      <c r="AS77" s="1197"/>
      <c r="AT77" s="1197"/>
      <c r="AU77" s="1197"/>
      <c r="AV77" s="1197"/>
      <c r="AW77" s="1197"/>
      <c r="AX77" s="1197"/>
      <c r="AY77" s="1197"/>
      <c r="AZ77" s="1197"/>
    </row>
    <row r="78" spans="1:56">
      <c r="A78" s="1193" t="s">
        <v>437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1"/>
      <c r="V79" s="1191"/>
      <c r="W79" s="1191"/>
      <c r="X79" s="1191"/>
      <c r="Y79" s="1191"/>
      <c r="Z79" s="1191"/>
      <c r="AA79" s="1191"/>
      <c r="AB79" s="1191"/>
      <c r="AC79" s="1191"/>
      <c r="AD79" s="1191"/>
      <c r="AE79" s="1191"/>
      <c r="AF79" s="1191"/>
      <c r="AG79" s="1191"/>
      <c r="AH79" s="1191"/>
      <c r="AI79" s="1191"/>
      <c r="AJ79" s="1191"/>
      <c r="AK79" s="1191"/>
      <c r="AL79" s="1191"/>
      <c r="AM79" s="1191"/>
      <c r="AN79" s="1191"/>
      <c r="AO79" s="1191"/>
      <c r="AP79" s="1191"/>
      <c r="AQ79" s="1191"/>
      <c r="AR79" s="1191"/>
      <c r="AS79" s="1191"/>
      <c r="AT79" s="1191"/>
      <c r="AU79" s="1191"/>
      <c r="AV79" s="1191"/>
      <c r="AW79" s="1191"/>
      <c r="AX79" s="1191"/>
      <c r="AY79" s="1191"/>
      <c r="AZ79" s="1191"/>
    </row>
    <row r="80" spans="1:56" ht="12" customHeight="1">
      <c r="A80" s="1100" t="s">
        <v>86</v>
      </c>
      <c r="B80" s="1100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0"/>
      <c r="N80" s="1100"/>
      <c r="O80" s="1100"/>
      <c r="P80" s="1192" t="s">
        <v>65</v>
      </c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</row>
    <row r="81" spans="1:53" ht="11.25" customHeight="1"/>
    <row r="82" spans="1:53" ht="12" customHeight="1">
      <c r="A82" s="1193" t="s">
        <v>90</v>
      </c>
      <c r="B82" s="1193"/>
      <c r="C82" s="1193"/>
      <c r="D82" s="1193"/>
      <c r="E82" s="1193"/>
      <c r="F82" s="1193"/>
      <c r="G82" s="1193"/>
      <c r="H82" s="1193"/>
      <c r="I82" s="1193"/>
      <c r="J82" s="1194">
        <f>ФОРМА!F5</f>
        <v>2</v>
      </c>
      <c r="K82" s="1194"/>
      <c r="L82" s="1194"/>
      <c r="M82" s="1194"/>
      <c r="N82" s="1194"/>
      <c r="O82" s="1194"/>
      <c r="P82" s="1100" t="s">
        <v>796</v>
      </c>
      <c r="Q82" s="1100"/>
      <c r="R82" s="1100"/>
      <c r="S82" s="1100"/>
      <c r="T82" s="1100"/>
      <c r="U82" s="1100"/>
      <c r="V82" s="1100"/>
      <c r="W82" s="1100"/>
      <c r="X82" s="1100"/>
      <c r="Y82" s="1100"/>
      <c r="Z82" s="1100"/>
      <c r="AA82" s="1100"/>
      <c r="AB82" s="1100"/>
      <c r="AC82" s="1100"/>
      <c r="AD82" s="1100"/>
      <c r="AE82" s="1100"/>
      <c r="AF82" s="1100"/>
      <c r="AG82" s="1100"/>
      <c r="AH82" s="1100"/>
      <c r="AI82" s="1100"/>
      <c r="AJ82" s="1100"/>
      <c r="AK82" s="1100"/>
      <c r="AL82" s="1100"/>
      <c r="AM82" s="1100"/>
      <c r="AN82" s="1100"/>
      <c r="AO82" s="1100"/>
      <c r="AP82" s="1100"/>
      <c r="AQ82" s="1100"/>
      <c r="AR82" s="1100"/>
      <c r="AS82" s="1100"/>
      <c r="AT82" s="1100"/>
      <c r="AU82" s="1100"/>
      <c r="AV82" s="1100"/>
      <c r="AW82" s="1100"/>
      <c r="AX82" s="1100"/>
      <c r="AY82" s="1100"/>
      <c r="AZ82" s="1100"/>
    </row>
    <row r="84" spans="1:53" ht="12" customHeight="1">
      <c r="A84" s="1193" t="s">
        <v>87</v>
      </c>
      <c r="B84" s="1193"/>
      <c r="C84" s="1193"/>
      <c r="D84" s="1193"/>
      <c r="E84" s="1193"/>
      <c r="F84" s="1193"/>
      <c r="G84" s="1193"/>
      <c r="H84" s="1202" t="str">
        <f>ФОРМА!E28</f>
        <v>План строительства</v>
      </c>
      <c r="I84" s="1202"/>
      <c r="J84" s="1202"/>
      <c r="K84" s="1202"/>
      <c r="L84" s="1202"/>
      <c r="M84" s="1202"/>
      <c r="N84" s="1202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2"/>
      <c r="Z84" s="1202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2"/>
      <c r="AL84" s="1202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2"/>
      <c r="AX84" s="1202"/>
      <c r="AY84" s="1202"/>
      <c r="AZ84" s="1202"/>
    </row>
    <row r="85" spans="1:53" s="325" customFormat="1" ht="6" customHeight="1">
      <c r="H85" s="1203" t="s">
        <v>522</v>
      </c>
      <c r="I85" s="1203"/>
      <c r="J85" s="1203"/>
      <c r="K85" s="1203"/>
      <c r="L85" s="1203"/>
      <c r="M85" s="1203"/>
      <c r="N85" s="1203"/>
      <c r="O85" s="1203"/>
      <c r="P85" s="1203"/>
      <c r="Q85" s="1203"/>
      <c r="R85" s="1203"/>
      <c r="S85" s="1203"/>
      <c r="T85" s="1203"/>
      <c r="U85" s="1203"/>
      <c r="V85" s="1203"/>
      <c r="W85" s="1203"/>
      <c r="X85" s="1203"/>
      <c r="Y85" s="1203"/>
      <c r="Z85" s="1203"/>
      <c r="AA85" s="1203"/>
      <c r="AB85" s="1203"/>
      <c r="AC85" s="1203"/>
      <c r="AD85" s="1203"/>
      <c r="AE85" s="1203"/>
      <c r="AF85" s="1203"/>
      <c r="AG85" s="1203"/>
      <c r="AH85" s="1203"/>
      <c r="AI85" s="1203"/>
      <c r="AJ85" s="1203"/>
      <c r="AK85" s="1203"/>
      <c r="AL85" s="1203"/>
      <c r="AM85" s="1203"/>
      <c r="AN85" s="1203"/>
      <c r="AO85" s="1203"/>
      <c r="AP85" s="1203"/>
      <c r="AQ85" s="1203"/>
      <c r="AR85" s="1203"/>
      <c r="AS85" s="1203"/>
      <c r="AT85" s="1203"/>
      <c r="AU85" s="1203"/>
      <c r="AV85" s="1203"/>
      <c r="AW85" s="1203"/>
      <c r="AX85" s="1203"/>
      <c r="AY85" s="1203"/>
      <c r="AZ85" s="1203"/>
    </row>
    <row r="86" spans="1:53" ht="24" customHeight="1">
      <c r="A86" s="1198" t="s">
        <v>780</v>
      </c>
      <c r="B86" s="1198"/>
      <c r="C86" s="1198"/>
      <c r="D86" s="1198"/>
      <c r="E86" s="1198"/>
      <c r="F86" s="1198"/>
      <c r="G86" s="1198"/>
      <c r="H86" s="1198"/>
      <c r="I86" s="1198"/>
      <c r="J86" s="1198"/>
      <c r="K86" s="1198"/>
      <c r="L86" s="1198"/>
      <c r="M86" s="1198"/>
      <c r="N86" s="1198"/>
      <c r="O86" s="1198"/>
      <c r="P86" s="1198"/>
      <c r="Q86" s="1198"/>
      <c r="R86" s="1198"/>
      <c r="S86" s="1198"/>
      <c r="T86" s="1198"/>
      <c r="U86" s="1198"/>
      <c r="V86" s="1198"/>
      <c r="W86" s="1198"/>
      <c r="X86" s="1198"/>
      <c r="Y86" s="1198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8"/>
      <c r="AP86" s="1198"/>
      <c r="AQ86" s="1198"/>
      <c r="AR86" s="1198"/>
      <c r="AS86" s="1198"/>
      <c r="AT86" s="1198"/>
      <c r="AU86" s="1198"/>
      <c r="AV86" s="1198"/>
      <c r="AW86" s="1198"/>
      <c r="AX86" s="1198"/>
      <c r="AY86" s="1198"/>
      <c r="AZ86" s="1198"/>
    </row>
    <row r="87" spans="1:53" ht="28.9" customHeight="1">
      <c r="A87" s="1204" t="str">
        <f>IF(ПОДПИСИ!B9="",ПОДПИСИ!D5,ПОДПИСИ!D9)</f>
        <v>Филёва Н.О.</v>
      </c>
      <c r="B87" s="1204"/>
      <c r="C87" s="1204"/>
      <c r="D87" s="1204"/>
      <c r="E87" s="1204"/>
      <c r="F87" s="1204"/>
      <c r="G87" s="1204"/>
      <c r="H87" s="1204"/>
      <c r="I87" s="1204"/>
      <c r="J87" s="1204"/>
      <c r="K87" s="1204"/>
      <c r="L87" s="1204"/>
      <c r="M87" s="1204"/>
      <c r="N87" s="1204"/>
      <c r="O87" s="1204"/>
      <c r="P87" s="1204"/>
      <c r="Q87" s="1204"/>
      <c r="R87" s="1204"/>
      <c r="S87" s="1204"/>
      <c r="T87" s="1204"/>
      <c r="U87" s="1204"/>
      <c r="V87" s="1204"/>
      <c r="W87" s="1204"/>
      <c r="X87" s="1204"/>
      <c r="Y87" s="1204"/>
      <c r="Z87" s="1205"/>
      <c r="AA87" s="1205"/>
      <c r="AB87" s="1205"/>
      <c r="AC87" s="1205"/>
      <c r="AD87" s="1205"/>
      <c r="AE87" s="1205"/>
      <c r="AF87" s="1205"/>
      <c r="AG87" s="1205"/>
      <c r="AH87" s="1205"/>
      <c r="AI87" s="1205"/>
      <c r="AJ87" s="1205"/>
      <c r="AK87" s="1205"/>
      <c r="AL87" s="1205"/>
      <c r="AM87" s="1205"/>
      <c r="AN87" s="1205"/>
      <c r="AO87" s="1206"/>
      <c r="AP87" s="1206"/>
      <c r="AQ87" s="1206"/>
      <c r="AR87" s="1206"/>
      <c r="AS87" s="1206"/>
      <c r="AT87" s="1206"/>
      <c r="AU87" s="1206"/>
      <c r="AV87" s="1206"/>
      <c r="AW87" s="1206"/>
      <c r="AX87" s="1206"/>
      <c r="AY87" s="1206"/>
      <c r="AZ87" s="1206"/>
    </row>
    <row r="88" spans="1:53" s="314" customFormat="1" ht="6" customHeight="1">
      <c r="A88" s="1180" t="s">
        <v>799</v>
      </c>
      <c r="B88" s="1180"/>
      <c r="C88" s="1180"/>
      <c r="D88" s="1180"/>
      <c r="E88" s="1180"/>
      <c r="F88" s="1180"/>
      <c r="G88" s="1180"/>
      <c r="H88" s="1180"/>
      <c r="I88" s="1180"/>
      <c r="J88" s="1180"/>
      <c r="K88" s="1180"/>
      <c r="L88" s="1180"/>
      <c r="M88" s="1180"/>
      <c r="N88" s="1180"/>
      <c r="O88" s="1180"/>
      <c r="P88" s="1180"/>
      <c r="Q88" s="1180"/>
      <c r="R88" s="1180"/>
      <c r="S88" s="1180"/>
      <c r="T88" s="1180"/>
      <c r="U88" s="1180"/>
      <c r="V88" s="1180"/>
      <c r="W88" s="1180"/>
      <c r="X88" s="1180"/>
      <c r="Y88" s="1180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80" t="s">
        <v>49</v>
      </c>
      <c r="AP88" s="1180"/>
      <c r="AQ88" s="1180"/>
      <c r="AR88" s="1180"/>
      <c r="AS88" s="1180"/>
      <c r="AT88" s="1180"/>
      <c r="AU88" s="1180"/>
      <c r="AV88" s="1180"/>
      <c r="AW88" s="1180"/>
      <c r="AX88" s="1180"/>
      <c r="AY88" s="1180"/>
      <c r="AZ88" s="1180"/>
    </row>
    <row r="89" spans="1:53" ht="6" customHeight="1"/>
    <row r="90" spans="1:53" ht="12" customHeight="1">
      <c r="A90" s="1198" t="s">
        <v>815</v>
      </c>
      <c r="B90" s="1100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0"/>
      <c r="N90" s="1100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0"/>
      <c r="Z90" s="1100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0"/>
      <c r="AL90" s="1100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0"/>
      <c r="AX90" s="1100"/>
      <c r="AY90" s="1100"/>
      <c r="AZ90" s="1100"/>
    </row>
    <row r="91" spans="1:53" ht="28.9" customHeight="1">
      <c r="A91" s="1199" t="str">
        <f>ПОДПИСИ!D15</f>
        <v>Матвеев А.С.</v>
      </c>
      <c r="B91" s="1199"/>
      <c r="C91" s="1199"/>
      <c r="D91" s="1199"/>
      <c r="E91" s="1199"/>
      <c r="F91" s="1199"/>
      <c r="G91" s="1199"/>
      <c r="H91" s="1199"/>
      <c r="I91" s="1199"/>
      <c r="J91" s="1199"/>
      <c r="K91" s="1199"/>
      <c r="L91" s="1199"/>
      <c r="M91" s="1199"/>
      <c r="N91" s="1199"/>
      <c r="O91" s="1199"/>
      <c r="P91" s="1199"/>
      <c r="Q91" s="1199"/>
      <c r="R91" s="1199"/>
      <c r="S91" s="1199"/>
      <c r="T91" s="1199"/>
      <c r="U91" s="1199"/>
      <c r="V91" s="1199"/>
      <c r="W91" s="1199"/>
      <c r="X91" s="1199"/>
      <c r="Y91" s="1199"/>
      <c r="Z91" s="1200"/>
      <c r="AA91" s="1200"/>
      <c r="AB91" s="1200"/>
      <c r="AC91" s="1200"/>
      <c r="AD91" s="1200"/>
      <c r="AE91" s="1200"/>
      <c r="AF91" s="1200"/>
      <c r="AG91" s="1200"/>
      <c r="AH91" s="1200"/>
      <c r="AI91" s="1200"/>
      <c r="AJ91" s="1200"/>
      <c r="AK91" s="1200"/>
      <c r="AL91" s="1200"/>
      <c r="AM91" s="1200"/>
      <c r="AN91" s="1200"/>
      <c r="AO91" s="1201"/>
      <c r="AP91" s="1201"/>
      <c r="AQ91" s="1201"/>
      <c r="AR91" s="1201"/>
      <c r="AS91" s="1201"/>
      <c r="AT91" s="1201"/>
      <c r="AU91" s="1201"/>
      <c r="AV91" s="1201"/>
      <c r="AW91" s="1201"/>
      <c r="AX91" s="1201"/>
      <c r="AY91" s="1201"/>
      <c r="AZ91" s="1201"/>
      <c r="BA91" s="330"/>
    </row>
    <row r="92" spans="1:53" s="333" customFormat="1" ht="6" customHeight="1">
      <c r="A92" s="1180" t="s">
        <v>799</v>
      </c>
      <c r="B92" s="1180"/>
      <c r="C92" s="1180"/>
      <c r="D92" s="1180"/>
      <c r="E92" s="1180"/>
      <c r="F92" s="1180"/>
      <c r="G92" s="1180"/>
      <c r="H92" s="1180"/>
      <c r="I92" s="1180"/>
      <c r="J92" s="1180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  <c r="U92" s="1180"/>
      <c r="V92" s="1180"/>
      <c r="W92" s="1180"/>
      <c r="X92" s="1180"/>
      <c r="Y92" s="1180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80" t="s">
        <v>49</v>
      </c>
      <c r="AP92" s="1180"/>
      <c r="AQ92" s="1180"/>
      <c r="AR92" s="1180"/>
      <c r="AS92" s="1180"/>
      <c r="AT92" s="1180"/>
      <c r="AU92" s="1180"/>
      <c r="AV92" s="1180"/>
      <c r="AW92" s="1180"/>
      <c r="AX92" s="1180"/>
      <c r="AY92" s="1180"/>
      <c r="AZ92" s="1180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209" t="s">
        <v>811</v>
      </c>
      <c r="B94" s="1209"/>
      <c r="C94" s="1209"/>
      <c r="D94" s="1209"/>
      <c r="E94" s="1209"/>
      <c r="F94" s="1209"/>
      <c r="G94" s="1209"/>
      <c r="H94" s="1209"/>
      <c r="I94" s="1209"/>
      <c r="J94" s="1209"/>
      <c r="K94" s="1209"/>
      <c r="L94" s="1209"/>
      <c r="M94" s="1209"/>
      <c r="N94" s="1209"/>
      <c r="O94" s="1209"/>
      <c r="P94" s="1209"/>
      <c r="Q94" s="1209"/>
      <c r="R94" s="1209"/>
      <c r="S94" s="1209"/>
      <c r="T94" s="1209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209"/>
      <c r="AT94" s="1209"/>
      <c r="AU94" s="1209"/>
      <c r="AV94" s="1209"/>
      <c r="AW94" s="1209"/>
      <c r="AX94" s="1209"/>
      <c r="AY94" s="1209"/>
      <c r="AZ94" s="1209"/>
      <c r="BA94" s="330"/>
    </row>
    <row r="95" spans="1:53" ht="28.9" customHeight="1">
      <c r="A95" s="1199" t="str">
        <f>ПОДПИСИ!D17</f>
        <v>Матвеев А.С.</v>
      </c>
      <c r="B95" s="1199"/>
      <c r="C95" s="1199"/>
      <c r="D95" s="1199"/>
      <c r="E95" s="1199"/>
      <c r="F95" s="1199"/>
      <c r="G95" s="1199"/>
      <c r="H95" s="1199"/>
      <c r="I95" s="1199"/>
      <c r="J95" s="1199"/>
      <c r="K95" s="1199"/>
      <c r="L95" s="1199"/>
      <c r="M95" s="1199"/>
      <c r="N95" s="1199"/>
      <c r="O95" s="1199"/>
      <c r="P95" s="1199"/>
      <c r="Q95" s="1199"/>
      <c r="R95" s="1199"/>
      <c r="S95" s="1199"/>
      <c r="T95" s="1199"/>
      <c r="U95" s="1199"/>
      <c r="V95" s="1199"/>
      <c r="W95" s="1199"/>
      <c r="X95" s="1199"/>
      <c r="Y95" s="1199"/>
      <c r="Z95" s="1200"/>
      <c r="AA95" s="1200"/>
      <c r="AB95" s="1200"/>
      <c r="AC95" s="1200"/>
      <c r="AD95" s="1200"/>
      <c r="AE95" s="1200"/>
      <c r="AF95" s="1200"/>
      <c r="AG95" s="1200"/>
      <c r="AH95" s="1200"/>
      <c r="AI95" s="1200"/>
      <c r="AJ95" s="1200"/>
      <c r="AK95" s="1200"/>
      <c r="AL95" s="1200"/>
      <c r="AM95" s="1200"/>
      <c r="AN95" s="1200"/>
      <c r="AO95" s="1210" t="s">
        <v>64</v>
      </c>
      <c r="AP95" s="1210"/>
      <c r="AQ95" s="1210"/>
      <c r="AR95" s="1210"/>
      <c r="AS95" s="1210"/>
      <c r="AT95" s="1210"/>
      <c r="AU95" s="1210"/>
      <c r="AV95" s="1210"/>
      <c r="AW95" s="1210"/>
      <c r="AX95" s="1210"/>
      <c r="AY95" s="1210"/>
      <c r="AZ95" s="1210"/>
      <c r="BA95" s="1210"/>
    </row>
    <row r="96" spans="1:53" ht="6" customHeight="1">
      <c r="A96" s="1180" t="s">
        <v>799</v>
      </c>
      <c r="B96" s="1180"/>
      <c r="C96" s="1180"/>
      <c r="D96" s="1180"/>
      <c r="E96" s="1180"/>
      <c r="F96" s="1180"/>
      <c r="G96" s="1180"/>
      <c r="H96" s="1180"/>
      <c r="I96" s="1180"/>
      <c r="J96" s="1180"/>
      <c r="K96" s="1180"/>
      <c r="L96" s="1180"/>
      <c r="M96" s="1180"/>
      <c r="N96" s="1180"/>
      <c r="O96" s="1180"/>
      <c r="P96" s="1180"/>
      <c r="Q96" s="1180"/>
      <c r="R96" s="1180"/>
      <c r="S96" s="1180"/>
      <c r="T96" s="1180"/>
      <c r="U96" s="1180"/>
      <c r="V96" s="1180"/>
      <c r="W96" s="1180"/>
      <c r="X96" s="1180"/>
      <c r="Y96" s="1180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80" t="s">
        <v>49</v>
      </c>
      <c r="AP96" s="1180"/>
      <c r="AQ96" s="1180"/>
      <c r="AR96" s="1180"/>
      <c r="AS96" s="1180"/>
      <c r="AT96" s="1180"/>
      <c r="AU96" s="1180"/>
      <c r="AV96" s="1180"/>
      <c r="AW96" s="1180"/>
      <c r="AX96" s="1180"/>
      <c r="AY96" s="1180"/>
      <c r="AZ96" s="1180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207" t="s">
        <v>801</v>
      </c>
      <c r="B98" s="1208"/>
      <c r="C98" s="1208"/>
      <c r="D98" s="1208"/>
      <c r="E98" s="1208"/>
      <c r="F98" s="1208"/>
      <c r="G98" s="1208"/>
      <c r="H98" s="1208"/>
      <c r="I98" s="1208"/>
      <c r="J98" s="1208"/>
      <c r="K98" s="1208"/>
      <c r="L98" s="1208"/>
      <c r="M98" s="1208"/>
      <c r="N98" s="1208"/>
      <c r="O98" s="1208"/>
      <c r="P98" s="1208"/>
      <c r="Q98" s="1208"/>
      <c r="R98" s="1208"/>
      <c r="S98" s="1208"/>
      <c r="T98" s="1208"/>
      <c r="U98" s="1208"/>
      <c r="V98" s="1208"/>
      <c r="W98" s="1208"/>
      <c r="X98" s="1208"/>
      <c r="Y98" s="1208"/>
      <c r="Z98" s="1208"/>
      <c r="AA98" s="1208"/>
      <c r="AB98" s="1208"/>
      <c r="AC98" s="1208"/>
      <c r="AD98" s="1208"/>
      <c r="AE98" s="1208"/>
      <c r="AF98" s="1208"/>
      <c r="AG98" s="1208"/>
      <c r="AH98" s="1208"/>
      <c r="AI98" s="1208"/>
      <c r="AJ98" s="1208"/>
      <c r="AK98" s="1208"/>
      <c r="AL98" s="1208"/>
      <c r="AM98" s="1208"/>
      <c r="AN98" s="1208"/>
      <c r="AO98" s="1208"/>
      <c r="AP98" s="1208"/>
      <c r="AQ98" s="1208"/>
      <c r="AR98" s="1208"/>
      <c r="AS98" s="1208"/>
      <c r="AT98" s="1208"/>
      <c r="AU98" s="1208"/>
      <c r="AV98" s="1208"/>
      <c r="AW98" s="1208"/>
      <c r="AX98" s="1208"/>
      <c r="AY98" s="1208"/>
      <c r="AZ98" s="1208"/>
      <c r="BA98" s="330"/>
    </row>
    <row r="99" spans="1:55" ht="28.9" customHeight="1">
      <c r="A99" s="1199" t="str">
        <f>ПОДПИСИ!C19</f>
        <v xml:space="preserve"> </v>
      </c>
      <c r="B99" s="1199"/>
      <c r="C99" s="1199"/>
      <c r="D99" s="1199"/>
      <c r="E99" s="1199"/>
      <c r="F99" s="1199"/>
      <c r="G99" s="1199"/>
      <c r="H99" s="1199"/>
      <c r="I99" s="1199"/>
      <c r="J99" s="1199"/>
      <c r="K99" s="1199"/>
      <c r="L99" s="1199"/>
      <c r="M99" s="1199"/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200"/>
      <c r="AA99" s="1200"/>
      <c r="AB99" s="1200"/>
      <c r="AC99" s="1200"/>
      <c r="AD99" s="1200"/>
      <c r="AE99" s="1200"/>
      <c r="AF99" s="1200"/>
      <c r="AG99" s="1200"/>
      <c r="AH99" s="1200"/>
      <c r="AI99" s="1200"/>
      <c r="AJ99" s="1200"/>
      <c r="AK99" s="1200"/>
      <c r="AL99" s="1200"/>
      <c r="AM99" s="1200"/>
      <c r="AN99" s="1200"/>
      <c r="AO99" s="1201" t="s">
        <v>64</v>
      </c>
      <c r="AP99" s="1201"/>
      <c r="AQ99" s="1201"/>
      <c r="AR99" s="1201"/>
      <c r="AS99" s="1201"/>
      <c r="AT99" s="1201"/>
      <c r="AU99" s="1201"/>
      <c r="AV99" s="1201"/>
      <c r="AW99" s="1201"/>
      <c r="AX99" s="1201"/>
      <c r="AY99" s="1201"/>
      <c r="AZ99" s="1201"/>
      <c r="BA99" s="336"/>
    </row>
    <row r="100" spans="1:55" ht="6" customHeight="1">
      <c r="A100" s="1180" t="s">
        <v>799</v>
      </c>
      <c r="B100" s="1180"/>
      <c r="C100" s="1180"/>
      <c r="D100" s="1180"/>
      <c r="E100" s="1180"/>
      <c r="F100" s="1180"/>
      <c r="G100" s="1180"/>
      <c r="H100" s="1180"/>
      <c r="I100" s="1180"/>
      <c r="J100" s="1180"/>
      <c r="K100" s="1180"/>
      <c r="L100" s="1180"/>
      <c r="M100" s="1180"/>
      <c r="N100" s="1180"/>
      <c r="O100" s="1180"/>
      <c r="P100" s="1180"/>
      <c r="Q100" s="1180"/>
      <c r="R100" s="1180"/>
      <c r="S100" s="1180"/>
      <c r="T100" s="1180"/>
      <c r="U100" s="1180"/>
      <c r="V100" s="1180"/>
      <c r="W100" s="1180"/>
      <c r="X100" s="1180"/>
      <c r="Y100" s="1180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80" t="s">
        <v>49</v>
      </c>
      <c r="AP100" s="1180"/>
      <c r="AQ100" s="1180"/>
      <c r="AR100" s="1180"/>
      <c r="AS100" s="1180"/>
      <c r="AT100" s="1180"/>
      <c r="AU100" s="1180"/>
      <c r="AV100" s="1180"/>
      <c r="AW100" s="1180"/>
      <c r="AX100" s="1180"/>
      <c r="AY100" s="1180"/>
      <c r="AZ100" s="1180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207" t="s">
        <v>816</v>
      </c>
      <c r="B102" s="1207"/>
      <c r="C102" s="1207"/>
      <c r="D102" s="1207"/>
      <c r="E102" s="1207"/>
      <c r="F102" s="1207"/>
      <c r="G102" s="1207"/>
      <c r="H102" s="1207"/>
      <c r="I102" s="1207"/>
      <c r="J102" s="1207"/>
      <c r="K102" s="1207"/>
      <c r="L102" s="1207"/>
      <c r="M102" s="1207"/>
      <c r="N102" s="1207"/>
      <c r="O102" s="1207"/>
      <c r="P102" s="1207"/>
      <c r="Q102" s="1207"/>
      <c r="R102" s="1207"/>
      <c r="S102" s="1207"/>
      <c r="T102" s="1207"/>
      <c r="U102" s="1207"/>
      <c r="V102" s="1207"/>
      <c r="W102" s="1207"/>
      <c r="X102" s="1207"/>
      <c r="Y102" s="1207"/>
      <c r="Z102" s="1207"/>
      <c r="AA102" s="1207"/>
      <c r="AB102" s="1207"/>
      <c r="AC102" s="1207"/>
      <c r="AD102" s="1207"/>
      <c r="AE102" s="1207"/>
      <c r="AF102" s="1207"/>
      <c r="AG102" s="1207"/>
      <c r="AH102" s="1207"/>
      <c r="AI102" s="1207"/>
      <c r="AJ102" s="1207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07"/>
      <c r="AZ102" s="1207"/>
      <c r="BA102" s="330"/>
    </row>
    <row r="103" spans="1:55" ht="28.9" customHeight="1">
      <c r="A103" s="1199" t="str">
        <f>ПОДПИСИ!D14</f>
        <v>Алексеенков Д.С.</v>
      </c>
      <c r="B103" s="1199"/>
      <c r="C103" s="1199"/>
      <c r="D103" s="1199"/>
      <c r="E103" s="1199"/>
      <c r="F103" s="1199"/>
      <c r="G103" s="1199"/>
      <c r="H103" s="1199"/>
      <c r="I103" s="1199"/>
      <c r="J103" s="1199"/>
      <c r="K103" s="1199"/>
      <c r="L103" s="1199"/>
      <c r="M103" s="1199"/>
      <c r="N103" s="1199"/>
      <c r="O103" s="1199"/>
      <c r="P103" s="1199"/>
      <c r="Q103" s="1199"/>
      <c r="R103" s="1199"/>
      <c r="S103" s="1199"/>
      <c r="T103" s="1199"/>
      <c r="U103" s="1199"/>
      <c r="V103" s="1199"/>
      <c r="W103" s="1199"/>
      <c r="X103" s="1199"/>
      <c r="Y103" s="1199"/>
      <c r="Z103" s="1200"/>
      <c r="AA103" s="1200"/>
      <c r="AB103" s="1200"/>
      <c r="AC103" s="1200"/>
      <c r="AD103" s="1200"/>
      <c r="AE103" s="1200"/>
      <c r="AF103" s="1200"/>
      <c r="AG103" s="1200"/>
      <c r="AH103" s="1200"/>
      <c r="AI103" s="1200"/>
      <c r="AJ103" s="1200"/>
      <c r="AK103" s="1200"/>
      <c r="AL103" s="1200"/>
      <c r="AM103" s="1200"/>
      <c r="AN103" s="1200"/>
      <c r="AO103" s="1201"/>
      <c r="AP103" s="1201"/>
      <c r="AQ103" s="1201"/>
      <c r="AR103" s="1201"/>
      <c r="AS103" s="1201"/>
      <c r="AT103" s="1201"/>
      <c r="AU103" s="1201"/>
      <c r="AV103" s="1201"/>
      <c r="AW103" s="1201"/>
      <c r="AX103" s="1201"/>
      <c r="AY103" s="1201"/>
      <c r="AZ103" s="1201"/>
      <c r="BA103" s="337"/>
      <c r="BB103" s="316"/>
      <c r="BC103" s="316"/>
    </row>
    <row r="104" spans="1:55" s="305" customFormat="1" ht="6" customHeight="1">
      <c r="A104" s="1180" t="s">
        <v>799</v>
      </c>
      <c r="B104" s="1180"/>
      <c r="C104" s="1180"/>
      <c r="D104" s="1180"/>
      <c r="E104" s="1180"/>
      <c r="F104" s="1180"/>
      <c r="G104" s="1180"/>
      <c r="H104" s="1180"/>
      <c r="I104" s="1180"/>
      <c r="J104" s="1180"/>
      <c r="K104" s="1180"/>
      <c r="L104" s="1180"/>
      <c r="M104" s="1180"/>
      <c r="N104" s="1180"/>
      <c r="O104" s="1180"/>
      <c r="P104" s="1180"/>
      <c r="Q104" s="1180"/>
      <c r="R104" s="1180"/>
      <c r="S104" s="1180"/>
      <c r="T104" s="1180"/>
      <c r="U104" s="1180"/>
      <c r="V104" s="1180"/>
      <c r="W104" s="1180"/>
      <c r="X104" s="1180"/>
      <c r="Y104" s="1180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80" t="s">
        <v>49</v>
      </c>
      <c r="AP104" s="1180"/>
      <c r="AQ104" s="1180"/>
      <c r="AR104" s="1180"/>
      <c r="AS104" s="1180"/>
      <c r="AT104" s="1180"/>
      <c r="AU104" s="1180"/>
      <c r="AV104" s="1180"/>
      <c r="AW104" s="1180"/>
      <c r="AX104" s="1180"/>
      <c r="AY104" s="1180"/>
      <c r="AZ104" s="1180"/>
    </row>
    <row r="105" spans="1:55">
      <c r="A105" s="1163" t="s">
        <v>942</v>
      </c>
      <c r="B105" s="1163"/>
      <c r="C105" s="1163"/>
      <c r="D105" s="1163"/>
      <c r="E105" s="1163"/>
      <c r="F105" s="1163"/>
      <c r="G105" s="1163"/>
      <c r="H105" s="1163"/>
      <c r="I105" s="1163"/>
      <c r="J105" s="1163"/>
      <c r="K105" s="1163"/>
      <c r="L105" s="1163"/>
      <c r="M105" s="1163"/>
      <c r="N105" s="1163"/>
      <c r="O105" s="1163"/>
      <c r="P105" s="1163"/>
      <c r="Q105" s="1163"/>
      <c r="R105" s="1163"/>
      <c r="S105" s="1163"/>
      <c r="T105" s="1163"/>
      <c r="U105" s="1163"/>
      <c r="V105" s="1163"/>
      <c r="W105" s="1163"/>
      <c r="X105" s="1163"/>
      <c r="Y105" s="1163"/>
      <c r="Z105" s="1163"/>
      <c r="AA105" s="1163"/>
      <c r="AB105" s="1163"/>
      <c r="AC105" s="1163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V105" s="1163"/>
      <c r="AW105" s="1163"/>
      <c r="AX105" s="1163"/>
      <c r="AY105" s="1163"/>
      <c r="AZ105" s="1163"/>
    </row>
    <row r="106" spans="1:55" ht="28.9" customHeight="1">
      <c r="A106" s="1158" t="str">
        <f>IF(ПОДПИСИ!D9="","",ПОДПИСИ!D5)</f>
        <v>Чечин Д.М.</v>
      </c>
      <c r="B106" s="1158"/>
      <c r="C106" s="1158"/>
      <c r="D106" s="1158"/>
      <c r="E106" s="1158"/>
      <c r="F106" s="1158"/>
      <c r="G106" s="1158"/>
      <c r="H106" s="1158"/>
      <c r="I106" s="1158"/>
      <c r="J106" s="1158"/>
      <c r="K106" s="1158"/>
      <c r="L106" s="1158"/>
      <c r="M106" s="1158"/>
      <c r="N106" s="1158"/>
      <c r="O106" s="1158"/>
      <c r="P106" s="1158"/>
      <c r="Q106" s="1158"/>
      <c r="R106" s="1158"/>
      <c r="S106" s="1158"/>
      <c r="T106" s="1158"/>
      <c r="U106" s="1158"/>
      <c r="V106" s="1158"/>
      <c r="W106" s="1158"/>
      <c r="X106" s="1158"/>
      <c r="Y106" s="1158"/>
      <c r="Z106" s="1159"/>
      <c r="AA106" s="1159"/>
      <c r="AB106" s="1159"/>
      <c r="AC106" s="1159"/>
      <c r="AD106" s="1159"/>
      <c r="AE106" s="1159"/>
      <c r="AF106" s="1159"/>
      <c r="AG106" s="1159"/>
      <c r="AH106" s="1159"/>
      <c r="AI106" s="1159"/>
      <c r="AJ106" s="1159"/>
      <c r="AK106" s="1159"/>
      <c r="AL106" s="1159"/>
      <c r="AM106" s="1159"/>
      <c r="AN106" s="1159"/>
      <c r="AO106" s="1160"/>
      <c r="AP106" s="1160"/>
      <c r="AQ106" s="1160"/>
      <c r="AR106" s="1160"/>
      <c r="AS106" s="1160"/>
      <c r="AT106" s="1160"/>
      <c r="AU106" s="1160"/>
      <c r="AV106" s="1160"/>
      <c r="AW106" s="1160"/>
      <c r="AX106" s="1160"/>
      <c r="AY106" s="1160"/>
      <c r="AZ106" s="1160"/>
    </row>
    <row r="107" spans="1:55" ht="9.75" customHeight="1">
      <c r="A107" s="1131" t="s">
        <v>799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  <c r="L107" s="1131"/>
      <c r="M107" s="1131"/>
      <c r="N107" s="1131"/>
      <c r="O107" s="1131"/>
      <c r="P107" s="1131"/>
      <c r="Q107" s="1131"/>
      <c r="R107" s="1131"/>
      <c r="S107" s="1131"/>
      <c r="T107" s="1131"/>
      <c r="U107" s="1131"/>
      <c r="V107" s="1131"/>
      <c r="W107" s="1131"/>
      <c r="X107" s="1131"/>
      <c r="Y107" s="113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31" t="s">
        <v>49</v>
      </c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75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9.1796875" style="284"/>
    <col min="255" max="307" width="1.54296875" style="284" customWidth="1"/>
    <col min="308" max="308" width="0.1796875" style="284" customWidth="1"/>
    <col min="309" max="510" width="9.1796875" style="284"/>
    <col min="511" max="563" width="1.54296875" style="284" customWidth="1"/>
    <col min="564" max="564" width="0.1796875" style="284" customWidth="1"/>
    <col min="565" max="766" width="9.1796875" style="284"/>
    <col min="767" max="819" width="1.54296875" style="284" customWidth="1"/>
    <col min="820" max="820" width="0.1796875" style="284" customWidth="1"/>
    <col min="821" max="1022" width="9.1796875" style="284"/>
    <col min="1023" max="1075" width="1.54296875" style="284" customWidth="1"/>
    <col min="1076" max="1076" width="0.1796875" style="284" customWidth="1"/>
    <col min="1077" max="1278" width="9.1796875" style="284"/>
    <col min="1279" max="1331" width="1.54296875" style="284" customWidth="1"/>
    <col min="1332" max="1332" width="0.1796875" style="284" customWidth="1"/>
    <col min="1333" max="1534" width="9.1796875" style="284"/>
    <col min="1535" max="1587" width="1.54296875" style="284" customWidth="1"/>
    <col min="1588" max="1588" width="0.1796875" style="284" customWidth="1"/>
    <col min="1589" max="1790" width="9.1796875" style="284"/>
    <col min="1791" max="1843" width="1.54296875" style="284" customWidth="1"/>
    <col min="1844" max="1844" width="0.1796875" style="284" customWidth="1"/>
    <col min="1845" max="2046" width="9.1796875" style="284"/>
    <col min="2047" max="2099" width="1.54296875" style="284" customWidth="1"/>
    <col min="2100" max="2100" width="0.1796875" style="284" customWidth="1"/>
    <col min="2101" max="2302" width="9.1796875" style="284"/>
    <col min="2303" max="2355" width="1.54296875" style="284" customWidth="1"/>
    <col min="2356" max="2356" width="0.1796875" style="284" customWidth="1"/>
    <col min="2357" max="2558" width="9.1796875" style="284"/>
    <col min="2559" max="2611" width="1.54296875" style="284" customWidth="1"/>
    <col min="2612" max="2612" width="0.1796875" style="284" customWidth="1"/>
    <col min="2613" max="2814" width="9.1796875" style="284"/>
    <col min="2815" max="2867" width="1.54296875" style="284" customWidth="1"/>
    <col min="2868" max="2868" width="0.1796875" style="284" customWidth="1"/>
    <col min="2869" max="3070" width="9.1796875" style="284"/>
    <col min="3071" max="3123" width="1.54296875" style="284" customWidth="1"/>
    <col min="3124" max="3124" width="0.1796875" style="284" customWidth="1"/>
    <col min="3125" max="3326" width="9.1796875" style="284"/>
    <col min="3327" max="3379" width="1.54296875" style="284" customWidth="1"/>
    <col min="3380" max="3380" width="0.1796875" style="284" customWidth="1"/>
    <col min="3381" max="3582" width="9.1796875" style="284"/>
    <col min="3583" max="3635" width="1.54296875" style="284" customWidth="1"/>
    <col min="3636" max="3636" width="0.1796875" style="284" customWidth="1"/>
    <col min="3637" max="3838" width="9.1796875" style="284"/>
    <col min="3839" max="3891" width="1.54296875" style="284" customWidth="1"/>
    <col min="3892" max="3892" width="0.1796875" style="284" customWidth="1"/>
    <col min="3893" max="4094" width="9.1796875" style="284"/>
    <col min="4095" max="4147" width="1.54296875" style="284" customWidth="1"/>
    <col min="4148" max="4148" width="0.1796875" style="284" customWidth="1"/>
    <col min="4149" max="4350" width="9.1796875" style="284"/>
    <col min="4351" max="4403" width="1.54296875" style="284" customWidth="1"/>
    <col min="4404" max="4404" width="0.1796875" style="284" customWidth="1"/>
    <col min="4405" max="4606" width="9.1796875" style="284"/>
    <col min="4607" max="4659" width="1.54296875" style="284" customWidth="1"/>
    <col min="4660" max="4660" width="0.1796875" style="284" customWidth="1"/>
    <col min="4661" max="4862" width="9.1796875" style="284"/>
    <col min="4863" max="4915" width="1.54296875" style="284" customWidth="1"/>
    <col min="4916" max="4916" width="0.1796875" style="284" customWidth="1"/>
    <col min="4917" max="5118" width="9.1796875" style="284"/>
    <col min="5119" max="5171" width="1.54296875" style="284" customWidth="1"/>
    <col min="5172" max="5172" width="0.1796875" style="284" customWidth="1"/>
    <col min="5173" max="5374" width="9.1796875" style="284"/>
    <col min="5375" max="5427" width="1.54296875" style="284" customWidth="1"/>
    <col min="5428" max="5428" width="0.1796875" style="284" customWidth="1"/>
    <col min="5429" max="5630" width="9.1796875" style="284"/>
    <col min="5631" max="5683" width="1.54296875" style="284" customWidth="1"/>
    <col min="5684" max="5684" width="0.1796875" style="284" customWidth="1"/>
    <col min="5685" max="5886" width="9.1796875" style="284"/>
    <col min="5887" max="5939" width="1.54296875" style="284" customWidth="1"/>
    <col min="5940" max="5940" width="0.1796875" style="284" customWidth="1"/>
    <col min="5941" max="6142" width="9.1796875" style="284"/>
    <col min="6143" max="6195" width="1.54296875" style="284" customWidth="1"/>
    <col min="6196" max="6196" width="0.1796875" style="284" customWidth="1"/>
    <col min="6197" max="6398" width="9.1796875" style="284"/>
    <col min="6399" max="6451" width="1.54296875" style="284" customWidth="1"/>
    <col min="6452" max="6452" width="0.1796875" style="284" customWidth="1"/>
    <col min="6453" max="6654" width="9.1796875" style="284"/>
    <col min="6655" max="6707" width="1.54296875" style="284" customWidth="1"/>
    <col min="6708" max="6708" width="0.1796875" style="284" customWidth="1"/>
    <col min="6709" max="6910" width="9.1796875" style="284"/>
    <col min="6911" max="6963" width="1.54296875" style="284" customWidth="1"/>
    <col min="6964" max="6964" width="0.1796875" style="284" customWidth="1"/>
    <col min="6965" max="7166" width="9.1796875" style="284"/>
    <col min="7167" max="7219" width="1.54296875" style="284" customWidth="1"/>
    <col min="7220" max="7220" width="0.1796875" style="284" customWidth="1"/>
    <col min="7221" max="7422" width="9.1796875" style="284"/>
    <col min="7423" max="7475" width="1.54296875" style="284" customWidth="1"/>
    <col min="7476" max="7476" width="0.1796875" style="284" customWidth="1"/>
    <col min="7477" max="7678" width="9.1796875" style="284"/>
    <col min="7679" max="7731" width="1.54296875" style="284" customWidth="1"/>
    <col min="7732" max="7732" width="0.1796875" style="284" customWidth="1"/>
    <col min="7733" max="7934" width="9.1796875" style="284"/>
    <col min="7935" max="7987" width="1.54296875" style="284" customWidth="1"/>
    <col min="7988" max="7988" width="0.1796875" style="284" customWidth="1"/>
    <col min="7989" max="8190" width="9.1796875" style="284"/>
    <col min="8191" max="8243" width="1.54296875" style="284" customWidth="1"/>
    <col min="8244" max="8244" width="0.1796875" style="284" customWidth="1"/>
    <col min="8245" max="8446" width="9.1796875" style="284"/>
    <col min="8447" max="8499" width="1.54296875" style="284" customWidth="1"/>
    <col min="8500" max="8500" width="0.1796875" style="284" customWidth="1"/>
    <col min="8501" max="8702" width="9.1796875" style="284"/>
    <col min="8703" max="8755" width="1.54296875" style="284" customWidth="1"/>
    <col min="8756" max="8756" width="0.1796875" style="284" customWidth="1"/>
    <col min="8757" max="8958" width="9.1796875" style="284"/>
    <col min="8959" max="9011" width="1.54296875" style="284" customWidth="1"/>
    <col min="9012" max="9012" width="0.1796875" style="284" customWidth="1"/>
    <col min="9013" max="9214" width="9.1796875" style="284"/>
    <col min="9215" max="9267" width="1.54296875" style="284" customWidth="1"/>
    <col min="9268" max="9268" width="0.1796875" style="284" customWidth="1"/>
    <col min="9269" max="9470" width="9.1796875" style="284"/>
    <col min="9471" max="9523" width="1.54296875" style="284" customWidth="1"/>
    <col min="9524" max="9524" width="0.1796875" style="284" customWidth="1"/>
    <col min="9525" max="9726" width="9.1796875" style="284"/>
    <col min="9727" max="9779" width="1.54296875" style="284" customWidth="1"/>
    <col min="9780" max="9780" width="0.1796875" style="284" customWidth="1"/>
    <col min="9781" max="9982" width="9.1796875" style="284"/>
    <col min="9983" max="10035" width="1.54296875" style="284" customWidth="1"/>
    <col min="10036" max="10036" width="0.1796875" style="284" customWidth="1"/>
    <col min="10037" max="10238" width="9.1796875" style="284"/>
    <col min="10239" max="10291" width="1.54296875" style="284" customWidth="1"/>
    <col min="10292" max="10292" width="0.1796875" style="284" customWidth="1"/>
    <col min="10293" max="10494" width="9.1796875" style="284"/>
    <col min="10495" max="10547" width="1.54296875" style="284" customWidth="1"/>
    <col min="10548" max="10548" width="0.1796875" style="284" customWidth="1"/>
    <col min="10549" max="10750" width="9.1796875" style="284"/>
    <col min="10751" max="10803" width="1.54296875" style="284" customWidth="1"/>
    <col min="10804" max="10804" width="0.1796875" style="284" customWidth="1"/>
    <col min="10805" max="11006" width="9.1796875" style="284"/>
    <col min="11007" max="11059" width="1.54296875" style="284" customWidth="1"/>
    <col min="11060" max="11060" width="0.1796875" style="284" customWidth="1"/>
    <col min="11061" max="11262" width="9.1796875" style="284"/>
    <col min="11263" max="11315" width="1.54296875" style="284" customWidth="1"/>
    <col min="11316" max="11316" width="0.1796875" style="284" customWidth="1"/>
    <col min="11317" max="11518" width="9.1796875" style="284"/>
    <col min="11519" max="11571" width="1.54296875" style="284" customWidth="1"/>
    <col min="11572" max="11572" width="0.1796875" style="284" customWidth="1"/>
    <col min="11573" max="11774" width="9.1796875" style="284"/>
    <col min="11775" max="11827" width="1.54296875" style="284" customWidth="1"/>
    <col min="11828" max="11828" width="0.1796875" style="284" customWidth="1"/>
    <col min="11829" max="12030" width="9.1796875" style="284"/>
    <col min="12031" max="12083" width="1.54296875" style="284" customWidth="1"/>
    <col min="12084" max="12084" width="0.1796875" style="284" customWidth="1"/>
    <col min="12085" max="12286" width="9.1796875" style="284"/>
    <col min="12287" max="12339" width="1.54296875" style="284" customWidth="1"/>
    <col min="12340" max="12340" width="0.1796875" style="284" customWidth="1"/>
    <col min="12341" max="12542" width="9.1796875" style="284"/>
    <col min="12543" max="12595" width="1.54296875" style="284" customWidth="1"/>
    <col min="12596" max="12596" width="0.1796875" style="284" customWidth="1"/>
    <col min="12597" max="12798" width="9.1796875" style="284"/>
    <col min="12799" max="12851" width="1.54296875" style="284" customWidth="1"/>
    <col min="12852" max="12852" width="0.1796875" style="284" customWidth="1"/>
    <col min="12853" max="13054" width="9.1796875" style="284"/>
    <col min="13055" max="13107" width="1.54296875" style="284" customWidth="1"/>
    <col min="13108" max="13108" width="0.1796875" style="284" customWidth="1"/>
    <col min="13109" max="13310" width="9.1796875" style="284"/>
    <col min="13311" max="13363" width="1.54296875" style="284" customWidth="1"/>
    <col min="13364" max="13364" width="0.1796875" style="284" customWidth="1"/>
    <col min="13365" max="13566" width="9.1796875" style="284"/>
    <col min="13567" max="13619" width="1.54296875" style="284" customWidth="1"/>
    <col min="13620" max="13620" width="0.1796875" style="284" customWidth="1"/>
    <col min="13621" max="13822" width="9.1796875" style="284"/>
    <col min="13823" max="13875" width="1.54296875" style="284" customWidth="1"/>
    <col min="13876" max="13876" width="0.1796875" style="284" customWidth="1"/>
    <col min="13877" max="14078" width="9.1796875" style="284"/>
    <col min="14079" max="14131" width="1.54296875" style="284" customWidth="1"/>
    <col min="14132" max="14132" width="0.1796875" style="284" customWidth="1"/>
    <col min="14133" max="14334" width="9.1796875" style="284"/>
    <col min="14335" max="14387" width="1.54296875" style="284" customWidth="1"/>
    <col min="14388" max="14388" width="0.1796875" style="284" customWidth="1"/>
    <col min="14389" max="14590" width="9.1796875" style="284"/>
    <col min="14591" max="14643" width="1.54296875" style="284" customWidth="1"/>
    <col min="14644" max="14644" width="0.1796875" style="284" customWidth="1"/>
    <col min="14645" max="14846" width="9.1796875" style="284"/>
    <col min="14847" max="14899" width="1.54296875" style="284" customWidth="1"/>
    <col min="14900" max="14900" width="0.1796875" style="284" customWidth="1"/>
    <col min="14901" max="15102" width="9.1796875" style="284"/>
    <col min="15103" max="15155" width="1.54296875" style="284" customWidth="1"/>
    <col min="15156" max="15156" width="0.1796875" style="284" customWidth="1"/>
    <col min="15157" max="15358" width="9.1796875" style="284"/>
    <col min="15359" max="15411" width="1.54296875" style="284" customWidth="1"/>
    <col min="15412" max="15412" width="0.1796875" style="284" customWidth="1"/>
    <col min="15413" max="15614" width="9.1796875" style="284"/>
    <col min="15615" max="15667" width="1.54296875" style="284" customWidth="1"/>
    <col min="15668" max="15668" width="0.1796875" style="284" customWidth="1"/>
    <col min="15669" max="15870" width="9.1796875" style="284"/>
    <col min="15871" max="15923" width="1.54296875" style="284" customWidth="1"/>
    <col min="15924" max="15924" width="0.1796875" style="284" customWidth="1"/>
    <col min="15925" max="16126" width="9.1796875" style="284"/>
    <col min="16127" max="16179" width="1.54296875" style="284" customWidth="1"/>
    <col min="16180" max="16180" width="0.1796875" style="284" customWidth="1"/>
    <col min="16181" max="16384" width="9.179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котлована для установки стоек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Установка опор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Установка опор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Стойка CВ95-3; Сертификат соответствия №РОСС RU.АБ23.Н00117 от 21.06.2021 сроком действия до 20.06.2024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провода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5-КЗ_ОП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1-КЗ_КК_1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2-КЗ_КК_1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3-КЗ_КК_1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4-КЗ_КК_1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5-КЗ_КК_1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1-КЗ_КК_2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2-КЗ_КК_2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3-КЗ_КК_2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4-КЗ_КК_2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5-КЗ_КК_2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05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05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05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1-КЗ_КК_3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2-КЗ_КК_3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3-КЗ_КК_3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4-КЗ_КК_3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5-КЗ_КК_3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06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81640625" style="284"/>
    <col min="255" max="307" width="1.54296875" style="284" customWidth="1"/>
    <col min="308" max="308" width="0.1796875" style="284" customWidth="1"/>
    <col min="309" max="510" width="8.81640625" style="284"/>
    <col min="511" max="563" width="1.54296875" style="284" customWidth="1"/>
    <col min="564" max="564" width="0.1796875" style="284" customWidth="1"/>
    <col min="565" max="766" width="8.81640625" style="284"/>
    <col min="767" max="819" width="1.54296875" style="284" customWidth="1"/>
    <col min="820" max="820" width="0.1796875" style="284" customWidth="1"/>
    <col min="821" max="1022" width="8.81640625" style="284"/>
    <col min="1023" max="1075" width="1.54296875" style="284" customWidth="1"/>
    <col min="1076" max="1076" width="0.1796875" style="284" customWidth="1"/>
    <col min="1077" max="1278" width="8.81640625" style="284"/>
    <col min="1279" max="1331" width="1.54296875" style="284" customWidth="1"/>
    <col min="1332" max="1332" width="0.1796875" style="284" customWidth="1"/>
    <col min="1333" max="1534" width="8.81640625" style="284"/>
    <col min="1535" max="1587" width="1.54296875" style="284" customWidth="1"/>
    <col min="1588" max="1588" width="0.1796875" style="284" customWidth="1"/>
    <col min="1589" max="1790" width="8.81640625" style="284"/>
    <col min="1791" max="1843" width="1.54296875" style="284" customWidth="1"/>
    <col min="1844" max="1844" width="0.1796875" style="284" customWidth="1"/>
    <col min="1845" max="2046" width="8.81640625" style="284"/>
    <col min="2047" max="2099" width="1.54296875" style="284" customWidth="1"/>
    <col min="2100" max="2100" width="0.1796875" style="284" customWidth="1"/>
    <col min="2101" max="2302" width="8.81640625" style="284"/>
    <col min="2303" max="2355" width="1.54296875" style="284" customWidth="1"/>
    <col min="2356" max="2356" width="0.1796875" style="284" customWidth="1"/>
    <col min="2357" max="2558" width="8.81640625" style="284"/>
    <col min="2559" max="2611" width="1.54296875" style="284" customWidth="1"/>
    <col min="2612" max="2612" width="0.1796875" style="284" customWidth="1"/>
    <col min="2613" max="2814" width="8.81640625" style="284"/>
    <col min="2815" max="2867" width="1.54296875" style="284" customWidth="1"/>
    <col min="2868" max="2868" width="0.1796875" style="284" customWidth="1"/>
    <col min="2869" max="3070" width="8.81640625" style="284"/>
    <col min="3071" max="3123" width="1.54296875" style="284" customWidth="1"/>
    <col min="3124" max="3124" width="0.1796875" style="284" customWidth="1"/>
    <col min="3125" max="3326" width="8.81640625" style="284"/>
    <col min="3327" max="3379" width="1.54296875" style="284" customWidth="1"/>
    <col min="3380" max="3380" width="0.1796875" style="284" customWidth="1"/>
    <col min="3381" max="3582" width="8.81640625" style="284"/>
    <col min="3583" max="3635" width="1.54296875" style="284" customWidth="1"/>
    <col min="3636" max="3636" width="0.1796875" style="284" customWidth="1"/>
    <col min="3637" max="3838" width="8.81640625" style="284"/>
    <col min="3839" max="3891" width="1.54296875" style="284" customWidth="1"/>
    <col min="3892" max="3892" width="0.1796875" style="284" customWidth="1"/>
    <col min="3893" max="4094" width="8.81640625" style="284"/>
    <col min="4095" max="4147" width="1.54296875" style="284" customWidth="1"/>
    <col min="4148" max="4148" width="0.1796875" style="284" customWidth="1"/>
    <col min="4149" max="4350" width="8.81640625" style="284"/>
    <col min="4351" max="4403" width="1.54296875" style="284" customWidth="1"/>
    <col min="4404" max="4404" width="0.1796875" style="284" customWidth="1"/>
    <col min="4405" max="4606" width="8.81640625" style="284"/>
    <col min="4607" max="4659" width="1.54296875" style="284" customWidth="1"/>
    <col min="4660" max="4660" width="0.1796875" style="284" customWidth="1"/>
    <col min="4661" max="4862" width="8.81640625" style="284"/>
    <col min="4863" max="4915" width="1.54296875" style="284" customWidth="1"/>
    <col min="4916" max="4916" width="0.1796875" style="284" customWidth="1"/>
    <col min="4917" max="5118" width="8.81640625" style="284"/>
    <col min="5119" max="5171" width="1.54296875" style="284" customWidth="1"/>
    <col min="5172" max="5172" width="0.1796875" style="284" customWidth="1"/>
    <col min="5173" max="5374" width="8.81640625" style="284"/>
    <col min="5375" max="5427" width="1.54296875" style="284" customWidth="1"/>
    <col min="5428" max="5428" width="0.1796875" style="284" customWidth="1"/>
    <col min="5429" max="5630" width="8.81640625" style="284"/>
    <col min="5631" max="5683" width="1.54296875" style="284" customWidth="1"/>
    <col min="5684" max="5684" width="0.1796875" style="284" customWidth="1"/>
    <col min="5685" max="5886" width="8.81640625" style="284"/>
    <col min="5887" max="5939" width="1.54296875" style="284" customWidth="1"/>
    <col min="5940" max="5940" width="0.1796875" style="284" customWidth="1"/>
    <col min="5941" max="6142" width="8.81640625" style="284"/>
    <col min="6143" max="6195" width="1.54296875" style="284" customWidth="1"/>
    <col min="6196" max="6196" width="0.1796875" style="284" customWidth="1"/>
    <col min="6197" max="6398" width="8.81640625" style="284"/>
    <col min="6399" max="6451" width="1.54296875" style="284" customWidth="1"/>
    <col min="6452" max="6452" width="0.1796875" style="284" customWidth="1"/>
    <col min="6453" max="6654" width="8.81640625" style="284"/>
    <col min="6655" max="6707" width="1.54296875" style="284" customWidth="1"/>
    <col min="6708" max="6708" width="0.1796875" style="284" customWidth="1"/>
    <col min="6709" max="6910" width="8.81640625" style="284"/>
    <col min="6911" max="6963" width="1.54296875" style="284" customWidth="1"/>
    <col min="6964" max="6964" width="0.1796875" style="284" customWidth="1"/>
    <col min="6965" max="7166" width="8.81640625" style="284"/>
    <col min="7167" max="7219" width="1.54296875" style="284" customWidth="1"/>
    <col min="7220" max="7220" width="0.1796875" style="284" customWidth="1"/>
    <col min="7221" max="7422" width="8.81640625" style="284"/>
    <col min="7423" max="7475" width="1.54296875" style="284" customWidth="1"/>
    <col min="7476" max="7476" width="0.1796875" style="284" customWidth="1"/>
    <col min="7477" max="7678" width="8.81640625" style="284"/>
    <col min="7679" max="7731" width="1.54296875" style="284" customWidth="1"/>
    <col min="7732" max="7732" width="0.1796875" style="284" customWidth="1"/>
    <col min="7733" max="7934" width="8.81640625" style="284"/>
    <col min="7935" max="7987" width="1.54296875" style="284" customWidth="1"/>
    <col min="7988" max="7988" width="0.1796875" style="284" customWidth="1"/>
    <col min="7989" max="8190" width="8.81640625" style="284"/>
    <col min="8191" max="8243" width="1.54296875" style="284" customWidth="1"/>
    <col min="8244" max="8244" width="0.1796875" style="284" customWidth="1"/>
    <col min="8245" max="8446" width="8.81640625" style="284"/>
    <col min="8447" max="8499" width="1.54296875" style="284" customWidth="1"/>
    <col min="8500" max="8500" width="0.1796875" style="284" customWidth="1"/>
    <col min="8501" max="8702" width="8.81640625" style="284"/>
    <col min="8703" max="8755" width="1.54296875" style="284" customWidth="1"/>
    <col min="8756" max="8756" width="0.1796875" style="284" customWidth="1"/>
    <col min="8757" max="8958" width="8.81640625" style="284"/>
    <col min="8959" max="9011" width="1.54296875" style="284" customWidth="1"/>
    <col min="9012" max="9012" width="0.1796875" style="284" customWidth="1"/>
    <col min="9013" max="9214" width="8.81640625" style="284"/>
    <col min="9215" max="9267" width="1.54296875" style="284" customWidth="1"/>
    <col min="9268" max="9268" width="0.1796875" style="284" customWidth="1"/>
    <col min="9269" max="9470" width="8.81640625" style="284"/>
    <col min="9471" max="9523" width="1.54296875" style="284" customWidth="1"/>
    <col min="9524" max="9524" width="0.1796875" style="284" customWidth="1"/>
    <col min="9525" max="9726" width="8.81640625" style="284"/>
    <col min="9727" max="9779" width="1.54296875" style="284" customWidth="1"/>
    <col min="9780" max="9780" width="0.1796875" style="284" customWidth="1"/>
    <col min="9781" max="9982" width="8.81640625" style="284"/>
    <col min="9983" max="10035" width="1.54296875" style="284" customWidth="1"/>
    <col min="10036" max="10036" width="0.1796875" style="284" customWidth="1"/>
    <col min="10037" max="10238" width="8.81640625" style="284"/>
    <col min="10239" max="10291" width="1.54296875" style="284" customWidth="1"/>
    <col min="10292" max="10292" width="0.1796875" style="284" customWidth="1"/>
    <col min="10293" max="10494" width="8.81640625" style="284"/>
    <col min="10495" max="10547" width="1.54296875" style="284" customWidth="1"/>
    <col min="10548" max="10548" width="0.1796875" style="284" customWidth="1"/>
    <col min="10549" max="10750" width="8.81640625" style="284"/>
    <col min="10751" max="10803" width="1.54296875" style="284" customWidth="1"/>
    <col min="10804" max="10804" width="0.1796875" style="284" customWidth="1"/>
    <col min="10805" max="11006" width="8.81640625" style="284"/>
    <col min="11007" max="11059" width="1.54296875" style="284" customWidth="1"/>
    <col min="11060" max="11060" width="0.1796875" style="284" customWidth="1"/>
    <col min="11061" max="11262" width="8.81640625" style="284"/>
    <col min="11263" max="11315" width="1.54296875" style="284" customWidth="1"/>
    <col min="11316" max="11316" width="0.1796875" style="284" customWidth="1"/>
    <col min="11317" max="11518" width="8.81640625" style="284"/>
    <col min="11519" max="11571" width="1.54296875" style="284" customWidth="1"/>
    <col min="11572" max="11572" width="0.1796875" style="284" customWidth="1"/>
    <col min="11573" max="11774" width="8.81640625" style="284"/>
    <col min="11775" max="11827" width="1.54296875" style="284" customWidth="1"/>
    <col min="11828" max="11828" width="0.1796875" style="284" customWidth="1"/>
    <col min="11829" max="12030" width="8.81640625" style="284"/>
    <col min="12031" max="12083" width="1.54296875" style="284" customWidth="1"/>
    <col min="12084" max="12084" width="0.1796875" style="284" customWidth="1"/>
    <col min="12085" max="12286" width="8.81640625" style="284"/>
    <col min="12287" max="12339" width="1.54296875" style="284" customWidth="1"/>
    <col min="12340" max="12340" width="0.1796875" style="284" customWidth="1"/>
    <col min="12341" max="12542" width="8.81640625" style="284"/>
    <col min="12543" max="12595" width="1.54296875" style="284" customWidth="1"/>
    <col min="12596" max="12596" width="0.1796875" style="284" customWidth="1"/>
    <col min="12597" max="12798" width="8.81640625" style="284"/>
    <col min="12799" max="12851" width="1.54296875" style="284" customWidth="1"/>
    <col min="12852" max="12852" width="0.1796875" style="284" customWidth="1"/>
    <col min="12853" max="13054" width="8.81640625" style="284"/>
    <col min="13055" max="13107" width="1.54296875" style="284" customWidth="1"/>
    <col min="13108" max="13108" width="0.1796875" style="284" customWidth="1"/>
    <col min="13109" max="13310" width="8.81640625" style="284"/>
    <col min="13311" max="13363" width="1.54296875" style="284" customWidth="1"/>
    <col min="13364" max="13364" width="0.1796875" style="284" customWidth="1"/>
    <col min="13365" max="13566" width="8.81640625" style="284"/>
    <col min="13567" max="13619" width="1.54296875" style="284" customWidth="1"/>
    <col min="13620" max="13620" width="0.1796875" style="284" customWidth="1"/>
    <col min="13621" max="13822" width="8.81640625" style="284"/>
    <col min="13823" max="13875" width="1.54296875" style="284" customWidth="1"/>
    <col min="13876" max="13876" width="0.1796875" style="284" customWidth="1"/>
    <col min="13877" max="14078" width="8.81640625" style="284"/>
    <col min="14079" max="14131" width="1.54296875" style="284" customWidth="1"/>
    <col min="14132" max="14132" width="0.1796875" style="284" customWidth="1"/>
    <col min="14133" max="14334" width="8.81640625" style="284"/>
    <col min="14335" max="14387" width="1.54296875" style="284" customWidth="1"/>
    <col min="14388" max="14388" width="0.1796875" style="284" customWidth="1"/>
    <col min="14389" max="14590" width="8.81640625" style="284"/>
    <col min="14591" max="14643" width="1.54296875" style="284" customWidth="1"/>
    <col min="14644" max="14644" width="0.1796875" style="284" customWidth="1"/>
    <col min="14645" max="14846" width="8.81640625" style="284"/>
    <col min="14847" max="14899" width="1.54296875" style="284" customWidth="1"/>
    <col min="14900" max="14900" width="0.1796875" style="284" customWidth="1"/>
    <col min="14901" max="15102" width="8.81640625" style="284"/>
    <col min="15103" max="15155" width="1.54296875" style="284" customWidth="1"/>
    <col min="15156" max="15156" width="0.1796875" style="284" customWidth="1"/>
    <col min="15157" max="15358" width="8.81640625" style="284"/>
    <col min="15359" max="15411" width="1.54296875" style="284" customWidth="1"/>
    <col min="15412" max="15412" width="0.1796875" style="284" customWidth="1"/>
    <col min="15413" max="15614" width="8.81640625" style="284"/>
    <col min="15615" max="15667" width="1.54296875" style="284" customWidth="1"/>
    <col min="15668" max="15668" width="0.1796875" style="284" customWidth="1"/>
    <col min="15669" max="15870" width="8.81640625" style="284"/>
    <col min="15871" max="15923" width="1.54296875" style="284" customWidth="1"/>
    <col min="15924" max="15924" width="0.1796875" style="284" customWidth="1"/>
    <col min="15925" max="16126" width="8.81640625" style="284"/>
    <col min="16127" max="16179" width="1.54296875" style="284" customWidth="1"/>
    <col min="16180" max="16180" width="0.1796875" style="284" customWidth="1"/>
    <col min="16181" max="16384" width="8.816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1-КЗ_КК_5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20A5-7440-41AD-B0DE-468F16ECC977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30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31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2-КЗ_КК_5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CCCA-CC1E-452D-BED3-A1A746B4E32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31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32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3-КЗ_КК_5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C5BD-4896-4110-90F3-C9D8B78BE999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32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33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4-КЗ_КК_5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DB50-9299-4E5A-9F48-8702FD311A38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33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34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5-КЗ_КК_5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7400-0575-4246-825F-114AA68B51C3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34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35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1-КЗ_КК_6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66E2-7ADB-45CF-A88F-A11785CA6DF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35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36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2-КЗ_КК_6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8B38-0BA5-47DB-AB94-0D48D190603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36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37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3-КЗ_КК_6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E0D2-50DA-42D4-B160-EB679C2E1D2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37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38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4-КЗ_КК_6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992F-A98D-4CAC-81F7-B6866E63D1BA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38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39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5-КЗ_КК_6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07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1D7-05C5-48A9-A672-9F2DABBF1E9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39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40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1-КЗ_КК_7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A03E-FFE6-4E3C-A90D-37C7980E226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40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41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2-КЗ_КК_7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0E8A-9363-45C5-BA29-BC46FB653B9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41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42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3-КЗ_КК_7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1224-2FB4-46F2-9174-09D7FE7EDAC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42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43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4-КЗ_КК_7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90C5-F46E-4475-8AC6-F6B58AFBEA5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43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44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5-КЗ_КК_7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ECFF-2D4B-41B7-81E3-35452A8FAE1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44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45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1-КЗ_КК_8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вертикальных электродов контура заземления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783-AE59-470D-A31A-F1A5A4B056F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45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46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2-КЗ_КК_8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вертикальных электродов контура заземления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4101-5F22-4DDC-9D22-5003813ECEE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46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47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3-КЗ_КК_8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Монтаж горизонтального заземлителя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05DA-38D9-4F55-B393-BD2BB3E3E194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47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48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4-КЗ_КК_8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Огрунтовка и окраска сварных соединений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Обратная засыпка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Отказное письмо исх. №60-12/2020 от 12.05.2020 ООО "Биквест-Центр"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FE74-F0EE-4159-97B5-3DA1F99D772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48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49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5-КЗ_КК_8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08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Обратная засыпка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Вырытый грунт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 Монтаж контура заземления КК-0,4кВ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08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08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 xml:space="preserve"> -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 Монтаж контура заземления КК-0,4кВ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98-CCA6-4EBD-BAE7-008A31F191D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49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50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1-КЛ0,4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10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приемных и стартовых котлованов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 xml:space="preserve">Исполнительная схема №1.1 Разработка грунта котлованов под монтаж КЛ-0,4кВ; Исполнительная схема №1.2 Разработка грунта котлованов под монтаж КЛ-0,4кВ; 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10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10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e">
        <f ca="1">INDIRECT("'АКТЫ скрытых работ'!R"&amp;BE3&amp;"C13",0)</f>
        <v>#REF!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 xml:space="preserve">Исполнительная схема №1.1 Разработка грунта котлованов под монтаж КЛ-0,4кВ; Исполнительная схема №1.2 Разработка грунта котлованов под монтаж КЛ-0,4кВ; 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9995-3641-498B-B43E-9CA16857DD18}">
  <sheetPr>
    <tabColor theme="9" tint="-0.249977111117893"/>
    <pageSetUpPr fitToPage="1"/>
  </sheetPr>
  <dimension ref="A1:BK100"/>
  <sheetViews>
    <sheetView view="pageBreakPreview" topLeftCell="A83" zoomScale="60" zoomScaleNormal="100" workbookViewId="0">
      <selection activeCell="BE99" sqref="BE9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50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51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2-КЛ0,4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28</v>
      </c>
      <c r="AU23" s="1215"/>
      <c r="AV23" s="1215"/>
      <c r="AW23" s="293" t="s">
        <v>77</v>
      </c>
      <c r="AX23" s="1215" t="str">
        <f ca="1">INDIRECT("'АКТЫ скрытых работ'!R"&amp;BE3&amp;"C8",0)</f>
        <v>января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Устройство ГНБ №2 перехода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8.5" customHeight="1">
      <c r="A61" s="1304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304"/>
      <c r="C61" s="1304"/>
      <c r="D61" s="1304"/>
      <c r="E61" s="1304"/>
      <c r="F61" s="1304"/>
      <c r="G61" s="1304"/>
      <c r="H61" s="1304"/>
      <c r="I61" s="1304"/>
      <c r="J61" s="1304"/>
      <c r="K61" s="1304"/>
      <c r="L61" s="1304"/>
      <c r="M61" s="1304"/>
      <c r="N61" s="1304"/>
      <c r="O61" s="1304"/>
      <c r="P61" s="1304"/>
      <c r="Q61" s="1304"/>
      <c r="R61" s="1304"/>
      <c r="S61" s="1304"/>
      <c r="T61" s="1304"/>
      <c r="U61" s="1304"/>
      <c r="V61" s="1304"/>
      <c r="W61" s="1304"/>
      <c r="X61" s="1304"/>
      <c r="Y61" s="1304"/>
      <c r="Z61" s="1304"/>
      <c r="AA61" s="1304"/>
      <c r="AB61" s="1304"/>
      <c r="AC61" s="1304"/>
      <c r="AD61" s="1304"/>
      <c r="AE61" s="1304"/>
      <c r="AF61" s="1304"/>
      <c r="AG61" s="1304"/>
      <c r="AH61" s="1304"/>
      <c r="AI61" s="1304"/>
      <c r="AJ61" s="1304"/>
      <c r="AK61" s="1304"/>
      <c r="AL61" s="1304"/>
      <c r="AM61" s="1304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 xml:space="preserve">Исполнительная схема закрытого перехода методом ГНБ №1 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27</v>
      </c>
      <c r="T66" s="1222"/>
      <c r="U66" s="1222"/>
      <c r="V66" s="495"/>
      <c r="W66" s="1223" t="str">
        <f ca="1">INDIRECT("'АКТЫ скрытых работ'!R"&amp;BE3&amp;"C5",0)</f>
        <v>января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28</v>
      </c>
      <c r="T67" s="1224"/>
      <c r="U67" s="1224"/>
      <c r="V67" s="495"/>
      <c r="W67" s="1225" t="str">
        <f ca="1">INDIRECT("'АКТЫ скрытых работ'!R"&amp;BE3&amp;"C8",0)</f>
        <v>января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Прокладка КЛ-0,4 кВ с нанесением огнезащитного покрытия Огракс В1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8.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305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305"/>
      <c r="K78" s="1305"/>
      <c r="L78" s="1305"/>
      <c r="M78" s="1305"/>
      <c r="N78" s="1305"/>
      <c r="O78" s="1305"/>
      <c r="P78" s="1305"/>
      <c r="Q78" s="1305"/>
      <c r="R78" s="1305"/>
      <c r="S78" s="1305"/>
      <c r="T78" s="1305"/>
      <c r="U78" s="1305"/>
      <c r="V78" s="1305"/>
      <c r="W78" s="1305"/>
      <c r="X78" s="1305"/>
      <c r="Y78" s="1305"/>
      <c r="Z78" s="1305"/>
      <c r="AA78" s="1305"/>
      <c r="AB78" s="1305"/>
      <c r="AC78" s="1305"/>
      <c r="AD78" s="1305"/>
      <c r="AE78" s="1305"/>
      <c r="AF78" s="1305"/>
      <c r="AG78" s="1305"/>
      <c r="AH78" s="1305"/>
      <c r="AI78" s="1305"/>
      <c r="AJ78" s="1305"/>
      <c r="AK78" s="1305"/>
      <c r="AL78" s="1305"/>
      <c r="AM78" s="1305"/>
      <c r="AN78" s="1305"/>
      <c r="AO78" s="1305"/>
      <c r="AP78" s="1305"/>
      <c r="AQ78" s="1305"/>
      <c r="AR78" s="1305"/>
      <c r="AS78" s="1305"/>
      <c r="AT78" s="1305"/>
      <c r="AU78" s="1305"/>
      <c r="AV78" s="1305"/>
      <c r="AW78" s="1305"/>
      <c r="AX78" s="1305"/>
      <c r="AY78" s="1305"/>
      <c r="AZ78" s="1305"/>
      <c r="BA78" s="1305"/>
      <c r="BB78" s="1305"/>
    </row>
    <row r="79" spans="1:54" ht="27.75" customHeight="1">
      <c r="A79" s="1106" t="str">
        <f ca="1">INDIRECT("'АКТЫ скрытых работ'!R"&amp;BE3&amp;"C11",0)</f>
        <v xml:space="preserve">Исполнительная схема закрытого перехода методом ГНБ №1 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55A-A399-4EC9-A648-D07722EE9966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E99" sqref="BE9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51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52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3-КЛ0,4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28</v>
      </c>
      <c r="AU23" s="1215"/>
      <c r="AV23" s="1215"/>
      <c r="AW23" s="293" t="s">
        <v>77</v>
      </c>
      <c r="AX23" s="1215" t="str">
        <f ca="1">INDIRECT("'АКТЫ скрытых работ'!R"&amp;BE3&amp;"C8",0)</f>
        <v>января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Устройство ГНБ №3 перехода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8.5" customHeight="1">
      <c r="A61" s="1304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304"/>
      <c r="C61" s="1304"/>
      <c r="D61" s="1304"/>
      <c r="E61" s="1304"/>
      <c r="F61" s="1304"/>
      <c r="G61" s="1304"/>
      <c r="H61" s="1304"/>
      <c r="I61" s="1304"/>
      <c r="J61" s="1304"/>
      <c r="K61" s="1304"/>
      <c r="L61" s="1304"/>
      <c r="M61" s="1304"/>
      <c r="N61" s="1304"/>
      <c r="O61" s="1304"/>
      <c r="P61" s="1304"/>
      <c r="Q61" s="1304"/>
      <c r="R61" s="1304"/>
      <c r="S61" s="1304"/>
      <c r="T61" s="1304"/>
      <c r="U61" s="1304"/>
      <c r="V61" s="1304"/>
      <c r="W61" s="1304"/>
      <c r="X61" s="1304"/>
      <c r="Y61" s="1304"/>
      <c r="Z61" s="1304"/>
      <c r="AA61" s="1304"/>
      <c r="AB61" s="1304"/>
      <c r="AC61" s="1304"/>
      <c r="AD61" s="1304"/>
      <c r="AE61" s="1304"/>
      <c r="AF61" s="1304"/>
      <c r="AG61" s="1304"/>
      <c r="AH61" s="1304"/>
      <c r="AI61" s="1304"/>
      <c r="AJ61" s="1304"/>
      <c r="AK61" s="1304"/>
      <c r="AL61" s="1304"/>
      <c r="AM61" s="1304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 xml:space="preserve">Исполнительная схема закрытого перехода методом ГНБ №1 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27</v>
      </c>
      <c r="T66" s="1222"/>
      <c r="U66" s="1222"/>
      <c r="V66" s="495"/>
      <c r="W66" s="1223" t="str">
        <f ca="1">INDIRECT("'АКТЫ скрытых работ'!R"&amp;BE3&amp;"C5",0)</f>
        <v>января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28</v>
      </c>
      <c r="T67" s="1224"/>
      <c r="U67" s="1224"/>
      <c r="V67" s="495"/>
      <c r="W67" s="1225" t="str">
        <f ca="1">INDIRECT("'АКТЫ скрытых работ'!R"&amp;BE3&amp;"C8",0)</f>
        <v>января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Засыпка кабеля песком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8.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305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305"/>
      <c r="K78" s="1305"/>
      <c r="L78" s="1305"/>
      <c r="M78" s="1305"/>
      <c r="N78" s="1305"/>
      <c r="O78" s="1305"/>
      <c r="P78" s="1305"/>
      <c r="Q78" s="1305"/>
      <c r="R78" s="1305"/>
      <c r="S78" s="1305"/>
      <c r="T78" s="1305"/>
      <c r="U78" s="1305"/>
      <c r="V78" s="1305"/>
      <c r="W78" s="1305"/>
      <c r="X78" s="1305"/>
      <c r="Y78" s="1305"/>
      <c r="Z78" s="1305"/>
      <c r="AA78" s="1305"/>
      <c r="AB78" s="1305"/>
      <c r="AC78" s="1305"/>
      <c r="AD78" s="1305"/>
      <c r="AE78" s="1305"/>
      <c r="AF78" s="1305"/>
      <c r="AG78" s="1305"/>
      <c r="AH78" s="1305"/>
      <c r="AI78" s="1305"/>
      <c r="AJ78" s="1305"/>
      <c r="AK78" s="1305"/>
      <c r="AL78" s="1305"/>
      <c r="AM78" s="1305"/>
      <c r="AN78" s="1305"/>
      <c r="AO78" s="1305"/>
      <c r="AP78" s="1305"/>
      <c r="AQ78" s="1305"/>
      <c r="AR78" s="1305"/>
      <c r="AS78" s="1305"/>
      <c r="AT78" s="1305"/>
      <c r="AU78" s="1305"/>
      <c r="AV78" s="1305"/>
      <c r="AW78" s="1305"/>
      <c r="AX78" s="1305"/>
      <c r="AY78" s="1305"/>
      <c r="AZ78" s="1305"/>
      <c r="BA78" s="1305"/>
      <c r="BB78" s="1305"/>
    </row>
    <row r="79" spans="1:54" ht="27.75" customHeight="1">
      <c r="A79" s="1106" t="str">
        <f ca="1">INDIRECT("'АКТЫ скрытых работ'!R"&amp;BE3&amp;"C11",0)</f>
        <v xml:space="preserve">Исполнительная схема закрытого перехода методом ГНБ №1 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3973-2FA1-4274-8DA2-0A95752C8666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52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53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4-КЛ0,4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Разработка грунта траншеи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Не применялись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№1.3 Разработка грунта траншеи под монтаж КЛ-0,4кВ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10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Устройство песчанного основания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-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№1.3 Разработка грунта траншеи под монтаж КЛ-0,4кВ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E2A3-9170-4C3F-9DDC-3ADEFA485EDE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53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54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5-КЛ0,4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Устройство песчанного основания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№1.4 Устройство песчаного основания траншеи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10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Огрунтовка и окраска сварных соединений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Паспорт №31/08/22 от 31.08.2022 ООО "ДК "Горизонт"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№1.4 Устройство песчаного основания траншеи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A671-B374-4CD3-9923-8EED8FB1ED94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54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55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6-КЛ0,4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12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Прокладка труб в траншее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№1.5 Прокладка труб в траншее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11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12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СП45.13330.2017 «Земляные сооружения, основания и фундаменты»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Монтаж горизонтального заземлителя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 xml:space="preserve">Сертификат соответсвия №РОСС.RU.HX37.H02706 с 07.07.2020 по 06.07.2023 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№1.5 Прокладка труб в траншее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F73B-14DD-4C62-B05A-DDF08C31A0DF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55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56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6-КЛ0,4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 t="str">
        <f ca="1">INDIRECT("'АКТЫ скрытых работ'!R"&amp;BE3&amp;"C7",0)</f>
        <v>14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Прокладка КЛ-0,4 кВ с нанесением огнезащитного покрытия Огракс В1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№1.6 Прокладка КЛ-0,4кВ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 t="str">
        <f ca="1">INDIRECT("'АКТЫ скрытых работ'!R"&amp;BE3&amp;"C4",0)</f>
        <v>12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 t="str">
        <f ca="1">INDIRECT("'АКТЫ скрытых работ'!R"&amp;BE3&amp;"C7",0)</f>
        <v>14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Засыпка кабеля песком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№1.6 Прокладка КЛ-0,4кВ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D531-F531-4A96-A52D-A22218BEB10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56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57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7-КЛ0,4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Засыпка кабеля песком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№1.7 Обратная засыпка кабеля песком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14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Укладка плитки ПЗК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Паспорт №31/08/22 от 31.08.2022 ООО "ДК "Горизонт"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№1.7 Обратная засыпка кабеля песком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D3ED-B9FC-46AF-A1A4-3DCFED3624DD}">
  <sheetPr>
    <tabColor theme="4" tint="0.59999389629810485"/>
    <pageSetUpPr fitToPage="1"/>
  </sheetPr>
  <dimension ref="A1:BK100"/>
  <sheetViews>
    <sheetView view="pageBreakPreview" topLeftCell="A64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57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58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8-КЛ0,4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16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Укладка плитки ПЗК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Плитка ПЗК. Технический паспорт б/н от 12.03.2021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№1.8  Укладка плитки ПЗК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14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16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Засыпка кабеля песком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Технический паспорт б/н от 12.03.2021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№1.8  Укладка плитки ПЗК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C2C-C230-44FE-A12F-D05FF1203C22}">
  <sheetPr>
    <tabColor theme="4" tint="0.59999389629810485"/>
    <pageSetUpPr fitToPage="1"/>
  </sheetPr>
  <dimension ref="A1:BK100"/>
  <sheetViews>
    <sheetView view="pageBreakPreview" topLeftCell="A69" zoomScale="60" zoomScaleNormal="100" workbookViewId="0">
      <selection activeCell="BI89" sqref="BI89"/>
    </sheetView>
  </sheetViews>
  <sheetFormatPr defaultRowHeight="14"/>
  <cols>
    <col min="1" max="51" width="1.54296875" style="284" customWidth="1"/>
    <col min="52" max="52" width="9.1796875" style="284" customWidth="1"/>
    <col min="53" max="53" width="1.7265625" style="284" customWidth="1"/>
    <col min="54" max="54" width="8.1796875" style="284" customWidth="1"/>
    <col min="55" max="55" width="2.453125" style="284" customWidth="1"/>
    <col min="56" max="56" width="1.54296875" style="284" customWidth="1"/>
    <col min="57" max="254" width="8.7265625" style="284"/>
    <col min="255" max="307" width="1.54296875" style="284" customWidth="1"/>
    <col min="308" max="308" width="0.1796875" style="284" customWidth="1"/>
    <col min="309" max="510" width="8.7265625" style="284"/>
    <col min="511" max="563" width="1.54296875" style="284" customWidth="1"/>
    <col min="564" max="564" width="0.1796875" style="284" customWidth="1"/>
    <col min="565" max="766" width="8.7265625" style="284"/>
    <col min="767" max="819" width="1.54296875" style="284" customWidth="1"/>
    <col min="820" max="820" width="0.1796875" style="284" customWidth="1"/>
    <col min="821" max="1022" width="8.7265625" style="284"/>
    <col min="1023" max="1075" width="1.54296875" style="284" customWidth="1"/>
    <col min="1076" max="1076" width="0.1796875" style="284" customWidth="1"/>
    <col min="1077" max="1278" width="8.7265625" style="284"/>
    <col min="1279" max="1331" width="1.54296875" style="284" customWidth="1"/>
    <col min="1332" max="1332" width="0.1796875" style="284" customWidth="1"/>
    <col min="1333" max="1534" width="8.7265625" style="284"/>
    <col min="1535" max="1587" width="1.54296875" style="284" customWidth="1"/>
    <col min="1588" max="1588" width="0.1796875" style="284" customWidth="1"/>
    <col min="1589" max="1790" width="8.7265625" style="284"/>
    <col min="1791" max="1843" width="1.54296875" style="284" customWidth="1"/>
    <col min="1844" max="1844" width="0.1796875" style="284" customWidth="1"/>
    <col min="1845" max="2046" width="8.7265625" style="284"/>
    <col min="2047" max="2099" width="1.54296875" style="284" customWidth="1"/>
    <col min="2100" max="2100" width="0.1796875" style="284" customWidth="1"/>
    <col min="2101" max="2302" width="8.7265625" style="284"/>
    <col min="2303" max="2355" width="1.54296875" style="284" customWidth="1"/>
    <col min="2356" max="2356" width="0.1796875" style="284" customWidth="1"/>
    <col min="2357" max="2558" width="8.7265625" style="284"/>
    <col min="2559" max="2611" width="1.54296875" style="284" customWidth="1"/>
    <col min="2612" max="2612" width="0.1796875" style="284" customWidth="1"/>
    <col min="2613" max="2814" width="8.7265625" style="284"/>
    <col min="2815" max="2867" width="1.54296875" style="284" customWidth="1"/>
    <col min="2868" max="2868" width="0.1796875" style="284" customWidth="1"/>
    <col min="2869" max="3070" width="8.7265625" style="284"/>
    <col min="3071" max="3123" width="1.54296875" style="284" customWidth="1"/>
    <col min="3124" max="3124" width="0.1796875" style="284" customWidth="1"/>
    <col min="3125" max="3326" width="8.7265625" style="284"/>
    <col min="3327" max="3379" width="1.54296875" style="284" customWidth="1"/>
    <col min="3380" max="3380" width="0.1796875" style="284" customWidth="1"/>
    <col min="3381" max="3582" width="8.7265625" style="284"/>
    <col min="3583" max="3635" width="1.54296875" style="284" customWidth="1"/>
    <col min="3636" max="3636" width="0.1796875" style="284" customWidth="1"/>
    <col min="3637" max="3838" width="8.7265625" style="284"/>
    <col min="3839" max="3891" width="1.54296875" style="284" customWidth="1"/>
    <col min="3892" max="3892" width="0.1796875" style="284" customWidth="1"/>
    <col min="3893" max="4094" width="8.7265625" style="284"/>
    <col min="4095" max="4147" width="1.54296875" style="284" customWidth="1"/>
    <col min="4148" max="4148" width="0.1796875" style="284" customWidth="1"/>
    <col min="4149" max="4350" width="8.7265625" style="284"/>
    <col min="4351" max="4403" width="1.54296875" style="284" customWidth="1"/>
    <col min="4404" max="4404" width="0.1796875" style="284" customWidth="1"/>
    <col min="4405" max="4606" width="8.7265625" style="284"/>
    <col min="4607" max="4659" width="1.54296875" style="284" customWidth="1"/>
    <col min="4660" max="4660" width="0.1796875" style="284" customWidth="1"/>
    <col min="4661" max="4862" width="8.7265625" style="284"/>
    <col min="4863" max="4915" width="1.54296875" style="284" customWidth="1"/>
    <col min="4916" max="4916" width="0.1796875" style="284" customWidth="1"/>
    <col min="4917" max="5118" width="8.7265625" style="284"/>
    <col min="5119" max="5171" width="1.54296875" style="284" customWidth="1"/>
    <col min="5172" max="5172" width="0.1796875" style="284" customWidth="1"/>
    <col min="5173" max="5374" width="8.7265625" style="284"/>
    <col min="5375" max="5427" width="1.54296875" style="284" customWidth="1"/>
    <col min="5428" max="5428" width="0.1796875" style="284" customWidth="1"/>
    <col min="5429" max="5630" width="8.7265625" style="284"/>
    <col min="5631" max="5683" width="1.54296875" style="284" customWidth="1"/>
    <col min="5684" max="5684" width="0.1796875" style="284" customWidth="1"/>
    <col min="5685" max="5886" width="8.7265625" style="284"/>
    <col min="5887" max="5939" width="1.54296875" style="284" customWidth="1"/>
    <col min="5940" max="5940" width="0.1796875" style="284" customWidth="1"/>
    <col min="5941" max="6142" width="8.7265625" style="284"/>
    <col min="6143" max="6195" width="1.54296875" style="284" customWidth="1"/>
    <col min="6196" max="6196" width="0.1796875" style="284" customWidth="1"/>
    <col min="6197" max="6398" width="8.7265625" style="284"/>
    <col min="6399" max="6451" width="1.54296875" style="284" customWidth="1"/>
    <col min="6452" max="6452" width="0.1796875" style="284" customWidth="1"/>
    <col min="6453" max="6654" width="8.7265625" style="284"/>
    <col min="6655" max="6707" width="1.54296875" style="284" customWidth="1"/>
    <col min="6708" max="6708" width="0.1796875" style="284" customWidth="1"/>
    <col min="6709" max="6910" width="8.7265625" style="284"/>
    <col min="6911" max="6963" width="1.54296875" style="284" customWidth="1"/>
    <col min="6964" max="6964" width="0.1796875" style="284" customWidth="1"/>
    <col min="6965" max="7166" width="8.7265625" style="284"/>
    <col min="7167" max="7219" width="1.54296875" style="284" customWidth="1"/>
    <col min="7220" max="7220" width="0.1796875" style="284" customWidth="1"/>
    <col min="7221" max="7422" width="8.7265625" style="284"/>
    <col min="7423" max="7475" width="1.54296875" style="284" customWidth="1"/>
    <col min="7476" max="7476" width="0.1796875" style="284" customWidth="1"/>
    <col min="7477" max="7678" width="8.7265625" style="284"/>
    <col min="7679" max="7731" width="1.54296875" style="284" customWidth="1"/>
    <col min="7732" max="7732" width="0.1796875" style="284" customWidth="1"/>
    <col min="7733" max="7934" width="8.7265625" style="284"/>
    <col min="7935" max="7987" width="1.54296875" style="284" customWidth="1"/>
    <col min="7988" max="7988" width="0.1796875" style="284" customWidth="1"/>
    <col min="7989" max="8190" width="8.7265625" style="284"/>
    <col min="8191" max="8243" width="1.54296875" style="284" customWidth="1"/>
    <col min="8244" max="8244" width="0.1796875" style="284" customWidth="1"/>
    <col min="8245" max="8446" width="8.7265625" style="284"/>
    <col min="8447" max="8499" width="1.54296875" style="284" customWidth="1"/>
    <col min="8500" max="8500" width="0.1796875" style="284" customWidth="1"/>
    <col min="8501" max="8702" width="8.7265625" style="284"/>
    <col min="8703" max="8755" width="1.54296875" style="284" customWidth="1"/>
    <col min="8756" max="8756" width="0.1796875" style="284" customWidth="1"/>
    <col min="8757" max="8958" width="8.7265625" style="284"/>
    <col min="8959" max="9011" width="1.54296875" style="284" customWidth="1"/>
    <col min="9012" max="9012" width="0.1796875" style="284" customWidth="1"/>
    <col min="9013" max="9214" width="8.7265625" style="284"/>
    <col min="9215" max="9267" width="1.54296875" style="284" customWidth="1"/>
    <col min="9268" max="9268" width="0.1796875" style="284" customWidth="1"/>
    <col min="9269" max="9470" width="8.7265625" style="284"/>
    <col min="9471" max="9523" width="1.54296875" style="284" customWidth="1"/>
    <col min="9524" max="9524" width="0.1796875" style="284" customWidth="1"/>
    <col min="9525" max="9726" width="8.7265625" style="284"/>
    <col min="9727" max="9779" width="1.54296875" style="284" customWidth="1"/>
    <col min="9780" max="9780" width="0.1796875" style="284" customWidth="1"/>
    <col min="9781" max="9982" width="8.7265625" style="284"/>
    <col min="9983" max="10035" width="1.54296875" style="284" customWidth="1"/>
    <col min="10036" max="10036" width="0.1796875" style="284" customWidth="1"/>
    <col min="10037" max="10238" width="8.7265625" style="284"/>
    <col min="10239" max="10291" width="1.54296875" style="284" customWidth="1"/>
    <col min="10292" max="10292" width="0.1796875" style="284" customWidth="1"/>
    <col min="10293" max="10494" width="8.7265625" style="284"/>
    <col min="10495" max="10547" width="1.54296875" style="284" customWidth="1"/>
    <col min="10548" max="10548" width="0.1796875" style="284" customWidth="1"/>
    <col min="10549" max="10750" width="8.7265625" style="284"/>
    <col min="10751" max="10803" width="1.54296875" style="284" customWidth="1"/>
    <col min="10804" max="10804" width="0.1796875" style="284" customWidth="1"/>
    <col min="10805" max="11006" width="8.7265625" style="284"/>
    <col min="11007" max="11059" width="1.54296875" style="284" customWidth="1"/>
    <col min="11060" max="11060" width="0.1796875" style="284" customWidth="1"/>
    <col min="11061" max="11262" width="8.7265625" style="284"/>
    <col min="11263" max="11315" width="1.54296875" style="284" customWidth="1"/>
    <col min="11316" max="11316" width="0.1796875" style="284" customWidth="1"/>
    <col min="11317" max="11518" width="8.7265625" style="284"/>
    <col min="11519" max="11571" width="1.54296875" style="284" customWidth="1"/>
    <col min="11572" max="11572" width="0.1796875" style="284" customWidth="1"/>
    <col min="11573" max="11774" width="8.7265625" style="284"/>
    <col min="11775" max="11827" width="1.54296875" style="284" customWidth="1"/>
    <col min="11828" max="11828" width="0.1796875" style="284" customWidth="1"/>
    <col min="11829" max="12030" width="8.7265625" style="284"/>
    <col min="12031" max="12083" width="1.54296875" style="284" customWidth="1"/>
    <col min="12084" max="12084" width="0.1796875" style="284" customWidth="1"/>
    <col min="12085" max="12286" width="8.7265625" style="284"/>
    <col min="12287" max="12339" width="1.54296875" style="284" customWidth="1"/>
    <col min="12340" max="12340" width="0.1796875" style="284" customWidth="1"/>
    <col min="12341" max="12542" width="8.7265625" style="284"/>
    <col min="12543" max="12595" width="1.54296875" style="284" customWidth="1"/>
    <col min="12596" max="12596" width="0.1796875" style="284" customWidth="1"/>
    <col min="12597" max="12798" width="8.7265625" style="284"/>
    <col min="12799" max="12851" width="1.54296875" style="284" customWidth="1"/>
    <col min="12852" max="12852" width="0.1796875" style="284" customWidth="1"/>
    <col min="12853" max="13054" width="8.7265625" style="284"/>
    <col min="13055" max="13107" width="1.54296875" style="284" customWidth="1"/>
    <col min="13108" max="13108" width="0.1796875" style="284" customWidth="1"/>
    <col min="13109" max="13310" width="8.7265625" style="284"/>
    <col min="13311" max="13363" width="1.54296875" style="284" customWidth="1"/>
    <col min="13364" max="13364" width="0.1796875" style="284" customWidth="1"/>
    <col min="13365" max="13566" width="8.7265625" style="284"/>
    <col min="13567" max="13619" width="1.54296875" style="284" customWidth="1"/>
    <col min="13620" max="13620" width="0.1796875" style="284" customWidth="1"/>
    <col min="13621" max="13822" width="8.7265625" style="284"/>
    <col min="13823" max="13875" width="1.54296875" style="284" customWidth="1"/>
    <col min="13876" max="13876" width="0.1796875" style="284" customWidth="1"/>
    <col min="13877" max="14078" width="8.7265625" style="284"/>
    <col min="14079" max="14131" width="1.54296875" style="284" customWidth="1"/>
    <col min="14132" max="14132" width="0.1796875" style="284" customWidth="1"/>
    <col min="14133" max="14334" width="8.7265625" style="284"/>
    <col min="14335" max="14387" width="1.54296875" style="284" customWidth="1"/>
    <col min="14388" max="14388" width="0.1796875" style="284" customWidth="1"/>
    <col min="14389" max="14590" width="8.7265625" style="284"/>
    <col min="14591" max="14643" width="1.54296875" style="284" customWidth="1"/>
    <col min="14644" max="14644" width="0.1796875" style="284" customWidth="1"/>
    <col min="14645" max="14846" width="8.7265625" style="284"/>
    <col min="14847" max="14899" width="1.54296875" style="284" customWidth="1"/>
    <col min="14900" max="14900" width="0.1796875" style="284" customWidth="1"/>
    <col min="14901" max="15102" width="8.7265625" style="284"/>
    <col min="15103" max="15155" width="1.54296875" style="284" customWidth="1"/>
    <col min="15156" max="15156" width="0.1796875" style="284" customWidth="1"/>
    <col min="15157" max="15358" width="8.7265625" style="284"/>
    <col min="15359" max="15411" width="1.54296875" style="284" customWidth="1"/>
    <col min="15412" max="15412" width="0.1796875" style="284" customWidth="1"/>
    <col min="15413" max="15614" width="8.7265625" style="284"/>
    <col min="15615" max="15667" width="1.54296875" style="284" customWidth="1"/>
    <col min="15668" max="15668" width="0.1796875" style="284" customWidth="1"/>
    <col min="15669" max="15870" width="8.7265625" style="284"/>
    <col min="15871" max="15923" width="1.54296875" style="284" customWidth="1"/>
    <col min="15924" max="15924" width="0.1796875" style="284" customWidth="1"/>
    <col min="15925" max="16126" width="8.7265625" style="284"/>
    <col min="16127" max="16179" width="1.54296875" style="284" customWidth="1"/>
    <col min="16180" max="16180" width="0.1796875" style="284" customWidth="1"/>
    <col min="16181" max="16384" width="8.7265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14" t="s">
        <v>817</v>
      </c>
      <c r="V1" s="1214"/>
      <c r="W1" s="1214"/>
      <c r="X1" s="1214"/>
      <c r="Y1" s="1214"/>
      <c r="Z1" s="1214"/>
      <c r="AA1" s="1214"/>
      <c r="AB1" s="1214"/>
      <c r="AC1" s="1214"/>
      <c r="AD1" s="1214"/>
      <c r="AE1" s="1214"/>
      <c r="AF1" s="1214"/>
      <c r="AG1" s="1214"/>
      <c r="AH1" s="1214"/>
      <c r="AI1" s="1214"/>
      <c r="AJ1" s="1214"/>
      <c r="AK1" s="1214"/>
      <c r="AL1" s="1214"/>
      <c r="AM1" s="1214"/>
      <c r="AN1" s="1214"/>
      <c r="AO1" s="1214"/>
      <c r="AP1" s="1214"/>
      <c r="AQ1" s="1214"/>
      <c r="AR1" s="1214"/>
      <c r="AS1" s="1214"/>
      <c r="AT1" s="1214"/>
      <c r="AU1" s="1214"/>
      <c r="AV1" s="1214"/>
      <c r="AW1" s="1214"/>
      <c r="AX1" s="1214"/>
      <c r="AY1" s="1214"/>
      <c r="AZ1" s="1214"/>
      <c r="BA1" s="1214"/>
      <c r="BB1" s="1214"/>
    </row>
    <row r="2" spans="1:63" ht="15" customHeight="1">
      <c r="A2" s="1126" t="s">
        <v>72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58</v>
      </c>
    </row>
    <row r="3" spans="1:63" ht="47" customHeight="1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7"/>
      <c r="BD3" s="288"/>
      <c r="BE3" s="289">
        <f ca="1">RIGHT(BE2,LEN(BE2)-5)+1</f>
        <v>59</v>
      </c>
      <c r="BF3" s="288"/>
      <c r="BG3" s="288"/>
      <c r="BH3" s="288"/>
      <c r="BI3" s="288"/>
      <c r="BJ3" s="288"/>
      <c r="BK3" s="288"/>
    </row>
    <row r="4" spans="1:63" ht="6" customHeight="1">
      <c r="A4" s="1105" t="s">
        <v>804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94" t="s">
        <v>377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5" customHeight="1">
      <c r="A7" s="1122" t="s">
        <v>805</v>
      </c>
      <c r="B7" s="1122"/>
      <c r="C7" s="1122"/>
      <c r="D7" s="1122"/>
      <c r="E7" s="1122"/>
      <c r="F7" s="1122"/>
      <c r="G7" s="1122"/>
      <c r="H7" s="1122"/>
      <c r="I7" s="1122"/>
      <c r="J7" s="1122"/>
      <c r="K7" s="1122"/>
      <c r="L7" s="1122"/>
      <c r="M7" s="1122"/>
      <c r="N7" s="1122"/>
      <c r="O7" s="1122"/>
      <c r="P7" s="1122"/>
      <c r="Q7" s="1122"/>
      <c r="R7" s="1122"/>
      <c r="S7" s="1122"/>
      <c r="T7" s="1122"/>
      <c r="U7" s="1122"/>
      <c r="V7" s="1122"/>
      <c r="W7" s="1122"/>
      <c r="X7" s="1122"/>
      <c r="Y7" s="1122"/>
      <c r="Z7" s="1122"/>
      <c r="AA7" s="1122"/>
      <c r="AB7" s="1122"/>
      <c r="AC7" s="1122"/>
      <c r="AD7" s="1122"/>
      <c r="AE7" s="1122"/>
      <c r="AF7" s="1122"/>
      <c r="AG7" s="1122"/>
      <c r="AH7" s="1122"/>
      <c r="AI7" s="1122"/>
      <c r="AJ7" s="1122"/>
      <c r="AK7" s="1122"/>
      <c r="AL7" s="1122"/>
      <c r="AM7" s="1122"/>
      <c r="AN7" s="1122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03" t="s">
        <v>1057</v>
      </c>
      <c r="B9" s="1124"/>
      <c r="C9" s="1124"/>
      <c r="D9" s="1124"/>
      <c r="E9" s="1124"/>
      <c r="F9" s="1124"/>
      <c r="G9" s="1124"/>
      <c r="H9" s="1124"/>
      <c r="I9" s="1124"/>
      <c r="J9" s="1124"/>
      <c r="K9" s="1124"/>
      <c r="L9" s="1124"/>
      <c r="M9" s="1124"/>
      <c r="N9" s="1124"/>
      <c r="O9" s="1124"/>
      <c r="P9" s="1124"/>
      <c r="Q9" s="1124"/>
      <c r="R9" s="1124"/>
      <c r="S9" s="1124"/>
      <c r="T9" s="1124"/>
      <c r="U9" s="1124"/>
      <c r="V9" s="1124"/>
      <c r="W9" s="1124"/>
      <c r="X9" s="1124"/>
      <c r="Y9" s="1124"/>
      <c r="Z9" s="1124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124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94" t="s">
        <v>764</v>
      </c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  <c r="N10" s="1094"/>
      <c r="O10" s="1094"/>
      <c r="P10" s="1094"/>
      <c r="Q10" s="1094"/>
      <c r="R10" s="1094"/>
      <c r="S10" s="1094"/>
      <c r="T10" s="1094"/>
      <c r="U10" s="1094"/>
      <c r="V10" s="1094"/>
      <c r="W10" s="1094"/>
      <c r="X10" s="1094"/>
      <c r="Y10" s="1094"/>
      <c r="Z10" s="1094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094"/>
      <c r="AO10" s="1094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11" t="str">
        <f>ФОРМА!B3</f>
        <v>ООО «БЭСК»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08" t="s">
        <v>820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899999999999999" customHeight="1">
      <c r="A14" s="1107" t="s">
        <v>821</v>
      </c>
      <c r="B14" s="1107"/>
      <c r="C14" s="1107"/>
      <c r="D14" s="1107"/>
      <c r="E14" s="1107"/>
      <c r="F14" s="1107"/>
      <c r="G14" s="1107"/>
      <c r="H14" s="1107"/>
      <c r="I14" s="1107"/>
      <c r="J14" s="1107"/>
      <c r="K14" s="1107"/>
      <c r="L14" s="1107"/>
      <c r="M14" s="1107"/>
      <c r="N14" s="1107"/>
      <c r="O14" s="1107"/>
      <c r="P14" s="1107"/>
      <c r="Q14" s="1107"/>
      <c r="R14" s="1107"/>
      <c r="S14" s="1107"/>
      <c r="T14" s="1107"/>
      <c r="U14" s="1107"/>
      <c r="V14" s="1107"/>
      <c r="W14" s="1107"/>
      <c r="X14" s="1107"/>
      <c r="Y14" s="1107"/>
      <c r="Z14" s="1107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</row>
    <row r="15" spans="1:63" ht="13.5" customHeight="1">
      <c r="A15" s="1094" t="s">
        <v>74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4"/>
      <c r="O15" s="1094"/>
      <c r="P15" s="1094"/>
      <c r="Q15" s="1094"/>
      <c r="R15" s="1094"/>
      <c r="S15" s="1094"/>
      <c r="T15" s="1094"/>
      <c r="U15" s="1094"/>
      <c r="V15" s="1094"/>
      <c r="W15" s="1094"/>
      <c r="X15" s="1094"/>
      <c r="Y15" s="1094"/>
      <c r="Z15" s="1094"/>
      <c r="AA15" s="1094"/>
      <c r="AB15" s="1094"/>
      <c r="AC15" s="1094"/>
      <c r="AD15" s="1094"/>
      <c r="AE15" s="1094"/>
      <c r="AF15" s="1094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19" t="str">
        <f>ФОРМА!B8</f>
        <v>ООО «Строительные энергетические технологии»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</row>
    <row r="17" spans="1:54" ht="9" customHeight="1">
      <c r="A17" s="1105" t="s">
        <v>820</v>
      </c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  <c r="Q17" s="1118"/>
      <c r="R17" s="1118"/>
      <c r="S17" s="1118"/>
      <c r="T17" s="1118"/>
      <c r="U17" s="1118"/>
      <c r="V17" s="1118"/>
      <c r="W17" s="1118"/>
      <c r="X17" s="1118"/>
      <c r="Y17" s="1118"/>
      <c r="Z17" s="1118"/>
      <c r="AA17" s="1118"/>
      <c r="AB17" s="1118"/>
      <c r="AC17" s="1118"/>
      <c r="AD17" s="1118"/>
      <c r="AE17" s="1118"/>
      <c r="AF17" s="1118"/>
      <c r="AG17" s="1118"/>
      <c r="AH17" s="1118"/>
      <c r="AI17" s="1118"/>
      <c r="AJ17" s="1118"/>
      <c r="AK17" s="1118"/>
      <c r="AL17" s="1118"/>
      <c r="AM17" s="1118"/>
      <c r="AN17" s="1118"/>
      <c r="AO17" s="1118"/>
      <c r="AP17" s="1118"/>
      <c r="AQ17" s="1118"/>
      <c r="AR17" s="1118"/>
      <c r="AS17" s="1118"/>
      <c r="AT17" s="1118"/>
      <c r="AU17" s="1118"/>
      <c r="AV17" s="1118"/>
      <c r="AW17" s="1118"/>
      <c r="AX17" s="1118"/>
      <c r="AY17" s="1118"/>
      <c r="AZ17" s="1118"/>
      <c r="BA17" s="1118"/>
      <c r="BB17" s="1118"/>
    </row>
    <row r="18" spans="1:54" ht="27.75" customHeight="1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1119"/>
      <c r="BB18" s="1119"/>
    </row>
    <row r="19" spans="1:54" ht="7.9" customHeight="1">
      <c r="A19" s="1107" t="s">
        <v>765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1107"/>
      <c r="BB19" s="1107"/>
    </row>
    <row r="20" spans="1:54" ht="19.5" customHeight="1">
      <c r="A20" s="1120" t="s">
        <v>67</v>
      </c>
      <c r="B20" s="1120"/>
      <c r="C20" s="1120"/>
      <c r="D20" s="1120"/>
      <c r="E20" s="1120"/>
      <c r="F20" s="1120"/>
      <c r="G20" s="1120"/>
      <c r="H20" s="1120"/>
      <c r="I20" s="1120"/>
      <c r="J20" s="1120"/>
      <c r="K20" s="1120"/>
      <c r="L20" s="1120"/>
      <c r="M20" s="1120"/>
      <c r="N20" s="1120"/>
      <c r="O20" s="1120"/>
      <c r="P20" s="1120"/>
      <c r="Q20" s="1120"/>
      <c r="R20" s="1120"/>
      <c r="S20" s="1120"/>
      <c r="T20" s="1120"/>
      <c r="U20" s="1120"/>
      <c r="V20" s="1120"/>
      <c r="W20" s="1120"/>
      <c r="X20" s="1120"/>
      <c r="Y20" s="1120"/>
      <c r="Z20" s="1120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</row>
    <row r="21" spans="1:54" ht="12.75" customHeight="1">
      <c r="A21" s="1120" t="s">
        <v>75</v>
      </c>
      <c r="B21" s="1120"/>
      <c r="C21" s="1120"/>
      <c r="D21" s="1120"/>
      <c r="E21" s="1120"/>
      <c r="F21" s="1120"/>
      <c r="G21" s="1120"/>
      <c r="H21" s="1120"/>
      <c r="I21" s="1120"/>
      <c r="J21" s="1120"/>
      <c r="K21" s="1120"/>
      <c r="L21" s="1120"/>
      <c r="M21" s="1120"/>
      <c r="N21" s="1120"/>
      <c r="O21" s="1120"/>
      <c r="P21" s="1120"/>
      <c r="Q21" s="1120"/>
      <c r="R21" s="1120"/>
      <c r="S21" s="1120"/>
      <c r="T21" s="1120"/>
      <c r="U21" s="1120"/>
      <c r="V21" s="1120"/>
      <c r="W21" s="1120"/>
      <c r="X21" s="1120"/>
      <c r="Y21" s="1120"/>
      <c r="Z21" s="1120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</row>
    <row r="22" spans="1:54" ht="2.5" customHeight="1"/>
    <row r="23" spans="1:54" ht="14.25" customHeight="1">
      <c r="A23" s="284" t="s">
        <v>19</v>
      </c>
      <c r="C23" s="1121" t="str">
        <f ca="1">INDIRECT("'АКТЫ скрытых работ'!R"&amp;BE3&amp;"C2",0)</f>
        <v>9-КЛ0,4</v>
      </c>
      <c r="D23" s="1121"/>
      <c r="E23" s="1121"/>
      <c r="F23" s="1121"/>
      <c r="G23" s="1121"/>
      <c r="H23" s="1121"/>
      <c r="I23" s="1121"/>
      <c r="J23" s="1121"/>
      <c r="K23" s="1121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15">
        <f ca="1">INDIRECT("'АКТЫ скрытых работ'!R"&amp;BE3&amp;"C7",0)</f>
        <v>17</v>
      </c>
      <c r="AU23" s="1215"/>
      <c r="AV23" s="1215"/>
      <c r="AW23" s="293" t="s">
        <v>77</v>
      </c>
      <c r="AX23" s="1215" t="str">
        <f ca="1">INDIRECT("'АКТЫ скрытых работ'!R"&amp;BE3&amp;"C8",0)</f>
        <v>ноября</v>
      </c>
      <c r="AY23" s="1215"/>
      <c r="AZ23" s="1215"/>
      <c r="BA23" s="294"/>
      <c r="BB23" s="342">
        <f ca="1">INDIRECT("'АКТЫ скрытых работ'!R"&amp;BE3&amp;"C9",0)</f>
        <v>2024</v>
      </c>
    </row>
    <row r="24" spans="1:54" ht="2.5" customHeight="1"/>
    <row r="25" spans="1:54" ht="24.75" customHeight="1">
      <c r="A25" s="1117" t="s">
        <v>780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</row>
    <row r="26" spans="1:54" ht="12.75" customHeight="1">
      <c r="A26" s="110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02"/>
      <c r="C26" s="1102"/>
      <c r="D26" s="1102"/>
      <c r="E26" s="1102"/>
      <c r="F26" s="1102"/>
      <c r="G26" s="1102"/>
      <c r="H26" s="1102"/>
      <c r="I26" s="1102"/>
      <c r="J26" s="1102"/>
      <c r="K26" s="1102"/>
      <c r="L26" s="1102"/>
      <c r="M26" s="1102"/>
      <c r="N26" s="1102"/>
      <c r="O26" s="1102"/>
      <c r="P26" s="1102"/>
      <c r="Q26" s="1102"/>
      <c r="R26" s="1102"/>
      <c r="S26" s="1102"/>
      <c r="T26" s="1102"/>
      <c r="U26" s="1102"/>
      <c r="V26" s="1102"/>
      <c r="W26" s="1102"/>
      <c r="X26" s="1102"/>
      <c r="Y26" s="1102"/>
      <c r="Z26" s="1102"/>
      <c r="AA26" s="1102"/>
      <c r="AB26" s="1102"/>
      <c r="AC26" s="1102"/>
      <c r="AD26" s="1102"/>
      <c r="AE26" s="1102"/>
      <c r="AF26" s="1102"/>
      <c r="AG26" s="1102"/>
      <c r="AH26" s="1102"/>
      <c r="AI26" s="1102"/>
      <c r="AJ26" s="1102"/>
      <c r="AK26" s="1102"/>
      <c r="AL26" s="1102"/>
      <c r="AM26" s="1102"/>
      <c r="AN26" s="1102"/>
      <c r="AO26" s="1102"/>
      <c r="AP26" s="1102"/>
      <c r="AQ26" s="1102"/>
      <c r="AR26" s="1102"/>
      <c r="AS26" s="1102"/>
      <c r="AT26" s="1102"/>
      <c r="AU26" s="1102"/>
      <c r="AV26" s="1102"/>
      <c r="AW26" s="1102"/>
      <c r="AX26" s="1102"/>
      <c r="AY26" s="1102"/>
      <c r="AZ26" s="1102"/>
      <c r="BA26" s="1102"/>
      <c r="BB26" s="1102"/>
    </row>
    <row r="27" spans="1:54" ht="13.5" customHeight="1">
      <c r="A27" s="110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02"/>
      <c r="C27" s="1102"/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02"/>
      <c r="V27" s="1102"/>
      <c r="W27" s="1102"/>
      <c r="X27" s="1102"/>
      <c r="Y27" s="1102"/>
      <c r="Z27" s="1102"/>
      <c r="AA27" s="1102"/>
      <c r="AB27" s="1102"/>
      <c r="AC27" s="1102"/>
      <c r="AD27" s="1102"/>
      <c r="AE27" s="1102"/>
      <c r="AF27" s="1102"/>
      <c r="AG27" s="1102"/>
      <c r="AH27" s="1102"/>
      <c r="AI27" s="1102"/>
      <c r="AJ27" s="1102"/>
      <c r="AK27" s="1102"/>
      <c r="AL27" s="1102"/>
      <c r="AM27" s="1102"/>
      <c r="AN27" s="1102"/>
      <c r="AO27" s="1102"/>
      <c r="AP27" s="1102"/>
      <c r="AQ27" s="1102"/>
      <c r="AR27" s="1102"/>
      <c r="AS27" s="1102"/>
      <c r="AT27" s="1102"/>
      <c r="AU27" s="1102"/>
      <c r="AV27" s="1102"/>
      <c r="AW27" s="1102"/>
      <c r="AX27" s="1102"/>
      <c r="AY27" s="1102"/>
      <c r="AZ27" s="1102"/>
      <c r="BA27" s="1102"/>
      <c r="BB27" s="1102"/>
    </row>
    <row r="28" spans="1:54" ht="14.5" customHeight="1">
      <c r="A28" s="1219" t="s">
        <v>823</v>
      </c>
      <c r="B28" s="1219"/>
      <c r="C28" s="1219"/>
      <c r="D28" s="1219"/>
      <c r="E28" s="1219"/>
      <c r="F28" s="1219"/>
      <c r="G28" s="1219"/>
      <c r="H28" s="1219"/>
      <c r="I28" s="1219"/>
      <c r="J28" s="1219"/>
      <c r="K28" s="1219"/>
      <c r="L28" s="1219"/>
      <c r="M28" s="1219"/>
      <c r="N28" s="1219"/>
      <c r="O28" s="1219"/>
      <c r="P28" s="1219"/>
      <c r="Q28" s="1219"/>
      <c r="R28" s="1219"/>
      <c r="S28" s="1219"/>
      <c r="T28" s="1219"/>
      <c r="U28" s="1219"/>
      <c r="V28" s="1219"/>
      <c r="W28" s="1219"/>
      <c r="X28" s="1219"/>
      <c r="Y28" s="1219"/>
      <c r="Z28" s="1219"/>
      <c r="AA28" s="1219"/>
      <c r="AB28" s="1219"/>
      <c r="AC28" s="1219"/>
      <c r="AD28" s="1219"/>
      <c r="AE28" s="1219"/>
      <c r="AF28" s="1219"/>
      <c r="AG28" s="1219"/>
      <c r="AH28" s="1219"/>
      <c r="AI28" s="1219"/>
      <c r="AJ28" s="1219"/>
      <c r="AK28" s="1219"/>
      <c r="AL28" s="1219"/>
      <c r="AM28" s="1219"/>
      <c r="AN28" s="1219"/>
      <c r="AO28" s="1219"/>
      <c r="AP28" s="1219"/>
      <c r="AQ28" s="1219"/>
      <c r="AR28" s="1219"/>
      <c r="AS28" s="1219"/>
      <c r="AT28" s="1219"/>
      <c r="AU28" s="1219"/>
      <c r="AV28" s="1219"/>
      <c r="AW28" s="1219"/>
      <c r="AX28" s="1219"/>
      <c r="AY28" s="1219"/>
      <c r="AZ28" s="1219"/>
      <c r="BA28" s="1219"/>
      <c r="BB28" s="1219"/>
    </row>
    <row r="29" spans="1:54">
      <c r="A29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0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02"/>
      <c r="Z29" s="1102"/>
      <c r="AA29" s="1102"/>
      <c r="AB29" s="1102"/>
      <c r="AC29" s="1102"/>
      <c r="AD29" s="1102"/>
      <c r="AE29" s="1102"/>
      <c r="AF29" s="1102"/>
      <c r="AG29" s="1102"/>
      <c r="AH29" s="1102"/>
      <c r="AI29" s="1102"/>
      <c r="AJ29" s="1102"/>
      <c r="AK29" s="1102"/>
      <c r="AL29" s="1102"/>
      <c r="AM29" s="1102"/>
      <c r="AN29" s="1102"/>
      <c r="AO29" s="1102"/>
      <c r="AP29" s="1102"/>
      <c r="AQ29" s="1102"/>
      <c r="AR29" s="1102"/>
      <c r="AS29" s="1102"/>
      <c r="AT29" s="1102"/>
      <c r="AU29" s="1102"/>
      <c r="AV29" s="1102"/>
      <c r="AW29" s="1102"/>
      <c r="AX29" s="1102"/>
      <c r="AY29" s="1102"/>
      <c r="AZ29" s="1102"/>
      <c r="BA29" s="1102"/>
      <c r="BB29" s="1102"/>
    </row>
    <row r="30" spans="1:54" ht="21" customHeight="1">
      <c r="A30" s="1220" t="s">
        <v>809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  <c r="L30" s="1220"/>
      <c r="M30" s="1220"/>
      <c r="N30" s="1220"/>
      <c r="O30" s="1220"/>
      <c r="P30" s="1220"/>
      <c r="Q30" s="1220"/>
      <c r="R30" s="1220"/>
      <c r="S30" s="1220"/>
      <c r="T30" s="1220"/>
      <c r="U30" s="1220"/>
      <c r="V30" s="1220"/>
      <c r="W30" s="1220"/>
      <c r="X30" s="1220"/>
      <c r="Y30" s="1220"/>
      <c r="Z30" s="1220"/>
      <c r="AA30" s="1220"/>
      <c r="AB30" s="1220"/>
      <c r="AC30" s="1220"/>
      <c r="AD30" s="1220"/>
      <c r="AE30" s="1220"/>
      <c r="AF30" s="1220"/>
      <c r="AG30" s="1220"/>
      <c r="AH30" s="1220"/>
      <c r="AI30" s="1220"/>
      <c r="AJ30" s="1220"/>
      <c r="AK30" s="1220"/>
      <c r="AL30" s="1220"/>
      <c r="AM30" s="1220"/>
      <c r="AN30" s="1220"/>
      <c r="AO30" s="1220"/>
      <c r="AP30" s="1220"/>
      <c r="AQ30" s="1220"/>
      <c r="AR30" s="1220"/>
      <c r="AS30" s="1220"/>
      <c r="AT30" s="1220"/>
      <c r="AU30" s="1220"/>
      <c r="AV30" s="1220"/>
      <c r="AW30" s="1220"/>
      <c r="AX30" s="1220"/>
      <c r="AY30" s="1220"/>
      <c r="AZ30" s="1220"/>
      <c r="BA30" s="1220"/>
      <c r="BB30" s="1220"/>
    </row>
    <row r="31" spans="1:54" ht="13.5" customHeight="1">
      <c r="A31" s="1094" t="s">
        <v>766</v>
      </c>
      <c r="B31" s="1094"/>
      <c r="C31" s="1094"/>
      <c r="D31" s="1094"/>
      <c r="E31" s="1094"/>
      <c r="F31" s="1094"/>
      <c r="G31" s="1094"/>
      <c r="H31" s="1094"/>
      <c r="I31" s="1094"/>
      <c r="J31" s="1094"/>
      <c r="K31" s="1094"/>
      <c r="L31" s="1094"/>
      <c r="M31" s="1094"/>
      <c r="N31" s="1094"/>
      <c r="O31" s="1094"/>
      <c r="P31" s="1094"/>
      <c r="Q31" s="1094"/>
      <c r="R31" s="1094"/>
      <c r="S31" s="1094"/>
      <c r="T31" s="1094"/>
      <c r="U31" s="1094"/>
      <c r="V31" s="1094"/>
      <c r="W31" s="1094"/>
      <c r="X31" s="1094"/>
      <c r="Y31" s="1094"/>
      <c r="Z31" s="1094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290"/>
      <c r="AZ31" s="290"/>
      <c r="BA31" s="290"/>
      <c r="BB31" s="290"/>
    </row>
    <row r="32" spans="1:54" ht="15" customHeight="1">
      <c r="A32" s="1102" t="str">
        <f>ПОДПИСИ!B15</f>
        <v xml:space="preserve">Заместитель генерального директора ООО «БЭСК» </v>
      </c>
      <c r="B32" s="1102"/>
      <c r="C32" s="1102"/>
      <c r="D32" s="1102"/>
      <c r="E32" s="1102"/>
      <c r="F32" s="1102"/>
      <c r="G32" s="1102"/>
      <c r="H32" s="1102"/>
      <c r="I32" s="1102"/>
      <c r="J32" s="1102"/>
      <c r="K32" s="1102"/>
      <c r="L32" s="1102"/>
      <c r="M32" s="1102"/>
      <c r="N32" s="1102"/>
      <c r="O32" s="1102"/>
      <c r="P32" s="1102"/>
      <c r="Q32" s="1102"/>
      <c r="R32" s="1102"/>
      <c r="S32" s="1102"/>
      <c r="T32" s="1102"/>
      <c r="U32" s="1102"/>
      <c r="V32" s="1102"/>
      <c r="W32" s="1102"/>
      <c r="X32" s="1102"/>
      <c r="Y32" s="1102"/>
      <c r="Z32" s="1102"/>
      <c r="AA32" s="1102"/>
      <c r="AB32" s="1102"/>
      <c r="AC32" s="1102"/>
      <c r="AD32" s="1102"/>
      <c r="AE32" s="1102"/>
      <c r="AF32" s="1102"/>
      <c r="AG32" s="1102"/>
      <c r="AH32" s="1102"/>
      <c r="AI32" s="1102"/>
      <c r="AJ32" s="1102"/>
      <c r="AK32" s="1102"/>
      <c r="AL32" s="1102"/>
      <c r="AM32" s="1102"/>
      <c r="AN32" s="1102"/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/>
      <c r="AY32" s="1102"/>
      <c r="AZ32" s="1102"/>
      <c r="BA32" s="1102"/>
      <c r="BB32" s="1102"/>
    </row>
    <row r="33" spans="1:54" ht="15" customHeight="1">
      <c r="A33" s="1102" t="str">
        <f>CONCATENATE(ПОДПИСИ!C15,", ",ПОДПИСИ!F15)</f>
        <v xml:space="preserve">Матвеев А.С., </v>
      </c>
      <c r="B33" s="1102"/>
      <c r="C33" s="1102"/>
      <c r="D33" s="1102"/>
      <c r="E33" s="1102"/>
      <c r="F33" s="1102"/>
      <c r="G33" s="1102"/>
      <c r="H33" s="1102"/>
      <c r="I33" s="1102"/>
      <c r="J33" s="1102"/>
      <c r="K33" s="1102"/>
      <c r="L33" s="1102"/>
      <c r="M33" s="1102"/>
      <c r="N33" s="1102"/>
      <c r="O33" s="1102"/>
      <c r="P33" s="1102"/>
      <c r="Q33" s="1102"/>
      <c r="R33" s="1102"/>
      <c r="S33" s="1102"/>
      <c r="T33" s="1102"/>
      <c r="U33" s="1102"/>
      <c r="V33" s="1102"/>
      <c r="W33" s="1102"/>
      <c r="X33" s="1102"/>
      <c r="Y33" s="1102"/>
      <c r="Z33" s="1102"/>
      <c r="AA33" s="1102"/>
      <c r="AB33" s="1102"/>
      <c r="AC33" s="1102"/>
      <c r="AD33" s="1102"/>
      <c r="AE33" s="1102"/>
      <c r="AF33" s="1102"/>
      <c r="AG33" s="1102"/>
      <c r="AH33" s="1102"/>
      <c r="AI33" s="1102"/>
      <c r="AJ33" s="1102"/>
      <c r="AK33" s="1102"/>
      <c r="AL33" s="1102"/>
      <c r="AM33" s="1102"/>
      <c r="AN33" s="1102"/>
      <c r="AO33" s="1102"/>
      <c r="AP33" s="1102"/>
      <c r="AQ33" s="1102"/>
      <c r="AR33" s="1102"/>
      <c r="AS33" s="1102"/>
      <c r="AT33" s="1102"/>
      <c r="AU33" s="1102"/>
      <c r="AV33" s="1102"/>
      <c r="AW33" s="1102"/>
      <c r="AX33" s="1102"/>
      <c r="AY33" s="1102"/>
      <c r="AZ33" s="1102"/>
      <c r="BA33" s="1102"/>
      <c r="BB33" s="1102"/>
    </row>
    <row r="34" spans="1:54" ht="9" customHeight="1">
      <c r="A34" s="1114" t="s">
        <v>824</v>
      </c>
      <c r="B34" s="1115"/>
      <c r="C34" s="1115"/>
      <c r="D34" s="1115"/>
      <c r="E34" s="1115"/>
      <c r="F34" s="1115"/>
      <c r="G34" s="1115"/>
      <c r="H34" s="1115"/>
      <c r="I34" s="1115"/>
      <c r="J34" s="1115"/>
      <c r="K34" s="1115"/>
      <c r="L34" s="1115"/>
      <c r="M34" s="1115"/>
      <c r="N34" s="1115"/>
      <c r="O34" s="1115"/>
      <c r="P34" s="1115"/>
      <c r="Q34" s="1115"/>
      <c r="R34" s="1115"/>
      <c r="S34" s="1115"/>
      <c r="T34" s="1115"/>
      <c r="U34" s="1115"/>
      <c r="V34" s="1115"/>
      <c r="W34" s="1115"/>
      <c r="X34" s="1115"/>
      <c r="Y34" s="1115"/>
      <c r="Z34" s="1115"/>
      <c r="AA34" s="1115"/>
      <c r="AB34" s="1115"/>
      <c r="AC34" s="1115"/>
      <c r="AD34" s="1115"/>
      <c r="AE34" s="1115"/>
      <c r="AF34" s="1115"/>
      <c r="AG34" s="1115"/>
      <c r="AH34" s="1115"/>
      <c r="AI34" s="1115"/>
      <c r="AJ34" s="1115"/>
      <c r="AK34" s="1115"/>
      <c r="AL34" s="1115"/>
      <c r="AM34" s="1115"/>
      <c r="AN34" s="1115"/>
      <c r="AO34" s="1115"/>
      <c r="AP34" s="1115"/>
      <c r="AQ34" s="1115"/>
      <c r="AR34" s="1115"/>
      <c r="AS34" s="1115"/>
      <c r="AT34" s="1115"/>
      <c r="AU34" s="1115"/>
      <c r="AV34" s="1115"/>
      <c r="AW34" s="1115"/>
      <c r="AX34" s="1115"/>
      <c r="AY34" s="1115"/>
      <c r="AZ34" s="1115"/>
      <c r="BA34" s="1115"/>
      <c r="BB34" s="1115"/>
    </row>
    <row r="35" spans="1:54" ht="12.75" customHeight="1">
      <c r="A35" s="1094" t="s">
        <v>767</v>
      </c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/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</row>
    <row r="36" spans="1:54">
      <c r="A36" s="1102" t="str">
        <f>ПОДПИСИ!B17</f>
        <v xml:space="preserve">Заместитель генерального директора ООО «БЭСК» </v>
      </c>
      <c r="B36" s="1102"/>
      <c r="C36" s="1102"/>
      <c r="D36" s="1102"/>
      <c r="E36" s="1102"/>
      <c r="F36" s="1102"/>
      <c r="G36" s="1102"/>
      <c r="H36" s="1102"/>
      <c r="I36" s="1102"/>
      <c r="J36" s="1102"/>
      <c r="K36" s="1102"/>
      <c r="L36" s="1102"/>
      <c r="M36" s="1102"/>
      <c r="N36" s="1102"/>
      <c r="O36" s="1102"/>
      <c r="P36" s="1102"/>
      <c r="Q36" s="1102"/>
      <c r="R36" s="1102"/>
      <c r="S36" s="1102"/>
      <c r="T36" s="1102"/>
      <c r="U36" s="1102"/>
      <c r="V36" s="1102"/>
      <c r="W36" s="1102"/>
      <c r="X36" s="1102"/>
      <c r="Y36" s="1102"/>
      <c r="Z36" s="1102"/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102"/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/>
      <c r="AY36" s="1102"/>
      <c r="AZ36" s="1102"/>
      <c r="BA36" s="1102"/>
      <c r="BB36" s="1102"/>
    </row>
    <row r="37" spans="1:54">
      <c r="A37" s="1102" t="str">
        <f>CONCATENATE(ПОДПИСИ!C17,", ",ПОДПИСИ!F17)</f>
        <v xml:space="preserve">Матвеев А.С., </v>
      </c>
      <c r="B37" s="1102"/>
      <c r="C37" s="1102"/>
      <c r="D37" s="1102"/>
      <c r="E37" s="1102"/>
      <c r="F37" s="1102"/>
      <c r="G37" s="1102"/>
      <c r="H37" s="1102"/>
      <c r="I37" s="1102"/>
      <c r="J37" s="1102"/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02"/>
      <c r="V37" s="1102"/>
      <c r="W37" s="1102"/>
      <c r="X37" s="1102"/>
      <c r="Y37" s="1102"/>
      <c r="Z37" s="1102"/>
      <c r="AA37" s="1102"/>
      <c r="AB37" s="1102"/>
      <c r="AC37" s="1102"/>
      <c r="AD37" s="1102"/>
      <c r="AE37" s="1102"/>
      <c r="AF37" s="1102"/>
      <c r="AG37" s="1102"/>
      <c r="AH37" s="1102"/>
      <c r="AI37" s="1102"/>
      <c r="AJ37" s="1102"/>
      <c r="AK37" s="1102"/>
      <c r="AL37" s="1102"/>
      <c r="AM37" s="1102"/>
      <c r="AN37" s="1102"/>
      <c r="AO37" s="1102"/>
      <c r="AP37" s="1102"/>
      <c r="AQ37" s="1102"/>
      <c r="AR37" s="1102"/>
      <c r="AS37" s="1102"/>
      <c r="AT37" s="1102"/>
      <c r="AU37" s="1102"/>
      <c r="AV37" s="1102"/>
      <c r="AW37" s="1102"/>
      <c r="AX37" s="1102"/>
      <c r="AY37" s="1102"/>
      <c r="AZ37" s="1102"/>
      <c r="BA37" s="1102"/>
      <c r="BB37" s="1102"/>
    </row>
    <row r="38" spans="1:54" ht="14.5" customHeight="1">
      <c r="A38" s="1103" t="s">
        <v>825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>
      <c r="A39" s="1112" t="s">
        <v>976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  <c r="Z39" s="1112"/>
      <c r="AA39" s="1112"/>
      <c r="AB39" s="1112"/>
      <c r="AC39" s="1112"/>
      <c r="AD39" s="1112"/>
      <c r="AE39" s="1112"/>
      <c r="AF39" s="1112"/>
      <c r="AG39" s="1112"/>
      <c r="AH39" s="1112"/>
      <c r="AI39" s="1112"/>
      <c r="AJ39" s="1112"/>
      <c r="AK39" s="1112"/>
      <c r="AL39" s="1112"/>
      <c r="AM39" s="1112"/>
      <c r="AN39" s="1112"/>
      <c r="AO39" s="1112"/>
      <c r="AP39" s="1112"/>
      <c r="AQ39" s="1112"/>
      <c r="AR39" s="1112"/>
      <c r="AS39" s="1112"/>
      <c r="AT39" s="1112"/>
      <c r="AU39" s="1112"/>
      <c r="AV39" s="1112"/>
      <c r="AW39" s="1112"/>
      <c r="AX39" s="1112"/>
      <c r="AY39" s="1112"/>
      <c r="AZ39" s="1112"/>
      <c r="BA39" s="1112"/>
      <c r="BB39" s="1112"/>
    </row>
    <row r="40" spans="1:54">
      <c r="A40" s="1102" t="str">
        <f>ПОДПИСИ!B19</f>
        <v xml:space="preserve"> 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</row>
    <row r="41" spans="1:54">
      <c r="A41" s="1102" t="str">
        <f>CONCATENATE(ПОДПИСИ!C19," ",ПОДПИСИ!F19)</f>
        <v xml:space="preserve">  </v>
      </c>
      <c r="B41" s="1102"/>
      <c r="C41" s="1102"/>
      <c r="D41" s="1102"/>
      <c r="E41" s="1102"/>
      <c r="F41" s="1102"/>
      <c r="G41" s="1102"/>
      <c r="H41" s="1102"/>
      <c r="I41" s="1102"/>
      <c r="J41" s="1102"/>
      <c r="K41" s="1102"/>
      <c r="L41" s="1102"/>
      <c r="M41" s="1102"/>
      <c r="N41" s="1102"/>
      <c r="O41" s="1102"/>
      <c r="P41" s="1102"/>
      <c r="Q41" s="1102"/>
      <c r="R41" s="1102"/>
      <c r="S41" s="1102"/>
      <c r="T41" s="1102"/>
      <c r="U41" s="1102"/>
      <c r="V41" s="1102"/>
      <c r="W41" s="1102"/>
      <c r="X41" s="1102"/>
      <c r="Y41" s="1102"/>
      <c r="Z41" s="1102"/>
      <c r="AA41" s="1102"/>
      <c r="AB41" s="1102"/>
      <c r="AC41" s="1102"/>
      <c r="AD41" s="1102"/>
      <c r="AE41" s="1102"/>
      <c r="AF41" s="1102"/>
      <c r="AG41" s="1102"/>
      <c r="AH41" s="1102"/>
      <c r="AI41" s="1102"/>
      <c r="AJ41" s="1102"/>
      <c r="AK41" s="1102"/>
      <c r="AL41" s="1102"/>
      <c r="AM41" s="1102"/>
      <c r="AN41" s="1102"/>
      <c r="AO41" s="1102"/>
      <c r="AP41" s="1102"/>
      <c r="AQ41" s="1102"/>
      <c r="AR41" s="1102"/>
      <c r="AS41" s="1102"/>
      <c r="AT41" s="1102"/>
      <c r="AU41" s="1102"/>
      <c r="AV41" s="1102"/>
      <c r="AW41" s="1102"/>
      <c r="AX41" s="1102"/>
      <c r="AY41" s="1102"/>
      <c r="AZ41" s="1102"/>
      <c r="BA41" s="1102"/>
      <c r="BB41" s="1102"/>
    </row>
    <row r="42" spans="1:54" ht="15" customHeight="1">
      <c r="A42" s="1107" t="s">
        <v>1008</v>
      </c>
      <c r="B42" s="1107"/>
      <c r="C42" s="1107"/>
      <c r="D42" s="1107"/>
      <c r="E42" s="1107"/>
      <c r="F42" s="1107"/>
      <c r="G42" s="1107"/>
      <c r="H42" s="1107"/>
      <c r="I42" s="1107"/>
      <c r="J42" s="1107"/>
      <c r="K42" s="1107"/>
      <c r="L42" s="1107"/>
      <c r="M42" s="1107"/>
      <c r="N42" s="1107"/>
      <c r="O42" s="1107"/>
      <c r="P42" s="1107"/>
      <c r="Q42" s="1107"/>
      <c r="R42" s="1107"/>
      <c r="S42" s="1107"/>
      <c r="T42" s="1107"/>
      <c r="U42" s="1107"/>
      <c r="V42" s="1107"/>
      <c r="W42" s="1107"/>
      <c r="X42" s="1107"/>
      <c r="Y42" s="1107"/>
      <c r="Z42" s="1107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107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</row>
    <row r="43" spans="1:54" ht="33.75" customHeight="1">
      <c r="A43" s="1112" t="s">
        <v>827</v>
      </c>
      <c r="B43" s="1112"/>
      <c r="C43" s="1112"/>
      <c r="D43" s="1112"/>
      <c r="E43" s="1112"/>
      <c r="F43" s="1112"/>
      <c r="G43" s="1112"/>
      <c r="H43" s="1112"/>
      <c r="I43" s="1112"/>
      <c r="J43" s="1112"/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  <c r="Z43" s="1112"/>
      <c r="AA43" s="1112"/>
      <c r="AB43" s="1112"/>
      <c r="AC43" s="1112"/>
      <c r="AD43" s="1112"/>
      <c r="AE43" s="1112"/>
      <c r="AF43" s="1112"/>
      <c r="AG43" s="1112"/>
      <c r="AH43" s="1112"/>
      <c r="AI43" s="1112"/>
      <c r="AJ43" s="1112"/>
      <c r="AK43" s="1112"/>
      <c r="AL43" s="1112"/>
      <c r="AM43" s="1112"/>
      <c r="AN43" s="1112"/>
      <c r="AO43" s="1112"/>
      <c r="AP43" s="1112"/>
      <c r="AQ43" s="1112"/>
      <c r="AR43" s="1112"/>
      <c r="AS43" s="1112"/>
      <c r="AT43" s="1112"/>
      <c r="AU43" s="1112"/>
      <c r="AV43" s="1112"/>
      <c r="AW43" s="1112"/>
      <c r="AX43" s="1112"/>
      <c r="AY43" s="1112"/>
      <c r="AZ43" s="1112"/>
      <c r="BA43" s="1112"/>
      <c r="BB43" s="1112"/>
    </row>
    <row r="44" spans="1:54">
      <c r="A44" s="1102" t="str">
        <f>ПОДПИСИ!B12</f>
        <v xml:space="preserve">Производитель работ ООО«БЭСК» </v>
      </c>
      <c r="B44" s="1102"/>
      <c r="C44" s="1102"/>
      <c r="D44" s="1102"/>
      <c r="E44" s="1102"/>
      <c r="F44" s="1102"/>
      <c r="G44" s="1102"/>
      <c r="H44" s="1102"/>
      <c r="I44" s="1102"/>
      <c r="J44" s="1102"/>
      <c r="K44" s="1102"/>
      <c r="L44" s="1102"/>
      <c r="M44" s="1102"/>
      <c r="N44" s="1102"/>
      <c r="O44" s="1102"/>
      <c r="P44" s="1102"/>
      <c r="Q44" s="1102"/>
      <c r="R44" s="1102"/>
      <c r="S44" s="1102"/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102"/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/>
      <c r="AY44" s="1102"/>
      <c r="AZ44" s="1102"/>
      <c r="BA44" s="1102"/>
      <c r="BB44" s="1102"/>
    </row>
    <row r="45" spans="1:54" ht="15" customHeight="1">
      <c r="A45" s="1102" t="str">
        <f>CONCATENATE(ПОДПИСИ!C12,", ",ПОДПИСИ!F12)</f>
        <v xml:space="preserve">Махмадов А.Р., </v>
      </c>
      <c r="B45" s="1102"/>
      <c r="C45" s="1102"/>
      <c r="D45" s="1102"/>
      <c r="E45" s="1102"/>
      <c r="F45" s="1102"/>
      <c r="G45" s="1102"/>
      <c r="H45" s="1102"/>
      <c r="I45" s="1102"/>
      <c r="J45" s="1102"/>
      <c r="K45" s="1102"/>
      <c r="L45" s="1102"/>
      <c r="M45" s="1102"/>
      <c r="N45" s="1102"/>
      <c r="O45" s="1102"/>
      <c r="P45" s="1102"/>
      <c r="Q45" s="1102"/>
      <c r="R45" s="1102"/>
      <c r="S45" s="1102"/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  <c r="AF45" s="1102"/>
      <c r="AG45" s="1102"/>
      <c r="AH45" s="1102"/>
      <c r="AI45" s="1102"/>
      <c r="AJ45" s="1102"/>
      <c r="AK45" s="1102"/>
      <c r="AL45" s="1102"/>
      <c r="AM45" s="1102"/>
      <c r="AN45" s="1102"/>
      <c r="AO45" s="1102"/>
      <c r="AP45" s="1102"/>
      <c r="AQ45" s="1102"/>
      <c r="AR45" s="1102"/>
      <c r="AS45" s="1102"/>
      <c r="AT45" s="1102"/>
      <c r="AU45" s="1102"/>
      <c r="AV45" s="1102"/>
      <c r="AW45" s="1102"/>
      <c r="AX45" s="1102"/>
      <c r="AY45" s="1102"/>
      <c r="AZ45" s="1102"/>
      <c r="BA45" s="1102"/>
      <c r="BB45" s="1102"/>
    </row>
    <row r="46" spans="1:54" ht="15.65" customHeight="1">
      <c r="A46" s="1216" t="s">
        <v>1008</v>
      </c>
      <c r="B46" s="1216"/>
      <c r="C46" s="1216"/>
      <c r="D46" s="1216"/>
      <c r="E46" s="1216"/>
      <c r="F46" s="1216"/>
      <c r="G46" s="1216"/>
      <c r="H46" s="1216"/>
      <c r="I46" s="1216"/>
      <c r="J46" s="1216"/>
      <c r="K46" s="1216"/>
      <c r="L46" s="1216"/>
      <c r="M46" s="1216"/>
      <c r="N46" s="1216"/>
      <c r="O46" s="1216"/>
      <c r="P46" s="1216"/>
      <c r="Q46" s="1216"/>
      <c r="R46" s="1216"/>
      <c r="S46" s="1216"/>
      <c r="T46" s="1216"/>
      <c r="U46" s="1216"/>
      <c r="V46" s="1216"/>
      <c r="W46" s="1216"/>
      <c r="X46" s="1216"/>
      <c r="Y46" s="1216"/>
      <c r="Z46" s="1216"/>
      <c r="AA46" s="1216"/>
      <c r="AB46" s="1216"/>
      <c r="AC46" s="1216"/>
      <c r="AD46" s="1216"/>
      <c r="AE46" s="1216"/>
      <c r="AF46" s="1216"/>
      <c r="AG46" s="1216"/>
      <c r="AH46" s="1216"/>
      <c r="AI46" s="1216"/>
      <c r="AJ46" s="1216"/>
      <c r="AK46" s="1216"/>
      <c r="AL46" s="1216"/>
      <c r="AM46" s="1216"/>
      <c r="AN46" s="1216"/>
      <c r="AO46" s="1216"/>
      <c r="AP46" s="1216"/>
      <c r="AQ46" s="1216"/>
      <c r="AR46" s="1216"/>
      <c r="AS46" s="1216"/>
      <c r="AT46" s="1216"/>
      <c r="AU46" s="1216"/>
      <c r="AV46" s="1216"/>
      <c r="AW46" s="1216"/>
      <c r="AX46" s="1216"/>
      <c r="AY46" s="1216"/>
      <c r="AZ46" s="1216"/>
      <c r="BA46" s="1216"/>
      <c r="BB46" s="1216"/>
    </row>
    <row r="47" spans="1:54">
      <c r="A47" s="1094" t="s">
        <v>79</v>
      </c>
      <c r="B47" s="1094"/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</row>
    <row r="48" spans="1:54">
      <c r="A48" s="1104"/>
      <c r="B48" s="1104"/>
      <c r="C48" s="1104"/>
      <c r="D48" s="1104"/>
      <c r="E48" s="1104"/>
      <c r="F48" s="1104"/>
      <c r="G48" s="1104"/>
      <c r="H48" s="1104"/>
      <c r="I48" s="1104"/>
      <c r="J48" s="1104"/>
      <c r="K48" s="1104"/>
      <c r="L48" s="1104"/>
      <c r="M48" s="1104"/>
      <c r="N48" s="1104"/>
      <c r="O48" s="1104"/>
      <c r="P48" s="1104"/>
      <c r="Q48" s="1104"/>
      <c r="R48" s="1104"/>
      <c r="S48" s="1104"/>
      <c r="T48" s="1104"/>
      <c r="U48" s="1104"/>
      <c r="V48" s="1104"/>
      <c r="W48" s="1104"/>
      <c r="X48" s="1104"/>
      <c r="Y48" s="1104"/>
      <c r="Z48" s="1104"/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104"/>
      <c r="BB48" s="1104"/>
    </row>
    <row r="49" spans="1:56" ht="7.5" customHeight="1">
      <c r="A49" s="1105" t="s">
        <v>523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</row>
    <row r="50" spans="1:56" ht="14.25" customHeight="1">
      <c r="A50" s="1217" t="s">
        <v>80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  <c r="L50" s="1217"/>
      <c r="M50" s="1217"/>
      <c r="N50" s="1217"/>
      <c r="O50" s="1217"/>
      <c r="P50" s="1217"/>
      <c r="Q50" s="1217"/>
      <c r="R50" s="1217"/>
      <c r="S50" s="1217"/>
      <c r="T50" s="1217"/>
      <c r="U50" s="1217"/>
      <c r="V50" s="1217"/>
      <c r="W50" s="1217"/>
      <c r="X50" s="1111" t="str">
        <f>ФОРМА!B4</f>
        <v>ООО «БЭСК»</v>
      </c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1111"/>
      <c r="BB50" s="1111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07" t="s">
        <v>828</v>
      </c>
      <c r="Y51" s="1107"/>
      <c r="Z51" s="1107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</row>
    <row r="52" spans="1:56" ht="12" customHeight="1">
      <c r="A52" s="341" t="s">
        <v>9</v>
      </c>
    </row>
    <row r="53" spans="1:56" ht="13.5" customHeight="1">
      <c r="A53" s="1094" t="s">
        <v>524</v>
      </c>
      <c r="B53" s="1094"/>
      <c r="C53" s="1094"/>
      <c r="D53" s="1094"/>
      <c r="E53" s="1094"/>
      <c r="F53" s="1094"/>
      <c r="G53" s="1094"/>
      <c r="H53" s="1094"/>
      <c r="I53" s="1094"/>
      <c r="J53" s="1094"/>
      <c r="K53" s="1094"/>
      <c r="L53" s="1094"/>
      <c r="M53" s="1094"/>
      <c r="N53" s="1094"/>
      <c r="O53" s="1094"/>
      <c r="P53" s="1094"/>
      <c r="Q53" s="1094"/>
      <c r="R53" s="1094"/>
      <c r="S53" s="1094"/>
      <c r="T53" s="1094"/>
      <c r="U53" s="1094"/>
      <c r="V53" s="1094"/>
      <c r="W53" s="1094"/>
      <c r="X53" s="1094"/>
      <c r="Y53" s="1094"/>
      <c r="Z53" s="1094"/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</row>
    <row r="54" spans="1:56" ht="21.75" customHeight="1">
      <c r="A54" s="1119" t="str">
        <f ca="1">INDIRECT("'АКТЫ скрытых работ'!R"&amp;BE3&amp;"C3",0)</f>
        <v>Засыпка кабеля песком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19"/>
      <c r="R54" s="1119"/>
      <c r="S54" s="1119"/>
      <c r="T54" s="1119"/>
      <c r="U54" s="1119"/>
      <c r="V54" s="1119"/>
      <c r="W54" s="1119"/>
      <c r="X54" s="1119"/>
      <c r="Y54" s="1119"/>
      <c r="Z54" s="1119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119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</row>
    <row r="55" spans="1:56" ht="7.5" customHeight="1">
      <c r="A55" s="1105" t="s">
        <v>81</v>
      </c>
      <c r="B55" s="1105"/>
      <c r="C55" s="1105"/>
      <c r="D55" s="1105"/>
      <c r="E55" s="1105"/>
      <c r="F55" s="1105"/>
      <c r="G55" s="1105"/>
      <c r="H55" s="1105"/>
      <c r="I55" s="1105"/>
      <c r="J55" s="1105"/>
      <c r="K55" s="1105"/>
      <c r="L55" s="1105"/>
      <c r="M55" s="1105"/>
      <c r="N55" s="1105"/>
      <c r="O55" s="1105"/>
      <c r="P55" s="1105"/>
      <c r="Q55" s="1105"/>
      <c r="R55" s="1105"/>
      <c r="S55" s="1105"/>
      <c r="T55" s="1105"/>
      <c r="U55" s="1105"/>
      <c r="V55" s="1105"/>
      <c r="W55" s="1105"/>
      <c r="X55" s="1105"/>
      <c r="Y55" s="1105"/>
      <c r="Z55" s="1105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5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</row>
    <row r="56" spans="1:56">
      <c r="A56" s="1094" t="s">
        <v>82</v>
      </c>
      <c r="B56" s="1094"/>
      <c r="C56" s="1094"/>
      <c r="D56" s="1094"/>
      <c r="E56" s="1094"/>
      <c r="F56" s="1094"/>
      <c r="G56" s="1094"/>
      <c r="H56" s="1094"/>
      <c r="I56" s="1094"/>
      <c r="J56" s="1094"/>
      <c r="K56" s="1094"/>
      <c r="L56" s="1094"/>
      <c r="M56" s="1094"/>
      <c r="N56" s="1094"/>
      <c r="O56" s="1094"/>
      <c r="P56" s="1094"/>
      <c r="Q56" s="1094"/>
      <c r="R56" s="1094"/>
      <c r="S56" s="1094"/>
      <c r="T56" s="1094"/>
      <c r="U56" s="1094"/>
      <c r="V56" s="1094"/>
      <c r="W56" s="1094"/>
      <c r="X56" s="1094"/>
      <c r="Y56" s="1094"/>
      <c r="Z56" s="1094"/>
      <c r="AA56" s="1094"/>
      <c r="AB56" s="1111" t="str">
        <f>ФОРМА!B8</f>
        <v>ООО «Строительные энергетические технологии»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08" t="s">
        <v>829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>
      <c r="A58" s="1104" t="str">
        <f>CONCATENATE("Проект Шифр ",ФОРМА!B9)</f>
        <v>Проект Шифр СЭС-23-32939-ЭС-ТКР2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</row>
    <row r="59" spans="1:56" ht="8.25" customHeight="1">
      <c r="A59" s="1105" t="s">
        <v>830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</row>
    <row r="60" spans="1:56">
      <c r="A60" s="1094" t="s">
        <v>768</v>
      </c>
      <c r="B60" s="1094"/>
      <c r="C60" s="1094"/>
      <c r="D60" s="1094"/>
      <c r="E60" s="1094"/>
      <c r="F60" s="1094"/>
      <c r="G60" s="1094"/>
      <c r="H60" s="1094"/>
      <c r="I60" s="1094"/>
      <c r="J60" s="1094"/>
      <c r="K60" s="1094"/>
      <c r="L60" s="1094"/>
      <c r="M60" s="1094"/>
      <c r="N60" s="1094"/>
      <c r="O60" s="1094"/>
      <c r="P60" s="1094"/>
      <c r="Q60" s="1094"/>
      <c r="R60" s="1094"/>
      <c r="S60" s="1094"/>
      <c r="T60" s="1094"/>
      <c r="U60" s="1094"/>
      <c r="V60" s="1094"/>
      <c r="W60" s="1094"/>
      <c r="X60" s="1094"/>
      <c r="Y60" s="1094"/>
      <c r="Z60" s="1094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</row>
    <row r="61" spans="1:56" ht="34.5" customHeight="1">
      <c r="A61" s="1218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  <c r="R61" s="1218"/>
      <c r="S61" s="1218"/>
      <c r="T61" s="1218"/>
      <c r="U61" s="1218"/>
      <c r="V61" s="1218"/>
      <c r="W61" s="1218"/>
      <c r="X61" s="1218"/>
      <c r="Y61" s="1218"/>
      <c r="Z61" s="1218"/>
      <c r="AA61" s="1218"/>
      <c r="AB61" s="1218"/>
      <c r="AC61" s="1218"/>
      <c r="AD61" s="1218"/>
      <c r="AE61" s="1218"/>
      <c r="AF61" s="1218"/>
      <c r="AG61" s="1218"/>
      <c r="AH61" s="1218"/>
      <c r="AI61" s="1218"/>
      <c r="AJ61" s="1218"/>
      <c r="AK61" s="1218"/>
      <c r="AL61" s="1218"/>
      <c r="AM61" s="1218"/>
      <c r="AN61" s="1218"/>
      <c r="AO61" s="1218"/>
      <c r="AP61" s="1218"/>
      <c r="AQ61" s="1218"/>
      <c r="AR61" s="1218"/>
      <c r="AS61" s="1218"/>
      <c r="AT61" s="1218"/>
      <c r="AU61" s="1218"/>
      <c r="AV61" s="1218"/>
      <c r="AW61" s="1218"/>
      <c r="AX61" s="1218"/>
      <c r="AY61" s="1218"/>
      <c r="AZ61" s="1218"/>
      <c r="BA61" s="1218"/>
      <c r="BB61" s="1218"/>
      <c r="BD61" s="291"/>
    </row>
    <row r="62" spans="1:56">
      <c r="A62" s="1107" t="s">
        <v>831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D62" s="291"/>
    </row>
    <row r="63" spans="1:56">
      <c r="A63" s="1094" t="s">
        <v>84</v>
      </c>
      <c r="B63" s="1094"/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D63" s="291"/>
    </row>
    <row r="64" spans="1:56" ht="27.75" customHeight="1">
      <c r="A64" s="1106" t="str">
        <f ca="1">INDIRECT("'АКТЫ скрытых работ'!R"&amp;BE3&amp;"C11",0)</f>
        <v>Исполнительная схема №1.9 Обратная засыпка траншеи песком; Исполнительная схема №1.10 Обратная засыпка котлованов песком; Исполнительная схема №1.11 Обратная засыпка котлованов песком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D64" s="297"/>
    </row>
    <row r="65" spans="1:54" ht="9" customHeight="1">
      <c r="A65" s="1107" t="s">
        <v>525</v>
      </c>
      <c r="B65" s="1107"/>
      <c r="C65" s="1107"/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07"/>
      <c r="AG65" s="1107"/>
      <c r="AH65" s="1107"/>
      <c r="AI65" s="1107"/>
      <c r="AJ65" s="1107"/>
      <c r="AK65" s="1107"/>
      <c r="AL65" s="1107"/>
      <c r="AM65" s="1107"/>
      <c r="AN65" s="1107"/>
      <c r="AO65" s="1107"/>
      <c r="AP65" s="1107"/>
      <c r="AQ65" s="1107"/>
      <c r="AR65" s="1107"/>
      <c r="AS65" s="1107"/>
      <c r="AT65" s="1107"/>
      <c r="AU65" s="1107"/>
      <c r="AV65" s="1107"/>
      <c r="AW65" s="1107"/>
      <c r="AX65" s="1107"/>
      <c r="AY65" s="1107"/>
      <c r="AZ65" s="1107"/>
      <c r="BA65" s="1107"/>
      <c r="BB65" s="1107"/>
    </row>
    <row r="66" spans="1:54" ht="12.75" customHeight="1">
      <c r="A66" s="1094" t="s">
        <v>526</v>
      </c>
      <c r="B66" s="1094"/>
      <c r="C66" s="1094"/>
      <c r="D66" s="1094"/>
      <c r="E66" s="1094"/>
      <c r="F66" s="1094" t="s">
        <v>527</v>
      </c>
      <c r="G66" s="1094"/>
      <c r="H66" s="1094"/>
      <c r="I66" s="1094"/>
      <c r="J66" s="1094"/>
      <c r="K66" s="1094"/>
      <c r="L66" s="1094"/>
      <c r="M66" s="1094"/>
      <c r="N66" s="1094"/>
      <c r="O66" s="1094"/>
      <c r="P66" s="1094"/>
      <c r="Q66" s="1094"/>
      <c r="R66" s="346"/>
      <c r="S66" s="1222">
        <f ca="1">INDIRECT("'АКТЫ скрытых работ'!R"&amp;BE3&amp;"C4",0)</f>
        <v>14</v>
      </c>
      <c r="T66" s="1222"/>
      <c r="U66" s="1222"/>
      <c r="V66" s="495"/>
      <c r="W66" s="1223" t="str">
        <f ca="1">INDIRECT("'АКТЫ скрытых работ'!R"&amp;BE3&amp;"C5",0)</f>
        <v>ноября</v>
      </c>
      <c r="X66" s="1223"/>
      <c r="Y66" s="1223"/>
      <c r="Z66" s="1223"/>
      <c r="AA66" s="1223"/>
      <c r="AB66" s="1223"/>
      <c r="AC66" s="1223"/>
      <c r="AD66" s="496"/>
      <c r="AE66" s="1181">
        <f ca="1">INDIRECT("'АКТЫ скрытых работ'!R"&amp;BE3&amp;"C6",0)</f>
        <v>2024</v>
      </c>
      <c r="AF66" s="1181"/>
      <c r="AG66" s="1181"/>
      <c r="AH66" s="118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832</v>
      </c>
      <c r="B67" s="341"/>
      <c r="C67" s="341"/>
      <c r="D67" s="341" t="s">
        <v>833</v>
      </c>
      <c r="E67" s="341"/>
      <c r="F67" s="1094" t="s">
        <v>89</v>
      </c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341"/>
      <c r="S67" s="1224">
        <f ca="1">INDIRECT("'АКТЫ скрытых работ'!R"&amp;BE3&amp;"C7",0)</f>
        <v>17</v>
      </c>
      <c r="T67" s="1224"/>
      <c r="U67" s="1224"/>
      <c r="V67" s="495"/>
      <c r="W67" s="1225" t="str">
        <f ca="1">INDIRECT("'АКТЫ скрытых работ'!R"&amp;BE3&amp;"C8",0)</f>
        <v>ноября</v>
      </c>
      <c r="X67" s="1225"/>
      <c r="Y67" s="1225"/>
      <c r="Z67" s="1225"/>
      <c r="AA67" s="1225"/>
      <c r="AB67" s="1225"/>
      <c r="AC67" s="1225"/>
      <c r="AD67" s="496"/>
      <c r="AE67" s="1181">
        <f ca="1">INDIRECT("'АКТЫ скрытых работ'!R"&amp;BE3&amp;"C9",0)</f>
        <v>2024</v>
      </c>
      <c r="AF67" s="1181"/>
      <c r="AG67" s="1181"/>
      <c r="AH67" s="118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94" t="s">
        <v>85</v>
      </c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094"/>
      <c r="M69" s="1094"/>
      <c r="N69" s="1094"/>
      <c r="O69" s="1094"/>
      <c r="P69" s="1094"/>
      <c r="Q69" s="1094"/>
      <c r="R69" s="1094"/>
      <c r="S69" s="1094"/>
      <c r="T69" s="1094"/>
      <c r="U69" s="1094"/>
      <c r="V69" s="1221" t="str">
        <f ca="1">INDIRECT("'АКТЫ скрытых работ'!R"&amp;BE3&amp;"C12",0)</f>
        <v>ПУЭ изд. 7, СП 76.13330.2016 "Электротехнические устройства"</v>
      </c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</row>
    <row r="70" spans="1:54" ht="9" customHeight="1">
      <c r="U70" s="296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>
      <c r="A71" s="1104" t="str">
        <f>CONCATENATE("Проект Шифр ",ФОРМА!B9)</f>
        <v>Проект Шифр СЭС-23-32939-ЭС-ТКР2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</row>
    <row r="72" spans="1:54" ht="8.25" customHeight="1">
      <c r="A72" s="1105" t="s">
        <v>834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4">
      <c r="A73" s="1094" t="s">
        <v>769</v>
      </c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094"/>
      <c r="M73" s="1094"/>
      <c r="N73" s="1094"/>
      <c r="O73" s="1094"/>
      <c r="P73" s="1094"/>
      <c r="Q73" s="1094"/>
      <c r="R73" s="1094"/>
      <c r="S73" s="1094"/>
      <c r="T73" s="1094"/>
      <c r="U73" s="1094"/>
      <c r="V73" s="1094"/>
      <c r="W73" s="1094"/>
      <c r="X73" s="1094"/>
      <c r="Y73" s="1094"/>
      <c r="Z73" s="1094"/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</row>
    <row r="74" spans="1:54">
      <c r="A74" s="1104" t="str">
        <f ca="1">INDIRECT("'АКТЫ скрытых работ'!R"&amp;BE3&amp;"C13",0)</f>
        <v>Разработка грунта траншеи</v>
      </c>
      <c r="B74" s="1104"/>
      <c r="C74" s="1104"/>
      <c r="D74" s="1104"/>
      <c r="E74" s="1104"/>
      <c r="F74" s="1104"/>
      <c r="G74" s="1104"/>
      <c r="H74" s="1104"/>
      <c r="I74" s="1104"/>
      <c r="J74" s="1104"/>
      <c r="K74" s="1104"/>
      <c r="L74" s="1104"/>
      <c r="M74" s="1104"/>
      <c r="N74" s="1104"/>
      <c r="O74" s="1104"/>
      <c r="P74" s="1104"/>
      <c r="Q74" s="1104"/>
      <c r="R74" s="1104"/>
      <c r="S74" s="1104"/>
      <c r="T74" s="1104"/>
      <c r="U74" s="1104"/>
      <c r="V74" s="1104"/>
      <c r="W74" s="1104"/>
      <c r="X74" s="1104"/>
      <c r="Y74" s="1104"/>
      <c r="Z74" s="1104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</row>
    <row r="75" spans="1:54" ht="8.25" customHeight="1">
      <c r="A75" s="1105" t="s">
        <v>529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1105"/>
      <c r="Q75" s="1105"/>
      <c r="R75" s="1105"/>
      <c r="S75" s="1105"/>
      <c r="T75" s="1105"/>
      <c r="U75" s="1105"/>
      <c r="V75" s="1105"/>
      <c r="W75" s="1105"/>
      <c r="X75" s="1105"/>
      <c r="Y75" s="1105"/>
      <c r="Z75" s="1105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</row>
    <row r="76" spans="1:54">
      <c r="A76" s="1094" t="s">
        <v>86</v>
      </c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094"/>
      <c r="M76" s="1094"/>
      <c r="N76" s="1094"/>
      <c r="O76" s="1094"/>
      <c r="P76" s="341"/>
      <c r="Q76" s="1098" t="s">
        <v>65</v>
      </c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098"/>
      <c r="AW76" s="1098"/>
      <c r="AX76" s="1098"/>
      <c r="AY76" s="1098"/>
      <c r="AZ76" s="1098"/>
      <c r="BA76" s="1098"/>
      <c r="BB76" s="1098"/>
    </row>
    <row r="77" spans="1:54">
      <c r="A77" s="1094" t="s">
        <v>90</v>
      </c>
      <c r="B77" s="1094"/>
      <c r="C77" s="1094"/>
      <c r="D77" s="1094"/>
      <c r="E77" s="1094"/>
      <c r="F77" s="1094"/>
      <c r="G77" s="1094"/>
      <c r="H77" s="1094"/>
      <c r="I77" s="1094"/>
      <c r="J77" s="1099">
        <f>ФОРМА!F5</f>
        <v>2</v>
      </c>
      <c r="K77" s="1099"/>
      <c r="L77" s="1100" t="s">
        <v>835</v>
      </c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01" t="s">
        <v>87</v>
      </c>
      <c r="B78" s="1101"/>
      <c r="C78" s="1101"/>
      <c r="D78" s="1101"/>
      <c r="E78" s="1101"/>
      <c r="F78" s="1101"/>
      <c r="G78" s="1101"/>
      <c r="H78" s="299"/>
      <c r="I78" s="1102" t="str">
        <f ca="1">INDIRECT("'АКТЫ скрытых работ'!R"&amp;BE3&amp;"C14",0)</f>
        <v>Паспорт №31/08/22 от 31.08.2022 ООО "ДК "Горизонт"</v>
      </c>
      <c r="J78" s="1102"/>
      <c r="K78" s="1102"/>
      <c r="L78" s="1102"/>
      <c r="M78" s="1102"/>
      <c r="N78" s="1102"/>
      <c r="O78" s="1102"/>
      <c r="P78" s="1102"/>
      <c r="Q78" s="1102"/>
      <c r="R78" s="1102"/>
      <c r="S78" s="1102"/>
      <c r="T78" s="1102"/>
      <c r="U78" s="1102"/>
      <c r="V78" s="1102"/>
      <c r="W78" s="1102"/>
      <c r="X78" s="1102"/>
      <c r="Y78" s="1102"/>
      <c r="Z78" s="1102"/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102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</row>
    <row r="79" spans="1:54" ht="27.75" customHeight="1">
      <c r="A79" s="1106" t="str">
        <f ca="1">INDIRECT("'АКТЫ скрытых работ'!R"&amp;BE3&amp;"C11",0)</f>
        <v>Исполнительная схема №1.9 Обратная засыпка траншеи песком; Исполнительная схема №1.10 Обратная засыпка котлованов песком; Исполнительная схема №1.11 Обратная засыпка котлованов песком</v>
      </c>
      <c r="B79" s="1106"/>
      <c r="C79" s="1106"/>
      <c r="D79" s="1106"/>
      <c r="E79" s="1106"/>
      <c r="F79" s="1106"/>
      <c r="G79" s="1106"/>
      <c r="H79" s="1106"/>
      <c r="I79" s="1106"/>
      <c r="J79" s="1106"/>
      <c r="K79" s="1106"/>
      <c r="L79" s="1106"/>
      <c r="M79" s="1106"/>
      <c r="N79" s="1106"/>
      <c r="O79" s="1106"/>
      <c r="P79" s="1106"/>
      <c r="Q79" s="1106"/>
      <c r="R79" s="1106"/>
      <c r="S79" s="1106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106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</row>
    <row r="80" spans="1:54" ht="9" customHeight="1">
      <c r="A80" s="1097" t="s">
        <v>770</v>
      </c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V80" s="1097"/>
      <c r="AW80" s="1097"/>
      <c r="AX80" s="1097"/>
      <c r="AY80" s="1097"/>
      <c r="AZ80" s="1097"/>
      <c r="BA80" s="1097"/>
      <c r="BB80" s="1097"/>
    </row>
    <row r="81" spans="1:54" ht="26.25" customHeight="1">
      <c r="A81" s="1089" t="s">
        <v>546</v>
      </c>
      <c r="B81" s="1089"/>
      <c r="C81" s="1089"/>
      <c r="D81" s="1089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89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</row>
    <row r="82" spans="1:54" ht="23.5" customHeight="1">
      <c r="A82" s="109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90"/>
      <c r="C82" s="1090"/>
      <c r="D82" s="1090"/>
      <c r="E82" s="1090"/>
      <c r="F82" s="1090"/>
      <c r="G82" s="1090"/>
      <c r="H82" s="1090"/>
      <c r="I82" s="1090"/>
      <c r="J82" s="1090"/>
      <c r="K82" s="1090"/>
      <c r="L82" s="1090"/>
      <c r="M82" s="1090"/>
      <c r="N82" s="1090"/>
      <c r="O82" s="1090"/>
      <c r="P82" s="1090"/>
      <c r="Q82" s="1090"/>
      <c r="R82" s="1090"/>
      <c r="S82" s="1090"/>
      <c r="T82" s="1090"/>
      <c r="U82" s="1090"/>
      <c r="V82" s="109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91"/>
      <c r="BA82" s="1091"/>
      <c r="BB82" s="1091"/>
    </row>
    <row r="83" spans="1:54" ht="9" customHeight="1">
      <c r="A83" s="1092" t="s">
        <v>799</v>
      </c>
      <c r="B83" s="1092"/>
      <c r="C83" s="1092"/>
      <c r="D83" s="1092"/>
      <c r="E83" s="1092"/>
      <c r="F83" s="1092"/>
      <c r="G83" s="1092"/>
      <c r="H83" s="1092"/>
      <c r="I83" s="1092"/>
      <c r="J83" s="1092"/>
      <c r="K83" s="1092"/>
      <c r="L83" s="1092"/>
      <c r="M83" s="1092"/>
      <c r="N83" s="1092"/>
      <c r="O83" s="1092"/>
      <c r="P83" s="1092"/>
      <c r="Q83" s="1092"/>
      <c r="R83" s="1092"/>
      <c r="S83" s="1092"/>
      <c r="T83" s="1092"/>
      <c r="U83" s="1092"/>
      <c r="V83" s="109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92" t="s">
        <v>49</v>
      </c>
      <c r="BA83" s="1092"/>
      <c r="BB83" s="1092"/>
    </row>
    <row r="84" spans="1:54" ht="23.5" customHeight="1">
      <c r="A84" s="1090" t="str">
        <f>IF(ПОДПИСИ!B10="","",ПОДПИСИ!D10)</f>
        <v>Величко А.А.</v>
      </c>
      <c r="B84" s="1090"/>
      <c r="C84" s="1090"/>
      <c r="D84" s="1090"/>
      <c r="E84" s="1090"/>
      <c r="F84" s="1090"/>
      <c r="G84" s="1090"/>
      <c r="H84" s="1090"/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91"/>
      <c r="BA84" s="1091"/>
      <c r="BB84" s="1091"/>
    </row>
    <row r="85" spans="1:54" ht="9" customHeight="1">
      <c r="A85" s="1092" t="s">
        <v>799</v>
      </c>
      <c r="B85" s="1092"/>
      <c r="C85" s="1092"/>
      <c r="D85" s="1092"/>
      <c r="E85" s="1092"/>
      <c r="F85" s="1092"/>
      <c r="G85" s="1092"/>
      <c r="H85" s="1092"/>
      <c r="I85" s="1092"/>
      <c r="J85" s="1092"/>
      <c r="K85" s="1092"/>
      <c r="L85" s="1092"/>
      <c r="M85" s="1092"/>
      <c r="N85" s="1092"/>
      <c r="O85" s="1092"/>
      <c r="P85" s="1092"/>
      <c r="Q85" s="1092"/>
      <c r="R85" s="1092"/>
      <c r="S85" s="1092"/>
      <c r="T85" s="1092"/>
      <c r="U85" s="1092"/>
      <c r="V85" s="109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92" t="s">
        <v>49</v>
      </c>
      <c r="BA85" s="1092"/>
      <c r="BB85" s="1092"/>
    </row>
    <row r="86" spans="1:54">
      <c r="A86" s="1089" t="s">
        <v>783</v>
      </c>
      <c r="B86" s="1089"/>
      <c r="C86" s="1089"/>
      <c r="D86" s="1089"/>
      <c r="E86" s="1089"/>
      <c r="F86" s="1089"/>
      <c r="G86" s="1089"/>
      <c r="H86" s="1089"/>
      <c r="I86" s="1089"/>
      <c r="J86" s="1089"/>
      <c r="K86" s="1089"/>
      <c r="L86" s="1089"/>
      <c r="M86" s="1089"/>
      <c r="N86" s="1089"/>
      <c r="O86" s="1089"/>
      <c r="P86" s="1089"/>
      <c r="Q86" s="1089"/>
      <c r="R86" s="1089"/>
      <c r="S86" s="1089"/>
      <c r="T86" s="1089"/>
      <c r="U86" s="1089"/>
      <c r="V86" s="1089"/>
      <c r="W86" s="1089"/>
      <c r="X86" s="1089"/>
      <c r="Y86" s="1089"/>
      <c r="Z86" s="1089"/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</row>
    <row r="87" spans="1:54" ht="23.5" customHeight="1">
      <c r="A87" s="1090" t="str">
        <f>ПОДПИСИ!D15</f>
        <v>Матвеев А.С.</v>
      </c>
      <c r="B87" s="1090"/>
      <c r="C87" s="1090"/>
      <c r="D87" s="1090"/>
      <c r="E87" s="1090"/>
      <c r="F87" s="1090"/>
      <c r="G87" s="1090"/>
      <c r="H87" s="1090"/>
      <c r="I87" s="1090"/>
      <c r="J87" s="1090"/>
      <c r="K87" s="1090"/>
      <c r="L87" s="1090"/>
      <c r="M87" s="1090"/>
      <c r="N87" s="1090"/>
      <c r="O87" s="1090"/>
      <c r="P87" s="1090"/>
      <c r="Q87" s="1090"/>
      <c r="R87" s="1090"/>
      <c r="S87" s="1090"/>
      <c r="T87" s="1090"/>
      <c r="U87" s="1090"/>
      <c r="V87" s="109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91"/>
      <c r="BA87" s="1091"/>
      <c r="BB87" s="1091"/>
    </row>
    <row r="88" spans="1:54" ht="9" customHeight="1">
      <c r="A88" s="1092" t="s">
        <v>799</v>
      </c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2"/>
      <c r="N88" s="1092"/>
      <c r="O88" s="1092"/>
      <c r="P88" s="1092"/>
      <c r="Q88" s="1092"/>
      <c r="R88" s="1092"/>
      <c r="S88" s="1092"/>
      <c r="T88" s="1092"/>
      <c r="U88" s="1092"/>
      <c r="V88" s="109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92" t="s">
        <v>49</v>
      </c>
      <c r="BA88" s="1092"/>
      <c r="BB88" s="1092"/>
    </row>
    <row r="89" spans="1:54" ht="27.75" customHeight="1">
      <c r="A89" s="1089" t="s">
        <v>811</v>
      </c>
      <c r="B89" s="1089"/>
      <c r="C89" s="1089"/>
      <c r="D89" s="1089"/>
      <c r="E89" s="1089"/>
      <c r="F89" s="1089"/>
      <c r="G89" s="1089"/>
      <c r="H89" s="1089"/>
      <c r="I89" s="1089"/>
      <c r="J89" s="1089"/>
      <c r="K89" s="1089"/>
      <c r="L89" s="1089"/>
      <c r="M89" s="1089"/>
      <c r="N89" s="1089"/>
      <c r="O89" s="1089"/>
      <c r="P89" s="1089"/>
      <c r="Q89" s="1089"/>
      <c r="R89" s="1089"/>
      <c r="S89" s="1089"/>
      <c r="T89" s="1089"/>
      <c r="U89" s="1089"/>
      <c r="V89" s="1089"/>
      <c r="W89" s="1089"/>
      <c r="X89" s="1089"/>
      <c r="Y89" s="1089"/>
      <c r="Z89" s="1089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</row>
    <row r="90" spans="1:54" ht="23.5" customHeight="1">
      <c r="A90" s="1090" t="str">
        <f>ПОДПИСИ!D17</f>
        <v>Матвеев А.С.</v>
      </c>
      <c r="B90" s="1090"/>
      <c r="C90" s="1090"/>
      <c r="D90" s="1090"/>
      <c r="E90" s="1090"/>
      <c r="F90" s="1090"/>
      <c r="G90" s="1090"/>
      <c r="H90" s="1090"/>
      <c r="I90" s="1090"/>
      <c r="J90" s="1090"/>
      <c r="K90" s="1090"/>
      <c r="L90" s="1090"/>
      <c r="M90" s="1090"/>
      <c r="N90" s="1090"/>
      <c r="O90" s="1090"/>
      <c r="P90" s="1090"/>
      <c r="Q90" s="1090"/>
      <c r="R90" s="1090"/>
      <c r="S90" s="1090"/>
      <c r="T90" s="1090"/>
      <c r="U90" s="1090"/>
      <c r="V90" s="109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91"/>
      <c r="BA90" s="1091"/>
      <c r="BB90" s="1091"/>
    </row>
    <row r="91" spans="1:54" ht="9" customHeight="1">
      <c r="A91" s="1092" t="s">
        <v>799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92" t="s">
        <v>49</v>
      </c>
      <c r="BA91" s="1092"/>
      <c r="BB91" s="1092"/>
    </row>
    <row r="92" spans="1:54" ht="37.5" customHeight="1">
      <c r="A92" s="1089" t="s">
        <v>801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1089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</row>
    <row r="93" spans="1:54" ht="23.5" customHeight="1">
      <c r="A93" s="1090" t="str">
        <f>ПОДПИСИ!C19</f>
        <v xml:space="preserve"> 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91"/>
      <c r="BA93" s="1091"/>
      <c r="BB93" s="1091"/>
    </row>
    <row r="94" spans="1:54" ht="9" customHeight="1">
      <c r="A94" s="1092" t="s">
        <v>799</v>
      </c>
      <c r="B94" s="1092"/>
      <c r="C94" s="1092"/>
      <c r="D94" s="1092"/>
      <c r="E94" s="1092"/>
      <c r="F94" s="1092"/>
      <c r="G94" s="1092"/>
      <c r="H94" s="1092"/>
      <c r="I94" s="1092"/>
      <c r="J94" s="1092"/>
      <c r="K94" s="1092"/>
      <c r="L94" s="1092"/>
      <c r="M94" s="1092"/>
      <c r="N94" s="1092"/>
      <c r="O94" s="1092"/>
      <c r="P94" s="1092"/>
      <c r="Q94" s="1092"/>
      <c r="R94" s="1092"/>
      <c r="S94" s="1092"/>
      <c r="T94" s="1092"/>
      <c r="U94" s="1092"/>
      <c r="V94" s="109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92" t="s">
        <v>49</v>
      </c>
      <c r="BA94" s="1092"/>
      <c r="BB94" s="1092"/>
    </row>
    <row r="95" spans="1:54" ht="25.5" customHeight="1">
      <c r="A95" s="1089" t="s">
        <v>836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</row>
    <row r="96" spans="1:54" ht="23.5" customHeight="1">
      <c r="A96" s="1090" t="str">
        <f>ПОДПИСИ!D12</f>
        <v>Махмадов А.Р.</v>
      </c>
      <c r="B96" s="1090"/>
      <c r="C96" s="1090"/>
      <c r="D96" s="1090"/>
      <c r="E96" s="1090"/>
      <c r="F96" s="1090"/>
      <c r="G96" s="1090"/>
      <c r="H96" s="1090"/>
      <c r="I96" s="1090"/>
      <c r="J96" s="1090"/>
      <c r="K96" s="1090"/>
      <c r="L96" s="1090"/>
      <c r="M96" s="1090"/>
      <c r="N96" s="1090"/>
      <c r="O96" s="1090"/>
      <c r="P96" s="1090"/>
      <c r="Q96" s="1090"/>
      <c r="R96" s="1090"/>
      <c r="S96" s="1090"/>
      <c r="T96" s="1090"/>
      <c r="U96" s="1090"/>
      <c r="V96" s="109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91"/>
      <c r="BA96" s="1091"/>
      <c r="BB96" s="1091"/>
    </row>
    <row r="97" spans="1:54" ht="9" customHeight="1">
      <c r="A97" s="1092" t="s">
        <v>799</v>
      </c>
      <c r="B97" s="1092"/>
      <c r="C97" s="1092"/>
      <c r="D97" s="1092"/>
      <c r="E97" s="1092"/>
      <c r="F97" s="1092"/>
      <c r="G97" s="1092"/>
      <c r="H97" s="1092"/>
      <c r="I97" s="1092"/>
      <c r="J97" s="1092"/>
      <c r="K97" s="1092"/>
      <c r="L97" s="1092"/>
      <c r="M97" s="1092"/>
      <c r="N97" s="1092"/>
      <c r="O97" s="1092"/>
      <c r="P97" s="1092"/>
      <c r="Q97" s="1092"/>
      <c r="R97" s="1092"/>
      <c r="S97" s="1092"/>
      <c r="T97" s="1092"/>
      <c r="U97" s="1092"/>
      <c r="V97" s="109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92" t="s">
        <v>49</v>
      </c>
      <c r="BA97" s="1092"/>
      <c r="BB97" s="1092"/>
    </row>
    <row r="98" spans="1:54">
      <c r="A98" s="1089" t="s">
        <v>530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89"/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</row>
    <row r="99" spans="1:54" ht="23.5" customHeight="1">
      <c r="A99" s="1090"/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91"/>
      <c r="BA99" s="1091"/>
      <c r="BB99" s="1091"/>
    </row>
    <row r="100" spans="1:54" ht="9" customHeight="1">
      <c r="A100" s="1092" t="s">
        <v>799</v>
      </c>
      <c r="B100" s="1092"/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92" t="s">
        <v>49</v>
      </c>
      <c r="BA100" s="1092"/>
      <c r="BB100" s="1092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activeCell="BI31" sqref="BI31"/>
    </sheetView>
  </sheetViews>
  <sheetFormatPr defaultColWidth="9.1796875" defaultRowHeight="14"/>
  <cols>
    <col min="1" max="24" width="1.7265625" style="7" customWidth="1"/>
    <col min="25" max="25" width="5.453125" style="7" customWidth="1"/>
    <col min="26" max="39" width="1.7265625" style="7" customWidth="1"/>
    <col min="40" max="40" width="4.453125" style="7" customWidth="1"/>
    <col min="41" max="52" width="1.7265625" style="7" customWidth="1"/>
    <col min="53" max="53" width="0.1796875" style="7" customWidth="1"/>
    <col min="54" max="54" width="9.1796875" style="7"/>
    <col min="55" max="58" width="15.7265625" style="7" customWidth="1"/>
    <col min="59" max="254" width="9.1796875" style="7"/>
    <col min="255" max="307" width="1.7265625" style="7" customWidth="1"/>
    <col min="308" max="308" width="0.1796875" style="7" customWidth="1"/>
    <col min="309" max="510" width="9.1796875" style="7"/>
    <col min="511" max="563" width="1.7265625" style="7" customWidth="1"/>
    <col min="564" max="564" width="0.1796875" style="7" customWidth="1"/>
    <col min="565" max="766" width="9.1796875" style="7"/>
    <col min="767" max="819" width="1.7265625" style="7" customWidth="1"/>
    <col min="820" max="820" width="0.1796875" style="7" customWidth="1"/>
    <col min="821" max="1022" width="9.1796875" style="7"/>
    <col min="1023" max="1075" width="1.7265625" style="7" customWidth="1"/>
    <col min="1076" max="1076" width="0.1796875" style="7" customWidth="1"/>
    <col min="1077" max="1278" width="9.1796875" style="7"/>
    <col min="1279" max="1331" width="1.7265625" style="7" customWidth="1"/>
    <col min="1332" max="1332" width="0.1796875" style="7" customWidth="1"/>
    <col min="1333" max="1534" width="9.1796875" style="7"/>
    <col min="1535" max="1587" width="1.7265625" style="7" customWidth="1"/>
    <col min="1588" max="1588" width="0.1796875" style="7" customWidth="1"/>
    <col min="1589" max="1790" width="9.1796875" style="7"/>
    <col min="1791" max="1843" width="1.7265625" style="7" customWidth="1"/>
    <col min="1844" max="1844" width="0.1796875" style="7" customWidth="1"/>
    <col min="1845" max="2046" width="9.1796875" style="7"/>
    <col min="2047" max="2099" width="1.7265625" style="7" customWidth="1"/>
    <col min="2100" max="2100" width="0.1796875" style="7" customWidth="1"/>
    <col min="2101" max="2302" width="9.1796875" style="7"/>
    <col min="2303" max="2355" width="1.7265625" style="7" customWidth="1"/>
    <col min="2356" max="2356" width="0.1796875" style="7" customWidth="1"/>
    <col min="2357" max="2558" width="9.1796875" style="7"/>
    <col min="2559" max="2611" width="1.7265625" style="7" customWidth="1"/>
    <col min="2612" max="2612" width="0.1796875" style="7" customWidth="1"/>
    <col min="2613" max="2814" width="9.1796875" style="7"/>
    <col min="2815" max="2867" width="1.7265625" style="7" customWidth="1"/>
    <col min="2868" max="2868" width="0.1796875" style="7" customWidth="1"/>
    <col min="2869" max="3070" width="9.1796875" style="7"/>
    <col min="3071" max="3123" width="1.7265625" style="7" customWidth="1"/>
    <col min="3124" max="3124" width="0.1796875" style="7" customWidth="1"/>
    <col min="3125" max="3326" width="9.1796875" style="7"/>
    <col min="3327" max="3379" width="1.7265625" style="7" customWidth="1"/>
    <col min="3380" max="3380" width="0.1796875" style="7" customWidth="1"/>
    <col min="3381" max="3582" width="9.1796875" style="7"/>
    <col min="3583" max="3635" width="1.7265625" style="7" customWidth="1"/>
    <col min="3636" max="3636" width="0.1796875" style="7" customWidth="1"/>
    <col min="3637" max="3838" width="9.1796875" style="7"/>
    <col min="3839" max="3891" width="1.7265625" style="7" customWidth="1"/>
    <col min="3892" max="3892" width="0.1796875" style="7" customWidth="1"/>
    <col min="3893" max="4094" width="9.1796875" style="7"/>
    <col min="4095" max="4147" width="1.7265625" style="7" customWidth="1"/>
    <col min="4148" max="4148" width="0.1796875" style="7" customWidth="1"/>
    <col min="4149" max="4350" width="9.1796875" style="7"/>
    <col min="4351" max="4403" width="1.7265625" style="7" customWidth="1"/>
    <col min="4404" max="4404" width="0.1796875" style="7" customWidth="1"/>
    <col min="4405" max="4606" width="9.1796875" style="7"/>
    <col min="4607" max="4659" width="1.7265625" style="7" customWidth="1"/>
    <col min="4660" max="4660" width="0.1796875" style="7" customWidth="1"/>
    <col min="4661" max="4862" width="9.1796875" style="7"/>
    <col min="4863" max="4915" width="1.7265625" style="7" customWidth="1"/>
    <col min="4916" max="4916" width="0.1796875" style="7" customWidth="1"/>
    <col min="4917" max="5118" width="9.1796875" style="7"/>
    <col min="5119" max="5171" width="1.7265625" style="7" customWidth="1"/>
    <col min="5172" max="5172" width="0.1796875" style="7" customWidth="1"/>
    <col min="5173" max="5374" width="9.1796875" style="7"/>
    <col min="5375" max="5427" width="1.7265625" style="7" customWidth="1"/>
    <col min="5428" max="5428" width="0.1796875" style="7" customWidth="1"/>
    <col min="5429" max="5630" width="9.1796875" style="7"/>
    <col min="5631" max="5683" width="1.7265625" style="7" customWidth="1"/>
    <col min="5684" max="5684" width="0.1796875" style="7" customWidth="1"/>
    <col min="5685" max="5886" width="9.1796875" style="7"/>
    <col min="5887" max="5939" width="1.7265625" style="7" customWidth="1"/>
    <col min="5940" max="5940" width="0.1796875" style="7" customWidth="1"/>
    <col min="5941" max="6142" width="9.1796875" style="7"/>
    <col min="6143" max="6195" width="1.7265625" style="7" customWidth="1"/>
    <col min="6196" max="6196" width="0.1796875" style="7" customWidth="1"/>
    <col min="6197" max="6398" width="9.1796875" style="7"/>
    <col min="6399" max="6451" width="1.7265625" style="7" customWidth="1"/>
    <col min="6452" max="6452" width="0.1796875" style="7" customWidth="1"/>
    <col min="6453" max="6654" width="9.1796875" style="7"/>
    <col min="6655" max="6707" width="1.7265625" style="7" customWidth="1"/>
    <col min="6708" max="6708" width="0.1796875" style="7" customWidth="1"/>
    <col min="6709" max="6910" width="9.1796875" style="7"/>
    <col min="6911" max="6963" width="1.7265625" style="7" customWidth="1"/>
    <col min="6964" max="6964" width="0.1796875" style="7" customWidth="1"/>
    <col min="6965" max="7166" width="9.1796875" style="7"/>
    <col min="7167" max="7219" width="1.7265625" style="7" customWidth="1"/>
    <col min="7220" max="7220" width="0.1796875" style="7" customWidth="1"/>
    <col min="7221" max="7422" width="9.1796875" style="7"/>
    <col min="7423" max="7475" width="1.7265625" style="7" customWidth="1"/>
    <col min="7476" max="7476" width="0.1796875" style="7" customWidth="1"/>
    <col min="7477" max="7678" width="9.1796875" style="7"/>
    <col min="7679" max="7731" width="1.7265625" style="7" customWidth="1"/>
    <col min="7732" max="7732" width="0.1796875" style="7" customWidth="1"/>
    <col min="7733" max="7934" width="9.1796875" style="7"/>
    <col min="7935" max="7987" width="1.7265625" style="7" customWidth="1"/>
    <col min="7988" max="7988" width="0.1796875" style="7" customWidth="1"/>
    <col min="7989" max="8190" width="9.1796875" style="7"/>
    <col min="8191" max="8243" width="1.7265625" style="7" customWidth="1"/>
    <col min="8244" max="8244" width="0.1796875" style="7" customWidth="1"/>
    <col min="8245" max="8446" width="9.1796875" style="7"/>
    <col min="8447" max="8499" width="1.7265625" style="7" customWidth="1"/>
    <col min="8500" max="8500" width="0.1796875" style="7" customWidth="1"/>
    <col min="8501" max="8702" width="9.1796875" style="7"/>
    <col min="8703" max="8755" width="1.7265625" style="7" customWidth="1"/>
    <col min="8756" max="8756" width="0.1796875" style="7" customWidth="1"/>
    <col min="8757" max="8958" width="9.1796875" style="7"/>
    <col min="8959" max="9011" width="1.7265625" style="7" customWidth="1"/>
    <col min="9012" max="9012" width="0.1796875" style="7" customWidth="1"/>
    <col min="9013" max="9214" width="9.1796875" style="7"/>
    <col min="9215" max="9267" width="1.7265625" style="7" customWidth="1"/>
    <col min="9268" max="9268" width="0.1796875" style="7" customWidth="1"/>
    <col min="9269" max="9470" width="9.1796875" style="7"/>
    <col min="9471" max="9523" width="1.7265625" style="7" customWidth="1"/>
    <col min="9524" max="9524" width="0.1796875" style="7" customWidth="1"/>
    <col min="9525" max="9726" width="9.1796875" style="7"/>
    <col min="9727" max="9779" width="1.7265625" style="7" customWidth="1"/>
    <col min="9780" max="9780" width="0.1796875" style="7" customWidth="1"/>
    <col min="9781" max="9982" width="9.1796875" style="7"/>
    <col min="9983" max="10035" width="1.7265625" style="7" customWidth="1"/>
    <col min="10036" max="10036" width="0.1796875" style="7" customWidth="1"/>
    <col min="10037" max="10238" width="9.1796875" style="7"/>
    <col min="10239" max="10291" width="1.7265625" style="7" customWidth="1"/>
    <col min="10292" max="10292" width="0.1796875" style="7" customWidth="1"/>
    <col min="10293" max="10494" width="9.1796875" style="7"/>
    <col min="10495" max="10547" width="1.7265625" style="7" customWidth="1"/>
    <col min="10548" max="10548" width="0.1796875" style="7" customWidth="1"/>
    <col min="10549" max="10750" width="9.1796875" style="7"/>
    <col min="10751" max="10803" width="1.7265625" style="7" customWidth="1"/>
    <col min="10804" max="10804" width="0.1796875" style="7" customWidth="1"/>
    <col min="10805" max="11006" width="9.1796875" style="7"/>
    <col min="11007" max="11059" width="1.7265625" style="7" customWidth="1"/>
    <col min="11060" max="11060" width="0.1796875" style="7" customWidth="1"/>
    <col min="11061" max="11262" width="9.1796875" style="7"/>
    <col min="11263" max="11315" width="1.7265625" style="7" customWidth="1"/>
    <col min="11316" max="11316" width="0.1796875" style="7" customWidth="1"/>
    <col min="11317" max="11518" width="9.1796875" style="7"/>
    <col min="11519" max="11571" width="1.7265625" style="7" customWidth="1"/>
    <col min="11572" max="11572" width="0.1796875" style="7" customWidth="1"/>
    <col min="11573" max="11774" width="9.1796875" style="7"/>
    <col min="11775" max="11827" width="1.7265625" style="7" customWidth="1"/>
    <col min="11828" max="11828" width="0.1796875" style="7" customWidth="1"/>
    <col min="11829" max="12030" width="9.1796875" style="7"/>
    <col min="12031" max="12083" width="1.7265625" style="7" customWidth="1"/>
    <col min="12084" max="12084" width="0.1796875" style="7" customWidth="1"/>
    <col min="12085" max="12286" width="9.1796875" style="7"/>
    <col min="12287" max="12339" width="1.7265625" style="7" customWidth="1"/>
    <col min="12340" max="12340" width="0.1796875" style="7" customWidth="1"/>
    <col min="12341" max="12542" width="9.1796875" style="7"/>
    <col min="12543" max="12595" width="1.7265625" style="7" customWidth="1"/>
    <col min="12596" max="12596" width="0.1796875" style="7" customWidth="1"/>
    <col min="12597" max="12798" width="9.1796875" style="7"/>
    <col min="12799" max="12851" width="1.7265625" style="7" customWidth="1"/>
    <col min="12852" max="12852" width="0.1796875" style="7" customWidth="1"/>
    <col min="12853" max="13054" width="9.1796875" style="7"/>
    <col min="13055" max="13107" width="1.7265625" style="7" customWidth="1"/>
    <col min="13108" max="13108" width="0.1796875" style="7" customWidth="1"/>
    <col min="13109" max="13310" width="9.1796875" style="7"/>
    <col min="13311" max="13363" width="1.7265625" style="7" customWidth="1"/>
    <col min="13364" max="13364" width="0.1796875" style="7" customWidth="1"/>
    <col min="13365" max="13566" width="9.1796875" style="7"/>
    <col min="13567" max="13619" width="1.7265625" style="7" customWidth="1"/>
    <col min="13620" max="13620" width="0.1796875" style="7" customWidth="1"/>
    <col min="13621" max="13822" width="9.1796875" style="7"/>
    <col min="13823" max="13875" width="1.7265625" style="7" customWidth="1"/>
    <col min="13876" max="13876" width="0.1796875" style="7" customWidth="1"/>
    <col min="13877" max="14078" width="9.1796875" style="7"/>
    <col min="14079" max="14131" width="1.7265625" style="7" customWidth="1"/>
    <col min="14132" max="14132" width="0.1796875" style="7" customWidth="1"/>
    <col min="14133" max="14334" width="9.1796875" style="7"/>
    <col min="14335" max="14387" width="1.7265625" style="7" customWidth="1"/>
    <col min="14388" max="14388" width="0.1796875" style="7" customWidth="1"/>
    <col min="14389" max="14590" width="9.1796875" style="7"/>
    <col min="14591" max="14643" width="1.7265625" style="7" customWidth="1"/>
    <col min="14644" max="14644" width="0.1796875" style="7" customWidth="1"/>
    <col min="14645" max="14846" width="9.1796875" style="7"/>
    <col min="14847" max="14899" width="1.7265625" style="7" customWidth="1"/>
    <col min="14900" max="14900" width="0.1796875" style="7" customWidth="1"/>
    <col min="14901" max="15102" width="9.1796875" style="7"/>
    <col min="15103" max="15155" width="1.7265625" style="7" customWidth="1"/>
    <col min="15156" max="15156" width="0.1796875" style="7" customWidth="1"/>
    <col min="15157" max="15358" width="9.1796875" style="7"/>
    <col min="15359" max="15411" width="1.7265625" style="7" customWidth="1"/>
    <col min="15412" max="15412" width="0.1796875" style="7" customWidth="1"/>
    <col min="15413" max="15614" width="9.1796875" style="7"/>
    <col min="15615" max="15667" width="1.7265625" style="7" customWidth="1"/>
    <col min="15668" max="15668" width="0.1796875" style="7" customWidth="1"/>
    <col min="15669" max="15870" width="9.1796875" style="7"/>
    <col min="15871" max="15923" width="1.7265625" style="7" customWidth="1"/>
    <col min="15924" max="15924" width="0.1796875" style="7" customWidth="1"/>
    <col min="15925" max="16126" width="9.1796875" style="7"/>
    <col min="16127" max="16179" width="1.7265625" style="7" customWidth="1"/>
    <col min="16180" max="16180" width="0.1796875" style="7" customWidth="1"/>
    <col min="16181" max="16384" width="9.1796875" style="7"/>
  </cols>
  <sheetData>
    <row r="1" spans="1:63" ht="25.5" hidden="1" customHeight="1">
      <c r="R1" s="16"/>
      <c r="S1" s="16"/>
      <c r="T1" s="16"/>
      <c r="U1" s="1273" t="s">
        <v>516</v>
      </c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273"/>
      <c r="AK1" s="1273"/>
      <c r="AL1" s="1273"/>
      <c r="AM1" s="1273"/>
      <c r="AN1" s="1273"/>
      <c r="AO1" s="1273"/>
      <c r="AP1" s="1273"/>
      <c r="AQ1" s="1273"/>
      <c r="AR1" s="1273"/>
      <c r="AS1" s="1273"/>
      <c r="AT1" s="1273"/>
      <c r="AU1" s="1273"/>
      <c r="AV1" s="1273"/>
      <c r="AW1" s="1273"/>
      <c r="AX1" s="1273"/>
      <c r="AY1" s="1273"/>
      <c r="AZ1" s="1273"/>
    </row>
    <row r="2" spans="1:63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274"/>
      <c r="Y3" s="1274"/>
      <c r="Z3" s="1274"/>
      <c r="AA3" s="1274"/>
      <c r="AB3" s="1274"/>
      <c r="AC3" s="1274"/>
      <c r="AD3" s="1274"/>
      <c r="AE3" s="1274"/>
      <c r="AF3" s="1274"/>
      <c r="AG3" s="1274"/>
      <c r="AH3" s="1274"/>
      <c r="AI3" s="1274"/>
      <c r="AJ3" s="1274"/>
      <c r="AK3" s="1274"/>
      <c r="AL3" s="1274"/>
      <c r="AM3" s="1274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5" customHeight="1">
      <c r="A4" s="1240" t="s">
        <v>515</v>
      </c>
      <c r="B4" s="1240"/>
      <c r="C4" s="1240"/>
      <c r="D4" s="1240"/>
      <c r="E4" s="1240"/>
      <c r="F4" s="1240"/>
      <c r="G4" s="1240"/>
      <c r="H4" s="1240"/>
      <c r="I4" s="1240"/>
      <c r="J4" s="1240"/>
      <c r="K4" s="1240"/>
      <c r="L4" s="1240"/>
      <c r="M4" s="1240"/>
      <c r="N4" s="1240"/>
      <c r="O4" s="1240"/>
      <c r="P4" s="1240"/>
      <c r="Q4" s="1240"/>
      <c r="R4" s="1240"/>
      <c r="S4" s="1240"/>
      <c r="T4" s="1240"/>
      <c r="U4" s="1240"/>
      <c r="V4" s="1240"/>
      <c r="W4" s="1240"/>
      <c r="X4" s="1240"/>
      <c r="Y4" s="1240"/>
      <c r="Z4" s="1240"/>
      <c r="AA4" s="1240"/>
      <c r="AB4" s="1240"/>
      <c r="AC4" s="1240"/>
      <c r="AD4" s="1240"/>
      <c r="AE4" s="1240"/>
      <c r="AF4" s="1240"/>
      <c r="AG4" s="1240"/>
      <c r="AH4" s="1240"/>
      <c r="AI4" s="1240"/>
      <c r="AJ4" s="1240"/>
      <c r="AK4" s="1240"/>
      <c r="AL4" s="1240"/>
      <c r="AM4" s="1240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D4" s="10"/>
      <c r="BF4" s="10"/>
      <c r="BG4" s="10"/>
      <c r="BH4" s="10"/>
      <c r="BI4" s="10"/>
      <c r="BJ4" s="10"/>
      <c r="BK4" s="10"/>
    </row>
    <row r="5" spans="1:63">
      <c r="A5" s="1280" t="s">
        <v>377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9" t="s">
        <v>805</v>
      </c>
      <c r="B7" s="1239"/>
      <c r="C7" s="1239"/>
      <c r="D7" s="1239"/>
      <c r="E7" s="1239"/>
      <c r="F7" s="1239"/>
      <c r="G7" s="1239"/>
      <c r="H7" s="1239"/>
      <c r="I7" s="1239"/>
      <c r="J7" s="1239"/>
      <c r="K7" s="1239"/>
      <c r="L7" s="1239"/>
      <c r="M7" s="1239"/>
      <c r="N7" s="1239"/>
      <c r="O7" s="1239"/>
      <c r="P7" s="1239"/>
      <c r="Q7" s="1239"/>
      <c r="R7" s="1239"/>
      <c r="S7" s="1239"/>
      <c r="T7" s="1239"/>
      <c r="U7" s="1239"/>
      <c r="V7" s="1239"/>
      <c r="W7" s="1239"/>
      <c r="X7" s="1239"/>
      <c r="Y7" s="1239"/>
      <c r="Z7" s="1239"/>
      <c r="AA7" s="1239"/>
      <c r="AB7" s="1239"/>
      <c r="AC7" s="1239"/>
      <c r="AD7" s="1239"/>
      <c r="AE7" s="1239"/>
      <c r="AF7" s="1239"/>
      <c r="AG7" s="1239"/>
      <c r="AH7" s="1239"/>
      <c r="AI7" s="1239"/>
      <c r="AJ7" s="1239"/>
      <c r="AK7" s="1239"/>
      <c r="AL7" s="1239"/>
      <c r="AM7" s="1239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/>
      <c r="AY7" s="1239"/>
      <c r="AZ7" s="12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9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5" t="s">
        <v>73</v>
      </c>
      <c r="B10" s="1235"/>
      <c r="C10" s="1235"/>
      <c r="D10" s="1235"/>
      <c r="E10" s="1235"/>
      <c r="F10" s="1235"/>
      <c r="G10" s="1235"/>
      <c r="H10" s="1235"/>
      <c r="I10" s="1235"/>
      <c r="J10" s="1235"/>
      <c r="K10" s="1235"/>
      <c r="L10" s="1235"/>
      <c r="M10" s="1235"/>
      <c r="N10" s="1235"/>
      <c r="O10" s="1235"/>
      <c r="P10" s="1235"/>
      <c r="Q10" s="1235"/>
      <c r="R10" s="1235"/>
      <c r="S10" s="1235"/>
      <c r="T10" s="1235"/>
      <c r="U10" s="1235"/>
      <c r="V10" s="1235"/>
      <c r="W10" s="1235"/>
      <c r="X10" s="1235"/>
      <c r="Y10" s="1235"/>
      <c r="Z10" s="1235"/>
      <c r="AA10" s="1235"/>
      <c r="AB10" s="1235"/>
      <c r="AC10" s="1235"/>
      <c r="AD10" s="1235"/>
      <c r="AE10" s="1235"/>
      <c r="AF10" s="1235"/>
      <c r="AG10" s="1235"/>
      <c r="AH10" s="1235"/>
      <c r="AI10" s="1235"/>
      <c r="AJ10" s="1235"/>
      <c r="AK10" s="1235"/>
      <c r="AL10" s="1235"/>
      <c r="AM10" s="1235"/>
      <c r="AN10" s="1235"/>
      <c r="AO10" s="1235"/>
      <c r="AP10" s="1235"/>
      <c r="AQ10" s="1235"/>
      <c r="AR10" s="1235"/>
      <c r="AS10" s="1235"/>
      <c r="AT10" s="1235"/>
      <c r="AU10" s="1235"/>
      <c r="AV10" s="1235"/>
      <c r="AW10" s="1235"/>
      <c r="AX10" s="1235"/>
      <c r="AY10" s="1235"/>
      <c r="AZ10" s="123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5" customHeight="1">
      <c r="A12" s="1239" t="s">
        <v>820</v>
      </c>
      <c r="B12" s="1239"/>
      <c r="C12" s="1239"/>
      <c r="D12" s="1239"/>
      <c r="E12" s="1239"/>
      <c r="F12" s="1239"/>
      <c r="G12" s="1239"/>
      <c r="H12" s="1239"/>
      <c r="I12" s="1239"/>
      <c r="J12" s="1239"/>
      <c r="K12" s="1239"/>
      <c r="L12" s="1239"/>
      <c r="M12" s="1239"/>
      <c r="N12" s="1239"/>
      <c r="O12" s="1239"/>
      <c r="P12" s="1239"/>
      <c r="Q12" s="1239"/>
      <c r="R12" s="1239"/>
      <c r="S12" s="1239"/>
      <c r="T12" s="1239"/>
      <c r="U12" s="1239"/>
      <c r="V12" s="1239"/>
      <c r="W12" s="1239"/>
      <c r="X12" s="1239"/>
      <c r="Y12" s="1239"/>
      <c r="Z12" s="1239"/>
      <c r="AA12" s="1239"/>
      <c r="AB12" s="1239"/>
      <c r="AC12" s="1239"/>
      <c r="AD12" s="1239"/>
      <c r="AE12" s="1239"/>
      <c r="AF12" s="1239"/>
      <c r="AG12" s="1239"/>
      <c r="AH12" s="1239"/>
      <c r="AI12" s="1239"/>
      <c r="AJ12" s="1239"/>
      <c r="AK12" s="1239"/>
      <c r="AL12" s="1239"/>
      <c r="AM12" s="1239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</row>
    <row r="13" spans="1:63" ht="24.65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5" customHeight="1">
      <c r="A14" s="1239" t="s">
        <v>821</v>
      </c>
      <c r="B14" s="1239"/>
      <c r="C14" s="1239"/>
      <c r="D14" s="1239"/>
      <c r="E14" s="1239"/>
      <c r="F14" s="1239"/>
      <c r="G14" s="1239"/>
      <c r="H14" s="1239"/>
      <c r="I14" s="1239"/>
      <c r="J14" s="1239"/>
      <c r="K14" s="1239"/>
      <c r="L14" s="1239"/>
      <c r="M14" s="1239"/>
      <c r="N14" s="1239"/>
      <c r="O14" s="1239"/>
      <c r="P14" s="1239"/>
      <c r="Q14" s="1239"/>
      <c r="R14" s="1239"/>
      <c r="S14" s="1239"/>
      <c r="T14" s="1239"/>
      <c r="U14" s="1239"/>
      <c r="V14" s="1239"/>
      <c r="W14" s="1239"/>
      <c r="X14" s="1239"/>
      <c r="Y14" s="1239"/>
      <c r="Z14" s="1239"/>
      <c r="AA14" s="1239"/>
      <c r="AB14" s="1239"/>
      <c r="AC14" s="1239"/>
      <c r="AD14" s="1239"/>
      <c r="AE14" s="1239"/>
      <c r="AF14" s="1239"/>
      <c r="AG14" s="1239"/>
      <c r="AH14" s="1239"/>
      <c r="AI14" s="1239"/>
      <c r="AJ14" s="1239"/>
      <c r="AK14" s="1239"/>
      <c r="AL14" s="1239"/>
      <c r="AM14" s="1239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</row>
    <row r="15" spans="1:63">
      <c r="A15" s="1235" t="s">
        <v>74</v>
      </c>
      <c r="B15" s="1235"/>
      <c r="C15" s="1235"/>
      <c r="D15" s="1235"/>
      <c r="E15" s="1235"/>
      <c r="F15" s="1235"/>
      <c r="G15" s="1235"/>
      <c r="H15" s="1235"/>
      <c r="I15" s="1235"/>
      <c r="J15" s="1235"/>
      <c r="K15" s="1235"/>
      <c r="L15" s="1235"/>
      <c r="M15" s="1235"/>
      <c r="N15" s="1235"/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5"/>
      <c r="AA15" s="1235"/>
      <c r="AB15" s="1235"/>
      <c r="AC15" s="1235"/>
      <c r="AD15" s="1235"/>
      <c r="AE15" s="1235"/>
      <c r="AF15" s="1235"/>
      <c r="AG15" s="1235"/>
      <c r="AH15" s="1235"/>
      <c r="AI15" s="1235"/>
      <c r="AJ15" s="1235"/>
      <c r="AK15" s="1235"/>
      <c r="AL15" s="1235"/>
      <c r="AM15" s="1235"/>
      <c r="AN15" s="1235"/>
      <c r="AO15" s="1235"/>
      <c r="AP15" s="1235"/>
      <c r="AQ15" s="1235"/>
      <c r="AR15" s="1235"/>
      <c r="AS15" s="1235"/>
      <c r="AT15" s="1235"/>
      <c r="AU15" s="1235"/>
      <c r="AV15" s="1235"/>
      <c r="AW15" s="1235"/>
      <c r="AX15" s="1235"/>
      <c r="AY15" s="1235"/>
      <c r="AZ15" s="1235"/>
    </row>
    <row r="16" spans="1:63" ht="15" customHeight="1">
      <c r="A16" s="1276" t="str">
        <f>IF(ФОРМА!B8=0," ",ФОРМА!B8)</f>
        <v>ООО «Строительные энергетические технологии»</v>
      </c>
      <c r="B16" s="1276"/>
      <c r="C16" s="1276"/>
      <c r="D16" s="1276"/>
      <c r="E16" s="1276"/>
      <c r="F16" s="1276"/>
      <c r="G16" s="1276"/>
      <c r="H16" s="1276"/>
      <c r="I16" s="1276"/>
      <c r="J16" s="1276"/>
      <c r="K16" s="1276"/>
      <c r="L16" s="1276"/>
      <c r="M16" s="1276"/>
      <c r="N16" s="1276"/>
      <c r="O16" s="1276"/>
      <c r="P16" s="1276"/>
      <c r="Q16" s="1276"/>
      <c r="R16" s="1276"/>
      <c r="S16" s="1276"/>
      <c r="T16" s="1276"/>
      <c r="U16" s="1276"/>
      <c r="V16" s="1276"/>
      <c r="W16" s="1276"/>
      <c r="X16" s="1276"/>
      <c r="Y16" s="1276"/>
      <c r="Z16" s="1276"/>
      <c r="AA16" s="1276"/>
      <c r="AB16" s="1276"/>
      <c r="AC16" s="1276"/>
      <c r="AD16" s="1276"/>
      <c r="AE16" s="1276"/>
      <c r="AF16" s="1276"/>
      <c r="AG16" s="1276"/>
      <c r="AH16" s="1276"/>
      <c r="AI16" s="1276"/>
      <c r="AJ16" s="1276"/>
      <c r="AK16" s="1276"/>
      <c r="AL16" s="1276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</row>
    <row r="17" spans="1:54" s="127" customFormat="1" ht="9.65" customHeight="1">
      <c r="A17" s="1239" t="s">
        <v>820</v>
      </c>
      <c r="B17" s="1239"/>
      <c r="C17" s="1239"/>
      <c r="D17" s="1239"/>
      <c r="E17" s="1239"/>
      <c r="F17" s="1239"/>
      <c r="G17" s="1239"/>
      <c r="H17" s="1239"/>
      <c r="I17" s="1239"/>
      <c r="J17" s="1239"/>
      <c r="K17" s="1239"/>
      <c r="L17" s="1239"/>
      <c r="M17" s="1239"/>
      <c r="N17" s="1239"/>
      <c r="O17" s="1239"/>
      <c r="P17" s="1239"/>
      <c r="Q17" s="1239"/>
      <c r="R17" s="1239"/>
      <c r="S17" s="1239"/>
      <c r="T17" s="1239"/>
      <c r="U17" s="1239"/>
      <c r="V17" s="1239"/>
      <c r="W17" s="1239"/>
      <c r="X17" s="1239"/>
      <c r="Y17" s="1239"/>
      <c r="Z17" s="1239"/>
      <c r="AA17" s="1239"/>
      <c r="AB17" s="1239"/>
      <c r="AC17" s="1239"/>
      <c r="AD17" s="1239"/>
      <c r="AE17" s="1239"/>
      <c r="AF17" s="1239"/>
      <c r="AG17" s="1239"/>
      <c r="AH17" s="1239"/>
      <c r="AI17" s="1239"/>
      <c r="AJ17" s="1239"/>
      <c r="AK17" s="1239"/>
      <c r="AL17" s="1239"/>
      <c r="AM17" s="1239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</row>
    <row r="18" spans="1:54" ht="24" customHeight="1">
      <c r="A18" s="127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6"/>
      <c r="C18" s="1276"/>
      <c r="D18" s="1276"/>
      <c r="E18" s="1276"/>
      <c r="F18" s="1276"/>
      <c r="G18" s="1276"/>
      <c r="H18" s="1276"/>
      <c r="I18" s="1276"/>
      <c r="J18" s="1276"/>
      <c r="K18" s="1276"/>
      <c r="L18" s="1276"/>
      <c r="M18" s="1276"/>
      <c r="N18" s="1276"/>
      <c r="O18" s="1276"/>
      <c r="P18" s="1276"/>
      <c r="Q18" s="1276"/>
      <c r="R18" s="1276"/>
      <c r="S18" s="1276"/>
      <c r="T18" s="1276"/>
      <c r="U18" s="1276"/>
      <c r="V18" s="1276"/>
      <c r="W18" s="1276"/>
      <c r="X18" s="1276"/>
      <c r="Y18" s="1276"/>
      <c r="Z18" s="1276"/>
      <c r="AA18" s="1276"/>
      <c r="AB18" s="1276"/>
      <c r="AC18" s="1276"/>
      <c r="AD18" s="1276"/>
      <c r="AE18" s="1276"/>
      <c r="AF18" s="1276"/>
      <c r="AG18" s="1276"/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</row>
    <row r="19" spans="1:54" s="127" customFormat="1" ht="9.65" customHeight="1">
      <c r="A19" s="1239" t="s">
        <v>765</v>
      </c>
      <c r="B19" s="1239"/>
      <c r="C19" s="1239"/>
      <c r="D19" s="1239"/>
      <c r="E19" s="1239"/>
      <c r="F19" s="1239"/>
      <c r="G19" s="1239"/>
      <c r="H19" s="1239"/>
      <c r="I19" s="1239"/>
      <c r="J19" s="1239"/>
      <c r="K19" s="1239"/>
      <c r="L19" s="1239"/>
      <c r="M19" s="1239"/>
      <c r="N19" s="1239"/>
      <c r="O19" s="1239"/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A19" s="1239"/>
      <c r="AB19" s="1239"/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39"/>
      <c r="AM19" s="1239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</row>
    <row r="20" spans="1:54" ht="5.25" customHeight="1"/>
    <row r="21" spans="1:54" ht="12.75" customHeight="1">
      <c r="A21" s="1275" t="s">
        <v>67</v>
      </c>
      <c r="B21" s="1275"/>
      <c r="C21" s="1275"/>
      <c r="D21" s="1275"/>
      <c r="E21" s="1275"/>
      <c r="F21" s="1275"/>
      <c r="G21" s="1275"/>
      <c r="H21" s="1275"/>
      <c r="I21" s="1275"/>
      <c r="J21" s="1275"/>
      <c r="K21" s="1275"/>
      <c r="L21" s="1275"/>
      <c r="M21" s="1275"/>
      <c r="N21" s="1275"/>
      <c r="O21" s="1275"/>
      <c r="P21" s="1275"/>
      <c r="Q21" s="1275"/>
      <c r="R21" s="1275"/>
      <c r="S21" s="1275"/>
      <c r="T21" s="1275"/>
      <c r="U21" s="1275"/>
      <c r="V21" s="1275"/>
      <c r="W21" s="1275"/>
      <c r="X21" s="1275"/>
      <c r="Y21" s="1275"/>
      <c r="Z21" s="1275"/>
      <c r="AA21" s="1275"/>
      <c r="AB21" s="1275"/>
      <c r="AC21" s="1275"/>
      <c r="AD21" s="1275"/>
      <c r="AE21" s="1275"/>
      <c r="AF21" s="1275"/>
      <c r="AG21" s="1275"/>
      <c r="AH21" s="1275"/>
      <c r="AI21" s="1275"/>
      <c r="AJ21" s="1275"/>
      <c r="AK21" s="1275"/>
      <c r="AL21" s="1275"/>
      <c r="AM21" s="1275"/>
      <c r="AN21" s="1275"/>
      <c r="AO21" s="1275"/>
      <c r="AP21" s="1275"/>
      <c r="AQ21" s="1275"/>
      <c r="AR21" s="1275"/>
      <c r="AS21" s="1275"/>
      <c r="AT21" s="1275"/>
      <c r="AU21" s="1275"/>
      <c r="AV21" s="1275"/>
      <c r="AW21" s="1275"/>
      <c r="AX21" s="1275"/>
      <c r="AY21" s="1275"/>
      <c r="AZ21" s="1275"/>
    </row>
    <row r="22" spans="1:54" ht="12.75" customHeight="1">
      <c r="A22" s="1275" t="s">
        <v>378</v>
      </c>
      <c r="B22" s="1275"/>
      <c r="C22" s="1275"/>
      <c r="D22" s="1275"/>
      <c r="E22" s="1275"/>
      <c r="F22" s="1275"/>
      <c r="G22" s="1275"/>
      <c r="H22" s="1275"/>
      <c r="I22" s="1275"/>
      <c r="J22" s="1275"/>
      <c r="K22" s="1275"/>
      <c r="L22" s="1275"/>
      <c r="M22" s="1275"/>
      <c r="N22" s="1275"/>
      <c r="O22" s="1275"/>
      <c r="P22" s="1275"/>
      <c r="Q22" s="1275"/>
      <c r="R22" s="1275"/>
      <c r="S22" s="1275"/>
      <c r="T22" s="1275"/>
      <c r="U22" s="1275"/>
      <c r="V22" s="1275"/>
      <c r="W22" s="1275"/>
      <c r="X22" s="1275"/>
      <c r="Y22" s="1275"/>
      <c r="Z22" s="1275"/>
      <c r="AA22" s="1275"/>
      <c r="AB22" s="1275"/>
      <c r="AC22" s="1275"/>
      <c r="AD22" s="1275"/>
      <c r="AE22" s="1275"/>
      <c r="AF22" s="1275"/>
      <c r="AG22" s="1275"/>
      <c r="AH22" s="1275"/>
      <c r="AI22" s="1275"/>
      <c r="AJ22" s="1275"/>
      <c r="AK22" s="1275"/>
      <c r="AL22" s="1275"/>
      <c r="AM22" s="1275"/>
      <c r="AN22" s="1275"/>
      <c r="AO22" s="1275"/>
      <c r="AP22" s="1275"/>
      <c r="AQ22" s="1275"/>
      <c r="AR22" s="1275"/>
      <c r="AS22" s="1275"/>
      <c r="AT22" s="1275"/>
      <c r="AU22" s="1275"/>
      <c r="AV22" s="1275"/>
      <c r="AW22" s="1275"/>
      <c r="AX22" s="1275"/>
      <c r="AY22" s="1275"/>
      <c r="AZ22" s="1275"/>
    </row>
    <row r="23" spans="1:54" ht="6.75" customHeight="1"/>
    <row r="24" spans="1:54" ht="14.25" customHeight="1">
      <c r="A24" s="7" t="s">
        <v>19</v>
      </c>
      <c r="C24" s="1228" t="str">
        <f ca="1">INDIRECT("'АКТЫ скрытых работ'!R"&amp;BE3&amp;"C2",0)</f>
        <v>2-КЗ_КК_5</v>
      </c>
      <c r="D24" s="1228"/>
      <c r="E24" s="1228"/>
      <c r="F24" s="1228"/>
      <c r="G24" s="1228"/>
      <c r="H24" s="1228"/>
      <c r="I24" s="1228"/>
      <c r="J24" s="1228"/>
      <c r="K24" s="1228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2" t="str">
        <f ca="1">INDIRECT("'АКТЫ скрытых работ'!R"&amp;BE3&amp;"C8",0)</f>
        <v>ноября</v>
      </c>
      <c r="AO24" s="1272"/>
      <c r="AP24" s="1272"/>
      <c r="AQ24" s="1272"/>
      <c r="AR24" s="1272"/>
      <c r="AS24" s="1272"/>
      <c r="AT24" s="1272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1500000000000004" customHeight="1"/>
    <row r="26" spans="1:54" ht="27.65" customHeight="1">
      <c r="A26" s="1266" t="s">
        <v>780</v>
      </c>
      <c r="B26" s="1267"/>
      <c r="C26" s="1267"/>
      <c r="D26" s="1267"/>
      <c r="E26" s="1267"/>
      <c r="F26" s="1267"/>
      <c r="G26" s="1267"/>
      <c r="H26" s="1267"/>
      <c r="I26" s="1267"/>
      <c r="J26" s="1267"/>
      <c r="K26" s="1267"/>
      <c r="L26" s="1267"/>
      <c r="M26" s="1267"/>
      <c r="N26" s="1267"/>
      <c r="O26" s="1267"/>
      <c r="P26" s="1267"/>
      <c r="Q26" s="1267"/>
      <c r="R26" s="1267"/>
      <c r="S26" s="1267"/>
      <c r="T26" s="1267"/>
      <c r="U26" s="1267"/>
      <c r="V26" s="1267"/>
      <c r="W26" s="1267"/>
      <c r="X26" s="1267"/>
      <c r="Y26" s="1267"/>
      <c r="Z26" s="1267"/>
      <c r="AA26" s="1267"/>
      <c r="AB26" s="1267"/>
      <c r="AC26" s="1267"/>
      <c r="AD26" s="1267"/>
      <c r="AE26" s="1267"/>
      <c r="AF26" s="1267"/>
      <c r="AG26" s="1267"/>
      <c r="AH26" s="1267"/>
      <c r="AI26" s="1267"/>
      <c r="AJ26" s="1267"/>
      <c r="AK26" s="1267"/>
      <c r="AL26" s="1267"/>
      <c r="AM26" s="1267"/>
      <c r="AN26" s="1267"/>
      <c r="AO26" s="1267"/>
      <c r="AP26" s="1267"/>
      <c r="AQ26" s="1267"/>
      <c r="AR26" s="1267"/>
      <c r="AS26" s="1267"/>
      <c r="AT26" s="1267"/>
      <c r="AU26" s="1267"/>
      <c r="AV26" s="1267"/>
      <c r="AW26" s="1267"/>
      <c r="AX26" s="1267"/>
      <c r="AY26" s="1267"/>
      <c r="AZ26" s="1267"/>
    </row>
    <row r="27" spans="1:54" ht="12" customHeight="1">
      <c r="A27" s="1268" t="str">
        <f>ПОДПИСИ!B6</f>
        <v>Начальник мастерского участка №1 Курортного РЭС ПАО «Россети Ленэнерго» «СЭС»</v>
      </c>
      <c r="B27" s="1268"/>
      <c r="C27" s="1268"/>
      <c r="D27" s="1268"/>
      <c r="E27" s="1268"/>
      <c r="F27" s="1268"/>
      <c r="G27" s="1268"/>
      <c r="H27" s="1268"/>
      <c r="I27" s="1268"/>
      <c r="J27" s="1268"/>
      <c r="K27" s="1268"/>
      <c r="L27" s="1268"/>
      <c r="M27" s="1268"/>
      <c r="N27" s="1268"/>
      <c r="O27" s="1268"/>
      <c r="P27" s="1268"/>
      <c r="Q27" s="1268"/>
      <c r="R27" s="1268"/>
      <c r="S27" s="1268"/>
      <c r="T27" s="1268"/>
      <c r="U27" s="1268"/>
      <c r="V27" s="1268"/>
      <c r="W27" s="1268"/>
      <c r="X27" s="1268"/>
      <c r="Y27" s="1268"/>
      <c r="Z27" s="1268"/>
      <c r="AA27" s="1268"/>
      <c r="AB27" s="1268"/>
      <c r="AC27" s="1268"/>
      <c r="AD27" s="1268"/>
      <c r="AE27" s="1268"/>
      <c r="AF27" s="1268"/>
      <c r="AG27" s="1268"/>
      <c r="AH27" s="1268"/>
      <c r="AI27" s="1268"/>
      <c r="AJ27" s="1268"/>
      <c r="AK27" s="1268"/>
      <c r="AL27" s="1268"/>
      <c r="AM27" s="1268"/>
      <c r="AN27" s="1268"/>
      <c r="AO27" s="1268"/>
      <c r="AP27" s="1268"/>
      <c r="AQ27" s="1268"/>
      <c r="AR27" s="1268"/>
      <c r="AS27" s="1268"/>
      <c r="AT27" s="1268"/>
      <c r="AU27" s="1268"/>
      <c r="AV27" s="1268"/>
      <c r="AW27" s="1268"/>
      <c r="AX27" s="1268"/>
      <c r="AY27" s="1268"/>
      <c r="AZ27" s="1268"/>
    </row>
    <row r="28" spans="1:54" ht="12" customHeight="1">
      <c r="A28" s="1269" t="str">
        <f>CONCATENATE(ПОДПИСИ!C6,ПОДПИСИ!F6)</f>
        <v xml:space="preserve">Чечин Д.М. </v>
      </c>
      <c r="B28" s="1269"/>
      <c r="C28" s="1269"/>
      <c r="D28" s="1269"/>
      <c r="E28" s="1269"/>
      <c r="F28" s="1269"/>
      <c r="G28" s="1269"/>
      <c r="H28" s="1269"/>
      <c r="I28" s="1269"/>
      <c r="J28" s="1269"/>
      <c r="K28" s="1269"/>
      <c r="L28" s="1269"/>
      <c r="M28" s="1269"/>
      <c r="N28" s="1269"/>
      <c r="O28" s="1269"/>
      <c r="P28" s="1269"/>
      <c r="Q28" s="1269"/>
      <c r="R28" s="1269"/>
      <c r="S28" s="1269"/>
      <c r="T28" s="1269"/>
      <c r="U28" s="1269"/>
      <c r="V28" s="1269"/>
      <c r="W28" s="1269"/>
      <c r="X28" s="1269"/>
      <c r="Y28" s="1269"/>
      <c r="Z28" s="1269"/>
      <c r="AA28" s="1269"/>
      <c r="AB28" s="1269"/>
      <c r="AC28" s="1269"/>
      <c r="AD28" s="1269"/>
      <c r="AE28" s="1269"/>
      <c r="AF28" s="1269"/>
      <c r="AG28" s="1269"/>
      <c r="AH28" s="1269"/>
      <c r="AI28" s="1269"/>
      <c r="AJ28" s="1269"/>
      <c r="AK28" s="1269"/>
      <c r="AL28" s="1269"/>
      <c r="AM28" s="1269"/>
      <c r="AN28" s="1269"/>
      <c r="AO28" s="1269"/>
      <c r="AP28" s="1269"/>
      <c r="AQ28" s="1269"/>
      <c r="AR28" s="1269"/>
      <c r="AS28" s="1269"/>
      <c r="AT28" s="1269"/>
      <c r="AU28" s="1269"/>
      <c r="AV28" s="1269"/>
      <c r="AW28" s="1269"/>
      <c r="AX28" s="1269"/>
      <c r="AY28" s="1269"/>
      <c r="AZ28" s="1269"/>
    </row>
    <row r="29" spans="1:54" ht="13.15" customHeight="1">
      <c r="A29" s="1270" t="s">
        <v>823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4" s="284" customFormat="1">
      <c r="A30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02"/>
      <c r="C30" s="1102"/>
      <c r="D30" s="1102"/>
      <c r="E30" s="1102"/>
      <c r="F30" s="1102"/>
      <c r="G30" s="1102"/>
      <c r="H30" s="1102"/>
      <c r="I30" s="1102"/>
      <c r="J30" s="1102"/>
      <c r="K30" s="1102"/>
      <c r="L30" s="1102"/>
      <c r="M30" s="1102"/>
      <c r="N30" s="1102"/>
      <c r="O30" s="1102"/>
      <c r="P30" s="1102"/>
      <c r="Q30" s="1102"/>
      <c r="R30" s="1102"/>
      <c r="S30" s="1102"/>
      <c r="T30" s="1102"/>
      <c r="U30" s="1102"/>
      <c r="V30" s="1102"/>
      <c r="W30" s="1102"/>
      <c r="X30" s="1102"/>
      <c r="Y30" s="1102"/>
      <c r="Z30" s="1102"/>
      <c r="AA30" s="1102"/>
      <c r="AB30" s="1102"/>
      <c r="AC30" s="1102"/>
      <c r="AD30" s="1102"/>
      <c r="AE30" s="1102"/>
      <c r="AF30" s="1102"/>
      <c r="AG30" s="1102"/>
      <c r="AH30" s="1102"/>
      <c r="AI30" s="1102"/>
      <c r="AJ30" s="1102"/>
      <c r="AK30" s="1102"/>
      <c r="AL30" s="1102"/>
      <c r="AM30" s="1102"/>
      <c r="AN30" s="1102"/>
      <c r="AO30" s="1102"/>
      <c r="AP30" s="1102"/>
      <c r="AQ30" s="1102"/>
      <c r="AR30" s="1102"/>
      <c r="AS30" s="1102"/>
      <c r="AT30" s="1102"/>
      <c r="AU30" s="1102"/>
      <c r="AV30" s="1102"/>
      <c r="AW30" s="1102"/>
      <c r="AX30" s="1102"/>
      <c r="AY30" s="1102"/>
      <c r="AZ30" s="1102"/>
      <c r="BA30" s="566"/>
      <c r="BB30" s="567"/>
    </row>
    <row r="31" spans="1:54" s="284" customFormat="1" ht="21" customHeight="1">
      <c r="A31" s="1220" t="s">
        <v>809</v>
      </c>
      <c r="B31" s="1220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0"/>
      <c r="N31" s="1220"/>
      <c r="O31" s="1220"/>
      <c r="P31" s="1220"/>
      <c r="Q31" s="1220"/>
      <c r="R31" s="1220"/>
      <c r="S31" s="1220"/>
      <c r="T31" s="1220"/>
      <c r="U31" s="1220"/>
      <c r="V31" s="1220"/>
      <c r="W31" s="1220"/>
      <c r="X31" s="1220"/>
      <c r="Y31" s="1220"/>
      <c r="Z31" s="1220"/>
      <c r="AA31" s="1220"/>
      <c r="AB31" s="1220"/>
      <c r="AC31" s="1220"/>
      <c r="AD31" s="1220"/>
      <c r="AE31" s="1220"/>
      <c r="AF31" s="1220"/>
      <c r="AG31" s="1220"/>
      <c r="AH31" s="1220"/>
      <c r="AI31" s="1220"/>
      <c r="AJ31" s="1220"/>
      <c r="AK31" s="1220"/>
      <c r="AL31" s="1220"/>
      <c r="AM31" s="1220"/>
      <c r="AN31" s="1220"/>
      <c r="AO31" s="1220"/>
      <c r="AP31" s="1220"/>
      <c r="AQ31" s="1220"/>
      <c r="AR31" s="1220"/>
      <c r="AS31" s="1220"/>
      <c r="AT31" s="1220"/>
      <c r="AU31" s="1220"/>
      <c r="AV31" s="1220"/>
      <c r="AW31" s="1220"/>
      <c r="AX31" s="1220"/>
      <c r="AY31" s="1220"/>
      <c r="AZ31" s="1220"/>
      <c r="BA31" s="565"/>
      <c r="BB31" s="568"/>
    </row>
    <row r="32" spans="1:54" ht="12" customHeight="1">
      <c r="A32" s="1235" t="s">
        <v>766</v>
      </c>
      <c r="B32" s="1235"/>
      <c r="C32" s="1235"/>
      <c r="D32" s="1235"/>
      <c r="E32" s="1235"/>
      <c r="F32" s="1235"/>
      <c r="G32" s="1235"/>
      <c r="H32" s="1235"/>
      <c r="I32" s="1235"/>
      <c r="J32" s="1235"/>
      <c r="K32" s="1235"/>
      <c r="L32" s="1235"/>
      <c r="M32" s="1235"/>
      <c r="N32" s="1235"/>
      <c r="O32" s="1235"/>
      <c r="P32" s="1235"/>
      <c r="Q32" s="1235"/>
      <c r="R32" s="1235"/>
      <c r="S32" s="1235"/>
      <c r="T32" s="1235"/>
      <c r="U32" s="1235"/>
      <c r="V32" s="1235"/>
      <c r="W32" s="1235"/>
      <c r="X32" s="1235"/>
      <c r="Y32" s="1235"/>
      <c r="Z32" s="1235"/>
      <c r="AA32" s="1235"/>
      <c r="AB32" s="1235"/>
      <c r="AC32" s="1235"/>
      <c r="AD32" s="1235"/>
      <c r="AE32" s="1235"/>
      <c r="AF32" s="1235"/>
      <c r="AG32" s="1235"/>
      <c r="AH32" s="1235"/>
      <c r="AI32" s="1235"/>
      <c r="AJ32" s="1235"/>
      <c r="AK32" s="1235"/>
      <c r="AL32" s="1235"/>
      <c r="AM32" s="1235"/>
      <c r="AN32" s="1235"/>
      <c r="AO32" s="1235"/>
      <c r="AP32" s="1235"/>
      <c r="AQ32" s="1235"/>
      <c r="AR32" s="1235"/>
      <c r="AS32" s="1235"/>
      <c r="AT32" s="1235"/>
      <c r="AU32" s="1235"/>
      <c r="AV32" s="1235"/>
      <c r="AW32" s="1235"/>
      <c r="AX32" s="1235"/>
      <c r="AY32" s="1235"/>
      <c r="AZ32" s="1235"/>
    </row>
    <row r="33" spans="1:54" ht="12" customHeight="1">
      <c r="A33" s="1254" t="str">
        <f>ПОДПИСИ!B15</f>
        <v xml:space="preserve">Заместитель генерального директора ООО «БЭСК» </v>
      </c>
      <c r="B33" s="1254"/>
      <c r="C33" s="1254"/>
      <c r="D33" s="1254"/>
      <c r="E33" s="1254"/>
      <c r="F33" s="1254"/>
      <c r="G33" s="1254"/>
      <c r="H33" s="1254"/>
      <c r="I33" s="1254"/>
      <c r="J33" s="1254"/>
      <c r="K33" s="1254"/>
      <c r="L33" s="1254"/>
      <c r="M33" s="1254"/>
      <c r="N33" s="1254"/>
      <c r="O33" s="1254"/>
      <c r="P33" s="1254"/>
      <c r="Q33" s="1254"/>
      <c r="R33" s="1254"/>
      <c r="S33" s="1254"/>
      <c r="T33" s="1254"/>
      <c r="U33" s="1254"/>
      <c r="V33" s="1254"/>
      <c r="W33" s="1254"/>
      <c r="X33" s="1254"/>
      <c r="Y33" s="1254"/>
      <c r="Z33" s="1254"/>
      <c r="AA33" s="1254"/>
      <c r="AB33" s="1254"/>
      <c r="AC33" s="1254"/>
      <c r="AD33" s="1254"/>
      <c r="AE33" s="1254"/>
      <c r="AF33" s="1254"/>
      <c r="AG33" s="1254"/>
      <c r="AH33" s="1254"/>
      <c r="AI33" s="1254"/>
      <c r="AJ33" s="1254"/>
      <c r="AK33" s="1254"/>
      <c r="AL33" s="1254"/>
      <c r="AM33" s="1254"/>
      <c r="AN33" s="1254"/>
      <c r="AO33" s="1254"/>
      <c r="AP33" s="1254"/>
      <c r="AQ33" s="1254"/>
      <c r="AR33" s="1254"/>
      <c r="AS33" s="1254"/>
      <c r="AT33" s="1254"/>
      <c r="AU33" s="1254"/>
      <c r="AV33" s="1254"/>
      <c r="AW33" s="1254"/>
      <c r="AX33" s="1254"/>
      <c r="AY33" s="1254"/>
      <c r="AZ33" s="1254"/>
    </row>
    <row r="34" spans="1:54" ht="12" customHeight="1">
      <c r="A34" s="1237" t="str">
        <f>CONCATENATE(ПОДПИСИ!C15,", ",ПОДПИСИ!F15)</f>
        <v xml:space="preserve">Матвеев А.С., </v>
      </c>
      <c r="B34" s="1237"/>
      <c r="C34" s="1237"/>
      <c r="D34" s="1237"/>
      <c r="E34" s="1237"/>
      <c r="F34" s="1237"/>
      <c r="G34" s="1237"/>
      <c r="H34" s="1237"/>
      <c r="I34" s="1237"/>
      <c r="J34" s="1237"/>
      <c r="K34" s="1237"/>
      <c r="L34" s="1237"/>
      <c r="M34" s="1237"/>
      <c r="N34" s="1237"/>
      <c r="O34" s="1237"/>
      <c r="P34" s="1237"/>
      <c r="Q34" s="1237"/>
      <c r="R34" s="1237"/>
      <c r="S34" s="1237"/>
      <c r="T34" s="1237"/>
      <c r="U34" s="1237"/>
      <c r="V34" s="1237"/>
      <c r="W34" s="1237"/>
      <c r="X34" s="1237"/>
      <c r="Y34" s="1237"/>
      <c r="Z34" s="1237"/>
      <c r="AA34" s="1237"/>
      <c r="AB34" s="1237"/>
      <c r="AC34" s="1237"/>
      <c r="AD34" s="1237"/>
      <c r="AE34" s="1237"/>
      <c r="AF34" s="1237"/>
      <c r="AG34" s="1237"/>
      <c r="AH34" s="1237"/>
      <c r="AI34" s="1237"/>
      <c r="AJ34" s="1237"/>
      <c r="AK34" s="1237"/>
      <c r="AL34" s="1237"/>
      <c r="AM34" s="1237"/>
      <c r="AN34" s="1237"/>
      <c r="AO34" s="1237"/>
      <c r="AP34" s="1237"/>
      <c r="AQ34" s="1237"/>
      <c r="AR34" s="1237"/>
      <c r="AS34" s="1237"/>
      <c r="AT34" s="1237"/>
      <c r="AU34" s="1237"/>
      <c r="AV34" s="1237"/>
      <c r="AW34" s="1237"/>
      <c r="AX34" s="1237"/>
      <c r="AY34" s="1237"/>
      <c r="AZ34" s="1237"/>
    </row>
    <row r="35" spans="1:54" ht="7.15" customHeight="1">
      <c r="A35" s="1240" t="s">
        <v>519</v>
      </c>
      <c r="B35" s="1240"/>
      <c r="C35" s="1240"/>
      <c r="D35" s="1240"/>
      <c r="E35" s="1240"/>
      <c r="F35" s="1240"/>
      <c r="G35" s="1240"/>
      <c r="H35" s="1240"/>
      <c r="I35" s="1240"/>
      <c r="J35" s="1240"/>
      <c r="K35" s="1240"/>
      <c r="L35" s="1240"/>
      <c r="M35" s="1240"/>
      <c r="N35" s="1240"/>
      <c r="O35" s="1240"/>
      <c r="P35" s="1240"/>
      <c r="Q35" s="1240"/>
      <c r="R35" s="1240"/>
      <c r="S35" s="1240"/>
      <c r="T35" s="1240"/>
      <c r="U35" s="1240"/>
      <c r="V35" s="1240"/>
      <c r="W35" s="1240"/>
      <c r="X35" s="1240"/>
      <c r="Y35" s="1240"/>
      <c r="Z35" s="1240"/>
      <c r="AA35" s="1240"/>
      <c r="AB35" s="1240"/>
      <c r="AC35" s="1240"/>
      <c r="AD35" s="1240"/>
      <c r="AE35" s="1240"/>
      <c r="AF35" s="1240"/>
      <c r="AG35" s="1240"/>
      <c r="AH35" s="1240"/>
      <c r="AI35" s="1240"/>
      <c r="AJ35" s="1240"/>
      <c r="AK35" s="1240"/>
      <c r="AL35" s="1240"/>
      <c r="AM35" s="124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</row>
    <row r="36" spans="1:54" ht="12" customHeight="1">
      <c r="A36" s="1260" t="s">
        <v>767</v>
      </c>
      <c r="B36" s="1235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5"/>
      <c r="O36" s="1235"/>
      <c r="P36" s="1235"/>
      <c r="Q36" s="1235"/>
      <c r="R36" s="1235"/>
      <c r="S36" s="1235"/>
      <c r="T36" s="1235"/>
      <c r="U36" s="1235"/>
      <c r="V36" s="1235"/>
      <c r="W36" s="1235"/>
      <c r="X36" s="1235"/>
      <c r="Y36" s="1235"/>
      <c r="Z36" s="1235"/>
      <c r="AA36" s="1235"/>
      <c r="AB36" s="1235"/>
      <c r="AC36" s="1235"/>
      <c r="AD36" s="1235"/>
      <c r="AE36" s="1235"/>
      <c r="AF36" s="1235"/>
      <c r="AG36" s="1235"/>
      <c r="AH36" s="1235"/>
      <c r="AI36" s="1235"/>
      <c r="AJ36" s="1235"/>
      <c r="AK36" s="1235"/>
      <c r="AL36" s="1235"/>
      <c r="AM36" s="1235"/>
      <c r="AN36" s="1235"/>
      <c r="AO36" s="1235"/>
      <c r="AP36" s="1235"/>
      <c r="AQ36" s="1235"/>
      <c r="AR36" s="1235"/>
      <c r="AS36" s="1235"/>
      <c r="AT36" s="1235"/>
      <c r="AU36" s="1235"/>
      <c r="AV36" s="1235"/>
      <c r="AW36" s="1235"/>
      <c r="AX36" s="1235"/>
      <c r="AY36" s="1235"/>
      <c r="AZ36" s="1235"/>
    </row>
    <row r="37" spans="1:54" ht="12" customHeight="1">
      <c r="A37" s="1254" t="str">
        <f>ПОДПИСИ!B17</f>
        <v xml:space="preserve">Заместитель генерального директора ООО «БЭСК» </v>
      </c>
      <c r="B37" s="1254"/>
      <c r="C37" s="1254"/>
      <c r="D37" s="1254"/>
      <c r="E37" s="1254"/>
      <c r="F37" s="1254"/>
      <c r="G37" s="1254"/>
      <c r="H37" s="1254"/>
      <c r="I37" s="1254"/>
      <c r="J37" s="1254"/>
      <c r="K37" s="1254"/>
      <c r="L37" s="1254"/>
      <c r="M37" s="1254"/>
      <c r="N37" s="1254"/>
      <c r="O37" s="1254"/>
      <c r="P37" s="1254"/>
      <c r="Q37" s="1254"/>
      <c r="R37" s="1254"/>
      <c r="S37" s="1254"/>
      <c r="T37" s="1254"/>
      <c r="U37" s="1254"/>
      <c r="V37" s="1254"/>
      <c r="W37" s="1254"/>
      <c r="X37" s="1254"/>
      <c r="Y37" s="1254"/>
      <c r="Z37" s="1254"/>
      <c r="AA37" s="1254"/>
      <c r="AB37" s="1254"/>
      <c r="AC37" s="1254"/>
      <c r="AD37" s="1254"/>
      <c r="AE37" s="1254"/>
      <c r="AF37" s="1254"/>
      <c r="AG37" s="1254"/>
      <c r="AH37" s="1254"/>
      <c r="AI37" s="1254"/>
      <c r="AJ37" s="1254"/>
      <c r="AK37" s="1254"/>
      <c r="AL37" s="1254"/>
      <c r="AM37" s="1254"/>
      <c r="AN37" s="1254"/>
      <c r="AO37" s="1254"/>
      <c r="AP37" s="1254"/>
      <c r="AQ37" s="1254"/>
      <c r="AR37" s="1254"/>
      <c r="AS37" s="1254"/>
      <c r="AT37" s="1254"/>
      <c r="AU37" s="1254"/>
      <c r="AV37" s="1254"/>
      <c r="AW37" s="1254"/>
      <c r="AX37" s="1254"/>
      <c r="AY37" s="1254"/>
      <c r="AZ37" s="1254"/>
    </row>
    <row r="38" spans="1:54" ht="12" customHeight="1">
      <c r="A38" s="1237" t="str">
        <f>CONCATENATE(ПОДПИСИ!C17,", ",ПОДПИСИ!F17)</f>
        <v xml:space="preserve">Матвеев А.С., </v>
      </c>
      <c r="B38" s="1237"/>
      <c r="C38" s="1237"/>
      <c r="D38" s="1237"/>
      <c r="E38" s="1237"/>
      <c r="F38" s="1237"/>
      <c r="G38" s="1237"/>
      <c r="H38" s="1237"/>
      <c r="I38" s="1237"/>
      <c r="J38" s="1237"/>
      <c r="K38" s="1237"/>
      <c r="L38" s="1237"/>
      <c r="M38" s="1237"/>
      <c r="N38" s="1237"/>
      <c r="O38" s="1237"/>
      <c r="P38" s="1237"/>
      <c r="Q38" s="1237"/>
      <c r="R38" s="1237"/>
      <c r="S38" s="1237"/>
      <c r="T38" s="1237"/>
      <c r="U38" s="1237"/>
      <c r="V38" s="1237"/>
      <c r="W38" s="1237"/>
      <c r="X38" s="1237"/>
      <c r="Y38" s="1237"/>
      <c r="Z38" s="1237"/>
      <c r="AA38" s="1237"/>
      <c r="AB38" s="1237"/>
      <c r="AC38" s="1237"/>
      <c r="AD38" s="1237"/>
      <c r="AE38" s="1237"/>
      <c r="AF38" s="1237"/>
      <c r="AG38" s="1237"/>
      <c r="AH38" s="1237"/>
      <c r="AI38" s="1237"/>
      <c r="AJ38" s="1237"/>
      <c r="AK38" s="1237"/>
      <c r="AL38" s="1237"/>
      <c r="AM38" s="1237"/>
      <c r="AN38" s="1237"/>
      <c r="AO38" s="1237"/>
      <c r="AP38" s="1237"/>
      <c r="AQ38" s="1237"/>
      <c r="AR38" s="1237"/>
      <c r="AS38" s="1237"/>
      <c r="AT38" s="1237"/>
      <c r="AU38" s="1237"/>
      <c r="AV38" s="1237"/>
      <c r="AW38" s="1237"/>
      <c r="AX38" s="1237"/>
      <c r="AY38" s="1237"/>
      <c r="AZ38" s="1237"/>
    </row>
    <row r="39" spans="1:54" ht="16.149999999999999" customHeight="1">
      <c r="A39" s="1258" t="s">
        <v>971</v>
      </c>
      <c r="B39" s="1265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5"/>
      <c r="O39" s="1265"/>
      <c r="P39" s="1265"/>
      <c r="Q39" s="1265"/>
      <c r="R39" s="1265"/>
      <c r="S39" s="1265"/>
      <c r="T39" s="1265"/>
      <c r="U39" s="1265"/>
      <c r="V39" s="1265"/>
      <c r="W39" s="1265"/>
      <c r="X39" s="1265"/>
      <c r="Y39" s="1265"/>
      <c r="Z39" s="1265"/>
      <c r="AA39" s="1265"/>
      <c r="AB39" s="1265"/>
      <c r="AC39" s="1265"/>
      <c r="AD39" s="1265"/>
      <c r="AE39" s="1265"/>
      <c r="AF39" s="1265"/>
      <c r="AG39" s="1265"/>
      <c r="AH39" s="1265"/>
      <c r="AI39" s="1265"/>
      <c r="AJ39" s="1265"/>
      <c r="AK39" s="1265"/>
      <c r="AL39" s="1265"/>
      <c r="AM39" s="126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</row>
    <row r="40" spans="1:54" ht="39" customHeight="1">
      <c r="A40" s="1260" t="s">
        <v>826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</row>
    <row r="41" spans="1:54">
      <c r="A41" s="1254" t="str">
        <f>IF(ПОДПИСИ!B19=0," ",ПОДПИСИ!B19)</f>
        <v xml:space="preserve"> </v>
      </c>
      <c r="B41" s="1254"/>
      <c r="C41" s="1254"/>
      <c r="D41" s="1254"/>
      <c r="E41" s="1254"/>
      <c r="F41" s="1254"/>
      <c r="G41" s="1254"/>
      <c r="H41" s="1254"/>
      <c r="I41" s="1254"/>
      <c r="J41" s="1254"/>
      <c r="K41" s="1254"/>
      <c r="L41" s="1254"/>
      <c r="M41" s="1254"/>
      <c r="N41" s="1254"/>
      <c r="O41" s="1254"/>
      <c r="P41" s="1254"/>
      <c r="Q41" s="1254"/>
      <c r="R41" s="1254"/>
      <c r="S41" s="1254"/>
      <c r="T41" s="1254"/>
      <c r="U41" s="1254"/>
      <c r="V41" s="1254"/>
      <c r="W41" s="1254"/>
      <c r="X41" s="1254"/>
      <c r="Y41" s="1254"/>
      <c r="Z41" s="1254"/>
      <c r="AA41" s="1254"/>
      <c r="AB41" s="1254"/>
      <c r="AC41" s="1254"/>
      <c r="AD41" s="1254"/>
      <c r="AE41" s="1254"/>
      <c r="AF41" s="1254"/>
      <c r="AG41" s="1254"/>
      <c r="AH41" s="1254"/>
      <c r="AI41" s="1254"/>
      <c r="AJ41" s="1254"/>
      <c r="AK41" s="1254"/>
      <c r="AL41" s="1254"/>
      <c r="AM41" s="1254"/>
      <c r="AN41" s="1254"/>
      <c r="AO41" s="1254"/>
      <c r="AP41" s="1254"/>
      <c r="AQ41" s="1254"/>
      <c r="AR41" s="1254"/>
      <c r="AS41" s="1254"/>
      <c r="AT41" s="1254"/>
      <c r="AU41" s="1254"/>
      <c r="AV41" s="1254"/>
      <c r="AW41" s="1254"/>
      <c r="AX41" s="1254"/>
      <c r="AY41" s="1254"/>
      <c r="AZ41" s="1254"/>
    </row>
    <row r="42" spans="1:54">
      <c r="A42" s="1237" t="str">
        <f>CONCATENATE(ПОДПИСИ!C19," ",ПОДПИСИ!F19)</f>
        <v xml:space="preserve">  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</row>
    <row r="43" spans="1:54" ht="13.9" customHeight="1">
      <c r="A43" s="1239" t="s">
        <v>1056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</row>
    <row r="44" spans="1:54" ht="12" customHeight="1">
      <c r="A44" s="1260" t="s">
        <v>531</v>
      </c>
      <c r="B44" s="1260"/>
      <c r="C44" s="1260"/>
      <c r="D44" s="1260"/>
      <c r="E44" s="1260"/>
      <c r="F44" s="1260"/>
      <c r="G44" s="1260"/>
      <c r="H44" s="1260"/>
      <c r="I44" s="1260"/>
      <c r="J44" s="1260"/>
      <c r="K44" s="1260"/>
      <c r="L44" s="1260"/>
      <c r="M44" s="1260"/>
      <c r="N44" s="1260"/>
      <c r="O44" s="1260"/>
      <c r="P44" s="1260"/>
      <c r="Q44" s="1260"/>
      <c r="R44" s="1260"/>
      <c r="S44" s="1260"/>
      <c r="T44" s="1260"/>
      <c r="U44" s="1260"/>
      <c r="V44" s="1260"/>
      <c r="W44" s="1260"/>
      <c r="X44" s="1260"/>
      <c r="Y44" s="1260"/>
      <c r="Z44" s="1260"/>
      <c r="AA44" s="1260"/>
      <c r="AB44" s="1260"/>
      <c r="AC44" s="1260"/>
      <c r="AD44" s="1260"/>
      <c r="AE44" s="1260"/>
      <c r="AF44" s="1260"/>
      <c r="AG44" s="1260"/>
      <c r="AH44" s="1260"/>
      <c r="AI44" s="1260"/>
      <c r="AJ44" s="1260"/>
      <c r="AK44" s="1260"/>
      <c r="AL44" s="1260"/>
      <c r="AM44" s="1260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</row>
    <row r="45" spans="1:54" ht="12" customHeight="1">
      <c r="A45" s="1262" t="str">
        <f>ПОДПИСИ!B12</f>
        <v xml:space="preserve">Производитель работ ООО«БЭСК» </v>
      </c>
      <c r="B45" s="1262"/>
      <c r="C45" s="1262"/>
      <c r="D45" s="1262"/>
      <c r="E45" s="1262"/>
      <c r="F45" s="1262"/>
      <c r="G45" s="1262"/>
      <c r="H45" s="1262"/>
      <c r="I45" s="1262"/>
      <c r="J45" s="1262"/>
      <c r="K45" s="1262"/>
      <c r="L45" s="1262"/>
      <c r="M45" s="1262"/>
      <c r="N45" s="1262"/>
      <c r="O45" s="1262"/>
      <c r="P45" s="1262"/>
      <c r="Q45" s="1262"/>
      <c r="R45" s="1262"/>
      <c r="S45" s="1262"/>
      <c r="T45" s="1262"/>
      <c r="U45" s="1262"/>
      <c r="V45" s="1262"/>
      <c r="W45" s="1262"/>
      <c r="X45" s="1262"/>
      <c r="Y45" s="1262"/>
      <c r="Z45" s="1262"/>
      <c r="AA45" s="1262"/>
      <c r="AB45" s="1262"/>
      <c r="AC45" s="1262"/>
      <c r="AD45" s="1262"/>
      <c r="AE45" s="1262"/>
      <c r="AF45" s="1262"/>
      <c r="AG45" s="1262"/>
      <c r="AH45" s="1262"/>
      <c r="AI45" s="1262"/>
      <c r="AJ45" s="1262"/>
      <c r="AK45" s="1262"/>
      <c r="AL45" s="1262"/>
      <c r="AM45" s="1262"/>
      <c r="AN45" s="1262"/>
      <c r="AO45" s="1262"/>
      <c r="AP45" s="1262"/>
      <c r="AQ45" s="1262"/>
      <c r="AR45" s="1262"/>
      <c r="AS45" s="1262"/>
      <c r="AT45" s="1262"/>
      <c r="AU45" s="1262"/>
      <c r="AV45" s="1262"/>
      <c r="AW45" s="1262"/>
      <c r="AX45" s="1262"/>
      <c r="AY45" s="1262"/>
      <c r="AZ45" s="1262"/>
      <c r="BA45" s="31"/>
      <c r="BB45" s="9"/>
    </row>
    <row r="46" spans="1:54" ht="12" customHeight="1">
      <c r="A46" s="1255" t="str">
        <f>CONCATENATE(ПОДПИСИ!C12,ПОДПИСИ!F12)</f>
        <v>Махмадов А.Р.</v>
      </c>
      <c r="B46" s="1255"/>
      <c r="C46" s="1255"/>
      <c r="D46" s="1255"/>
      <c r="E46" s="1255"/>
      <c r="F46" s="1255"/>
      <c r="G46" s="1255"/>
      <c r="H46" s="1255"/>
      <c r="I46" s="1255"/>
      <c r="J46" s="1255"/>
      <c r="K46" s="1255"/>
      <c r="L46" s="1255"/>
      <c r="M46" s="1255"/>
      <c r="N46" s="1255"/>
      <c r="O46" s="1255"/>
      <c r="P46" s="1255"/>
      <c r="Q46" s="1255"/>
      <c r="R46" s="1255"/>
      <c r="S46" s="1255"/>
      <c r="T46" s="1255"/>
      <c r="U46" s="1255"/>
      <c r="V46" s="1255"/>
      <c r="W46" s="1255"/>
      <c r="X46" s="1255"/>
      <c r="Y46" s="1255"/>
      <c r="Z46" s="1255"/>
      <c r="AA46" s="1255"/>
      <c r="AB46" s="1255"/>
      <c r="AC46" s="1255"/>
      <c r="AD46" s="1255"/>
      <c r="AE46" s="1255"/>
      <c r="AF46" s="1255"/>
      <c r="AG46" s="1255"/>
      <c r="AH46" s="1255"/>
      <c r="AI46" s="1255"/>
      <c r="AJ46" s="1255"/>
      <c r="AK46" s="1255"/>
      <c r="AL46" s="1255"/>
      <c r="AM46" s="1255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</row>
    <row r="47" spans="1:54" ht="7.9" customHeight="1">
      <c r="A47" s="1256" t="s">
        <v>518</v>
      </c>
      <c r="B47" s="1257"/>
      <c r="C47" s="1257"/>
      <c r="D47" s="1257"/>
      <c r="E47" s="1257"/>
      <c r="F47" s="1257"/>
      <c r="G47" s="1257"/>
      <c r="H47" s="1257"/>
      <c r="I47" s="1257"/>
      <c r="J47" s="1257"/>
      <c r="K47" s="1257"/>
      <c r="L47" s="1257"/>
      <c r="M47" s="1257"/>
      <c r="N47" s="1257"/>
      <c r="O47" s="1257"/>
      <c r="P47" s="1257"/>
      <c r="Q47" s="1257"/>
      <c r="R47" s="1257"/>
      <c r="S47" s="1257"/>
      <c r="T47" s="1257"/>
      <c r="U47" s="1257"/>
      <c r="V47" s="1257"/>
      <c r="W47" s="1257"/>
      <c r="X47" s="1257"/>
      <c r="Y47" s="1257"/>
      <c r="Z47" s="1257"/>
      <c r="AA47" s="1257"/>
      <c r="AB47" s="1257"/>
      <c r="AC47" s="1257"/>
      <c r="AD47" s="1257"/>
      <c r="AE47" s="1257"/>
      <c r="AF47" s="1257"/>
      <c r="AG47" s="1257"/>
      <c r="AH47" s="1257"/>
      <c r="AI47" s="1257"/>
      <c r="AJ47" s="1257"/>
      <c r="AK47" s="1257"/>
      <c r="AL47" s="1257"/>
      <c r="AM47" s="1257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</row>
    <row r="48" spans="1:54" ht="12" hidden="1" customHeight="1">
      <c r="A48" s="1235" t="s">
        <v>79</v>
      </c>
      <c r="B48" s="1235"/>
      <c r="C48" s="1235"/>
      <c r="D48" s="1235"/>
      <c r="E48" s="1235"/>
      <c r="F48" s="1235"/>
      <c r="G48" s="1235"/>
      <c r="H48" s="1235"/>
      <c r="I48" s="1235"/>
      <c r="J48" s="1235"/>
      <c r="K48" s="1235"/>
      <c r="L48" s="1235"/>
      <c r="M48" s="1235"/>
      <c r="N48" s="1235"/>
      <c r="O48" s="1235"/>
      <c r="P48" s="1235"/>
      <c r="Q48" s="1235"/>
      <c r="R48" s="1235"/>
      <c r="S48" s="1235"/>
      <c r="T48" s="1235"/>
      <c r="U48" s="1235"/>
      <c r="V48" s="1235"/>
      <c r="W48" s="1235"/>
      <c r="X48" s="1235"/>
      <c r="Y48" s="1235"/>
      <c r="Z48" s="1235"/>
      <c r="AA48" s="1235"/>
      <c r="AB48" s="1235"/>
      <c r="AC48" s="1235"/>
      <c r="AD48" s="1235"/>
      <c r="AE48" s="1235"/>
      <c r="AF48" s="1235"/>
      <c r="AG48" s="1235"/>
      <c r="AH48" s="1235"/>
      <c r="AI48" s="1235"/>
      <c r="AJ48" s="1235"/>
      <c r="AK48" s="1235"/>
      <c r="AL48" s="1235"/>
      <c r="AM48" s="1235"/>
      <c r="AN48" s="1235"/>
      <c r="AO48" s="1235"/>
      <c r="AP48" s="1235"/>
      <c r="AQ48" s="1235"/>
      <c r="AR48" s="1235"/>
      <c r="AS48" s="1235"/>
      <c r="AT48" s="1235"/>
      <c r="AU48" s="1235"/>
      <c r="AV48" s="1235"/>
      <c r="AW48" s="1235"/>
      <c r="AX48" s="1235"/>
      <c r="AY48" s="1235"/>
      <c r="AZ48" s="1235"/>
    </row>
    <row r="49" spans="1:56" ht="12" hidden="1" customHeight="1">
      <c r="A49" s="1236"/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</row>
    <row r="50" spans="1:56" ht="12" hidden="1" customHeight="1">
      <c r="A50" s="1254"/>
      <c r="B50" s="1254"/>
      <c r="C50" s="1254"/>
      <c r="D50" s="1254"/>
      <c r="E50" s="1254"/>
      <c r="F50" s="1254"/>
      <c r="G50" s="1254"/>
      <c r="H50" s="1254"/>
      <c r="I50" s="1254"/>
      <c r="J50" s="1254"/>
      <c r="K50" s="1254"/>
      <c r="L50" s="1254"/>
      <c r="M50" s="1254"/>
      <c r="N50" s="1254"/>
      <c r="O50" s="1254"/>
      <c r="P50" s="1254"/>
      <c r="Q50" s="1254"/>
      <c r="R50" s="1254"/>
      <c r="S50" s="1254"/>
      <c r="T50" s="1254"/>
      <c r="U50" s="1254"/>
      <c r="V50" s="1254"/>
      <c r="W50" s="1254"/>
      <c r="X50" s="1254"/>
      <c r="Y50" s="1254"/>
      <c r="Z50" s="1254"/>
      <c r="AA50" s="1254"/>
      <c r="AB50" s="1254"/>
      <c r="AC50" s="1254"/>
      <c r="AD50" s="1254"/>
      <c r="AE50" s="1254"/>
      <c r="AF50" s="1254"/>
      <c r="AG50" s="1254"/>
      <c r="AH50" s="1254"/>
      <c r="AI50" s="1254"/>
      <c r="AJ50" s="1254"/>
      <c r="AK50" s="1254"/>
      <c r="AL50" s="1254"/>
      <c r="AM50" s="1254"/>
      <c r="AN50" s="1254"/>
      <c r="AO50" s="1254"/>
      <c r="AP50" s="1254"/>
      <c r="AQ50" s="1254"/>
      <c r="AR50" s="1254"/>
      <c r="AS50" s="1254"/>
      <c r="AT50" s="1254"/>
      <c r="AU50" s="1254"/>
      <c r="AV50" s="1254"/>
      <c r="AW50" s="1254"/>
      <c r="AX50" s="1254"/>
      <c r="AY50" s="1254"/>
      <c r="AZ50" s="1254"/>
    </row>
    <row r="51" spans="1:56" ht="7.5" hidden="1" customHeight="1">
      <c r="A51" s="1240" t="s">
        <v>523</v>
      </c>
      <c r="B51" s="1240"/>
      <c r="C51" s="1240"/>
      <c r="D51" s="1240"/>
      <c r="E51" s="1240"/>
      <c r="F51" s="1240"/>
      <c r="G51" s="1240"/>
      <c r="H51" s="1240"/>
      <c r="I51" s="1240"/>
      <c r="J51" s="1240"/>
      <c r="K51" s="1240"/>
      <c r="L51" s="1240"/>
      <c r="M51" s="1240"/>
      <c r="N51" s="1240"/>
      <c r="O51" s="1240"/>
      <c r="P51" s="1240"/>
      <c r="Q51" s="1240"/>
      <c r="R51" s="1240"/>
      <c r="S51" s="1240"/>
      <c r="T51" s="1240"/>
      <c r="U51" s="1240"/>
      <c r="V51" s="1240"/>
      <c r="W51" s="1240"/>
      <c r="X51" s="1240"/>
      <c r="Y51" s="1240"/>
      <c r="Z51" s="1240"/>
      <c r="AA51" s="1240"/>
      <c r="AB51" s="1240"/>
      <c r="AC51" s="1240"/>
      <c r="AD51" s="1240"/>
      <c r="AE51" s="1240"/>
      <c r="AF51" s="1240"/>
      <c r="AG51" s="1240"/>
      <c r="AH51" s="1240"/>
      <c r="AI51" s="1240"/>
      <c r="AJ51" s="1240"/>
      <c r="AK51" s="1240"/>
      <c r="AL51" s="1240"/>
      <c r="AM51" s="1240"/>
      <c r="AN51" s="1240"/>
      <c r="AO51" s="1240"/>
      <c r="AP51" s="1240"/>
      <c r="AQ51" s="1240"/>
      <c r="AR51" s="1240"/>
      <c r="AS51" s="1240"/>
      <c r="AT51" s="1240"/>
      <c r="AU51" s="1240"/>
      <c r="AV51" s="1240"/>
      <c r="AW51" s="1240"/>
      <c r="AX51" s="1240"/>
      <c r="AY51" s="1240"/>
      <c r="AZ51" s="1240"/>
    </row>
    <row r="52" spans="1:56" ht="12" customHeight="1">
      <c r="A52" s="1235" t="s">
        <v>379</v>
      </c>
      <c r="B52" s="1235"/>
      <c r="C52" s="1235"/>
      <c r="D52" s="1235"/>
      <c r="E52" s="1235"/>
      <c r="F52" s="1235"/>
      <c r="G52" s="1235"/>
      <c r="H52" s="1235"/>
      <c r="I52" s="1235"/>
      <c r="J52" s="1235"/>
      <c r="K52" s="1235"/>
      <c r="L52" s="1235"/>
      <c r="M52" s="1235"/>
      <c r="N52" s="1235"/>
      <c r="O52" s="1235"/>
      <c r="P52" s="1235"/>
      <c r="Q52" s="1235"/>
      <c r="R52" s="1235"/>
      <c r="S52" s="1235"/>
      <c r="T52" s="1235"/>
      <c r="U52" s="1235"/>
      <c r="V52" s="1235"/>
      <c r="W52" s="1235"/>
      <c r="X52" s="1235"/>
      <c r="Y52" s="1235"/>
      <c r="Z52" s="1235"/>
      <c r="AA52" s="1235"/>
      <c r="AB52" s="1235"/>
      <c r="AC52" s="1235"/>
      <c r="AD52" s="1235"/>
      <c r="AE52" s="1235"/>
      <c r="AF52" s="1235"/>
      <c r="AG52" s="1235"/>
      <c r="AH52" s="1235"/>
      <c r="AI52" s="1235"/>
      <c r="AJ52" s="1235"/>
      <c r="AK52" s="1235"/>
      <c r="AL52" s="1235"/>
      <c r="AM52" s="1235"/>
      <c r="AN52" s="1235"/>
      <c r="AO52" s="1235"/>
      <c r="AP52" s="1235"/>
      <c r="AQ52" s="1235"/>
      <c r="AR52" s="1235"/>
      <c r="AS52" s="1235"/>
      <c r="AT52" s="1235"/>
      <c r="AU52" s="1235"/>
      <c r="AV52" s="1235"/>
      <c r="AW52" s="1235"/>
      <c r="AX52" s="1235"/>
      <c r="AY52" s="1235"/>
      <c r="AZ52" s="1235"/>
    </row>
    <row r="53" spans="1:56" ht="13.5" customHeight="1">
      <c r="A53" s="1228" t="str">
        <f>ФОРМА!B4</f>
        <v>ООО «БЭСК»</v>
      </c>
      <c r="B53" s="1228"/>
      <c r="C53" s="1228"/>
      <c r="D53" s="1228"/>
      <c r="E53" s="1228"/>
      <c r="F53" s="1228"/>
      <c r="G53" s="1228"/>
      <c r="H53" s="1228"/>
      <c r="I53" s="1228"/>
      <c r="J53" s="1228"/>
      <c r="K53" s="1228"/>
      <c r="L53" s="1228"/>
      <c r="M53" s="1228"/>
      <c r="N53" s="1228"/>
      <c r="O53" s="1228"/>
      <c r="P53" s="1228"/>
      <c r="Q53" s="1228"/>
      <c r="R53" s="1228"/>
      <c r="S53" s="1228"/>
      <c r="T53" s="1228"/>
      <c r="U53" s="1228"/>
      <c r="V53" s="1228"/>
      <c r="W53" s="1228"/>
      <c r="X53" s="1228"/>
      <c r="Y53" s="1228"/>
      <c r="Z53" s="1228"/>
      <c r="AA53" s="1228"/>
      <c r="AB53" s="1228"/>
      <c r="AC53" s="1228"/>
      <c r="AD53" s="1228"/>
      <c r="AE53" s="1228"/>
      <c r="AF53" s="1228"/>
      <c r="AG53" s="1228"/>
      <c r="AH53" s="1228"/>
      <c r="AI53" s="1228"/>
      <c r="AJ53" s="1228"/>
      <c r="AK53" s="1228"/>
      <c r="AL53" s="1228"/>
      <c r="AM53" s="1228"/>
      <c r="AN53" s="1228"/>
      <c r="AO53" s="1228"/>
      <c r="AP53" s="1228"/>
      <c r="AQ53" s="1228"/>
      <c r="AR53" s="1228"/>
      <c r="AS53" s="1228"/>
      <c r="AT53" s="1228"/>
      <c r="AU53" s="1228"/>
      <c r="AV53" s="1228"/>
      <c r="AW53" s="1228"/>
      <c r="AX53" s="1228"/>
      <c r="AY53" s="1228"/>
      <c r="AZ53" s="1228"/>
    </row>
    <row r="54" spans="1:56" s="127" customFormat="1" ht="7.15" customHeight="1">
      <c r="A54" s="1256" t="s">
        <v>828</v>
      </c>
      <c r="B54" s="1258"/>
      <c r="C54" s="1258"/>
      <c r="D54" s="1258"/>
      <c r="E54" s="1258"/>
      <c r="F54" s="1258"/>
      <c r="G54" s="1258"/>
      <c r="H54" s="1258"/>
      <c r="I54" s="1258"/>
      <c r="J54" s="1258"/>
      <c r="K54" s="1258"/>
      <c r="L54" s="1258"/>
      <c r="M54" s="1258"/>
      <c r="N54" s="1258"/>
      <c r="O54" s="1258"/>
      <c r="P54" s="1258"/>
      <c r="Q54" s="1258"/>
      <c r="R54" s="1258"/>
      <c r="S54" s="1258"/>
      <c r="T54" s="1258"/>
      <c r="U54" s="1258"/>
      <c r="V54" s="1258"/>
      <c r="W54" s="1258"/>
      <c r="X54" s="1258"/>
      <c r="Y54" s="1258"/>
      <c r="Z54" s="1258"/>
      <c r="AA54" s="1258"/>
      <c r="AB54" s="1258"/>
      <c r="AC54" s="1258"/>
      <c r="AD54" s="1258"/>
      <c r="AE54" s="1258"/>
      <c r="AF54" s="1258"/>
      <c r="AG54" s="1258"/>
      <c r="AH54" s="1258"/>
      <c r="AI54" s="1258"/>
      <c r="AJ54" s="1258"/>
      <c r="AK54" s="1258"/>
      <c r="AL54" s="1258"/>
      <c r="AM54" s="1258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</row>
    <row r="55" spans="1:56" ht="12" customHeight="1">
      <c r="A55" s="1235" t="s">
        <v>9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35"/>
      <c r="V55" s="1235"/>
      <c r="W55" s="1235"/>
      <c r="X55" s="1235"/>
      <c r="Y55" s="1235"/>
      <c r="Z55" s="1235"/>
      <c r="AA55" s="1235"/>
      <c r="AB55" s="1235"/>
      <c r="AC55" s="1235"/>
      <c r="AD55" s="1235"/>
      <c r="AE55" s="1235"/>
      <c r="AF55" s="1235"/>
      <c r="AG55" s="1235"/>
      <c r="AH55" s="1235"/>
      <c r="AI55" s="1235"/>
      <c r="AJ55" s="1235"/>
      <c r="AK55" s="1235"/>
      <c r="AL55" s="1235"/>
      <c r="AM55" s="1235"/>
      <c r="AN55" s="1235"/>
      <c r="AO55" s="1235"/>
      <c r="AP55" s="1235"/>
      <c r="AQ55" s="1235"/>
      <c r="AR55" s="1235"/>
      <c r="AS55" s="1235"/>
      <c r="AT55" s="1235"/>
      <c r="AU55" s="1235"/>
      <c r="AV55" s="1235"/>
      <c r="AW55" s="1235"/>
      <c r="AX55" s="1235"/>
      <c r="AY55" s="1235"/>
      <c r="AZ55" s="1235"/>
    </row>
    <row r="56" spans="1:56" ht="12" customHeight="1">
      <c r="A56" s="1235" t="s">
        <v>390</v>
      </c>
      <c r="B56" s="1235"/>
      <c r="C56" s="1235"/>
      <c r="D56" s="1235"/>
      <c r="E56" s="1235"/>
      <c r="F56" s="1235"/>
      <c r="G56" s="1235"/>
      <c r="H56" s="1235"/>
      <c r="I56" s="1235"/>
      <c r="J56" s="1235"/>
      <c r="K56" s="1235"/>
      <c r="L56" s="1235"/>
      <c r="M56" s="1235"/>
      <c r="N56" s="1235"/>
      <c r="O56" s="1235"/>
      <c r="P56" s="1235"/>
      <c r="Q56" s="1235"/>
      <c r="R56" s="1235"/>
      <c r="S56" s="1235"/>
      <c r="T56" s="1235"/>
      <c r="U56" s="1235"/>
      <c r="V56" s="1235"/>
      <c r="W56" s="1235"/>
      <c r="X56" s="1235"/>
      <c r="Y56" s="1235"/>
      <c r="Z56" s="1235"/>
      <c r="AA56" s="1235"/>
      <c r="AB56" s="1235"/>
      <c r="AC56" s="1235"/>
      <c r="AD56" s="1235"/>
      <c r="AE56" s="1235"/>
      <c r="AF56" s="1235"/>
      <c r="AG56" s="1235"/>
      <c r="AH56" s="1235"/>
      <c r="AI56" s="1235"/>
      <c r="AJ56" s="1235"/>
      <c r="AK56" s="1235"/>
      <c r="AL56" s="1235"/>
      <c r="AM56" s="1235"/>
      <c r="AN56" s="1235"/>
      <c r="AO56" s="1235"/>
      <c r="AP56" s="1235"/>
      <c r="AQ56" s="1235"/>
      <c r="AR56" s="1235"/>
      <c r="AS56" s="1235"/>
      <c r="AT56" s="1235"/>
      <c r="AU56" s="1235"/>
      <c r="AV56" s="1235"/>
      <c r="AW56" s="1235"/>
      <c r="AX56" s="1235"/>
      <c r="AY56" s="1235"/>
      <c r="AZ56" s="1235"/>
    </row>
    <row r="57" spans="1:56" ht="14.25" customHeight="1">
      <c r="A57" s="1246" t="str">
        <f ca="1">INDIRECT("'АКТЫ скрытых работ'!R"&amp;BE3&amp;"C3",0)</f>
        <v>Монтаж вертикальных электродов контура заземления</v>
      </c>
      <c r="B57" s="1246"/>
      <c r="C57" s="1246"/>
      <c r="D57" s="1246"/>
      <c r="E57" s="1246"/>
      <c r="F57" s="1246"/>
      <c r="G57" s="1246"/>
      <c r="H57" s="1246"/>
      <c r="I57" s="1246"/>
      <c r="J57" s="1246"/>
      <c r="K57" s="1246"/>
      <c r="L57" s="1246"/>
      <c r="M57" s="1246"/>
      <c r="N57" s="1246"/>
      <c r="O57" s="1246"/>
      <c r="P57" s="1246"/>
      <c r="Q57" s="1246"/>
      <c r="R57" s="1246"/>
      <c r="S57" s="1246"/>
      <c r="T57" s="1246"/>
      <c r="U57" s="1246"/>
      <c r="V57" s="1246"/>
      <c r="W57" s="1246"/>
      <c r="X57" s="1246"/>
      <c r="Y57" s="1246"/>
      <c r="Z57" s="1246"/>
      <c r="AA57" s="1246"/>
      <c r="AB57" s="1246"/>
      <c r="AC57" s="1246"/>
      <c r="AD57" s="1246"/>
      <c r="AE57" s="1246"/>
      <c r="AF57" s="1246"/>
      <c r="AG57" s="1246"/>
      <c r="AH57" s="1246"/>
      <c r="AI57" s="1246"/>
      <c r="AJ57" s="1246"/>
      <c r="AK57" s="1246"/>
      <c r="AL57" s="1246"/>
      <c r="AM57" s="1246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</row>
    <row r="58" spans="1:56" ht="10.5" customHeight="1">
      <c r="A58" s="1242" t="s">
        <v>532</v>
      </c>
      <c r="B58" s="1242"/>
      <c r="C58" s="1242"/>
      <c r="D58" s="1242"/>
      <c r="E58" s="1242"/>
      <c r="F58" s="1242"/>
      <c r="G58" s="1242"/>
      <c r="H58" s="1242"/>
      <c r="I58" s="1242"/>
      <c r="J58" s="1242"/>
      <c r="K58" s="1242"/>
      <c r="L58" s="1242"/>
      <c r="M58" s="1242"/>
      <c r="N58" s="1242"/>
      <c r="O58" s="1242"/>
      <c r="P58" s="1242"/>
      <c r="Q58" s="1242"/>
      <c r="R58" s="1242"/>
      <c r="S58" s="1242"/>
      <c r="T58" s="1242"/>
      <c r="U58" s="1242"/>
      <c r="V58" s="1242"/>
      <c r="W58" s="1242"/>
      <c r="X58" s="1242"/>
      <c r="Y58" s="1242"/>
      <c r="Z58" s="1242"/>
      <c r="AA58" s="1242"/>
      <c r="AB58" s="1242"/>
      <c r="AC58" s="1242"/>
      <c r="AD58" s="1242"/>
      <c r="AE58" s="1242"/>
      <c r="AF58" s="1242"/>
      <c r="AG58" s="1242"/>
      <c r="AH58" s="1242"/>
      <c r="AI58" s="1242"/>
      <c r="AJ58" s="1242"/>
      <c r="AK58" s="1242"/>
      <c r="AL58" s="1242"/>
      <c r="AM58" s="1242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</row>
    <row r="59" spans="1:56" ht="12" customHeight="1">
      <c r="A59" s="416" t="s">
        <v>391</v>
      </c>
      <c r="Z59" s="9"/>
      <c r="AA59" s="9"/>
      <c r="AB59" s="9"/>
      <c r="AC59" s="9"/>
      <c r="AD59" s="1246" t="str">
        <f>IF(ФОРМА!B8=0," ",ФОРМА!B8)</f>
        <v>ООО «Строительные энергетические технологии»</v>
      </c>
      <c r="AE59" s="1246"/>
      <c r="AF59" s="1246"/>
      <c r="AG59" s="1246"/>
      <c r="AH59" s="1246"/>
      <c r="AI59" s="1246"/>
      <c r="AJ59" s="1246"/>
      <c r="AK59" s="1246"/>
      <c r="AL59" s="1246"/>
      <c r="AM59" s="1246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</row>
    <row r="60" spans="1:56" ht="8.25" customHeight="1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40" t="s">
        <v>83</v>
      </c>
      <c r="AE60" s="1240"/>
      <c r="AF60" s="1240"/>
      <c r="AG60" s="1240"/>
      <c r="AH60" s="1240"/>
      <c r="AI60" s="1240"/>
      <c r="AJ60" s="1240"/>
      <c r="AK60" s="1240"/>
      <c r="AL60" s="1240"/>
      <c r="AM60" s="124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</row>
    <row r="61" spans="1:56" ht="12" customHeight="1">
      <c r="A61" s="1237" t="str">
        <f>IF(ФОРМА!B9=0," ",CONCATENATE("Проект Шифр ",ФОРМА!B9))</f>
        <v>Проект Шифр СЭС-23-32939-ЭС-ТКР2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</row>
    <row r="62" spans="1:56" ht="7.15" customHeight="1">
      <c r="A62" s="1240" t="s">
        <v>533</v>
      </c>
      <c r="B62" s="1240"/>
      <c r="C62" s="1240"/>
      <c r="D62" s="1240"/>
      <c r="E62" s="1240"/>
      <c r="F62" s="1240"/>
      <c r="G62" s="1240"/>
      <c r="H62" s="1240"/>
      <c r="I62" s="1240"/>
      <c r="J62" s="1240"/>
      <c r="K62" s="1240"/>
      <c r="L62" s="1240"/>
      <c r="M62" s="1240"/>
      <c r="N62" s="1240"/>
      <c r="O62" s="1240"/>
      <c r="P62" s="1240"/>
      <c r="Q62" s="1240"/>
      <c r="R62" s="1240"/>
      <c r="S62" s="1240"/>
      <c r="T62" s="1240"/>
      <c r="U62" s="1240"/>
      <c r="V62" s="1240"/>
      <c r="W62" s="1240"/>
      <c r="X62" s="1240"/>
      <c r="Y62" s="1240"/>
      <c r="Z62" s="1240"/>
      <c r="AA62" s="1240"/>
      <c r="AB62" s="1240"/>
      <c r="AC62" s="1240"/>
      <c r="AD62" s="1240"/>
      <c r="AE62" s="1240"/>
      <c r="AF62" s="1240"/>
      <c r="AG62" s="1240"/>
      <c r="AH62" s="1240"/>
      <c r="AI62" s="1240"/>
      <c r="AJ62" s="1240"/>
      <c r="AK62" s="1240"/>
      <c r="AL62" s="1240"/>
      <c r="AM62" s="1240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</row>
    <row r="63" spans="1:56" ht="12" customHeight="1">
      <c r="A63" s="1235" t="s">
        <v>534</v>
      </c>
      <c r="B63" s="1235"/>
      <c r="C63" s="1235"/>
      <c r="D63" s="1235"/>
      <c r="E63" s="1235"/>
      <c r="F63" s="1235"/>
      <c r="G63" s="1235"/>
      <c r="H63" s="1235"/>
      <c r="I63" s="1235"/>
      <c r="J63" s="1235"/>
      <c r="K63" s="1235"/>
      <c r="L63" s="1235"/>
      <c r="M63" s="1235"/>
      <c r="N63" s="1235"/>
      <c r="O63" s="1235"/>
      <c r="P63" s="1235"/>
      <c r="Q63" s="1235"/>
      <c r="R63" s="1235"/>
      <c r="S63" s="1235"/>
      <c r="T63" s="1235"/>
      <c r="U63" s="1235"/>
      <c r="V63" s="1235"/>
      <c r="W63" s="1235"/>
      <c r="X63" s="1235"/>
      <c r="Y63" s="1235"/>
      <c r="Z63" s="1235"/>
      <c r="AA63" s="1235"/>
      <c r="AB63" s="1235"/>
      <c r="AC63" s="1235"/>
      <c r="AD63" s="1235"/>
      <c r="AE63" s="1235"/>
      <c r="AF63" s="1235"/>
      <c r="AG63" s="1235"/>
      <c r="AH63" s="1235"/>
      <c r="AI63" s="1235"/>
      <c r="AJ63" s="1235"/>
      <c r="AK63" s="1235"/>
      <c r="AL63" s="1235"/>
      <c r="AM63" s="1235"/>
      <c r="AN63" s="1235"/>
      <c r="AO63" s="1235"/>
      <c r="AP63" s="1235"/>
      <c r="AQ63" s="1235"/>
      <c r="AR63" s="1235"/>
      <c r="AS63" s="1235"/>
      <c r="AT63" s="1235"/>
      <c r="AU63" s="1235"/>
      <c r="AV63" s="1235"/>
      <c r="AW63" s="1235"/>
      <c r="AX63" s="1235"/>
      <c r="AY63" s="1235"/>
      <c r="AZ63" s="1235"/>
      <c r="BD63" s="11"/>
    </row>
    <row r="64" spans="1:56" ht="24" customHeight="1">
      <c r="A64" s="1238" t="str">
        <f>'АКТЫ скрытых работ'!P2</f>
        <v>Акт освидетельствования скрытых работ №1-ОП от 02 ноября 2024г. Разработка котлована для установки стоек</v>
      </c>
      <c r="B64" s="1236"/>
      <c r="C64" s="1236"/>
      <c r="D64" s="1236"/>
      <c r="E64" s="1236"/>
      <c r="F64" s="1236"/>
      <c r="G64" s="1236"/>
      <c r="H64" s="1236"/>
      <c r="I64" s="1236"/>
      <c r="J64" s="1236"/>
      <c r="K64" s="1236"/>
      <c r="L64" s="1236"/>
      <c r="M64" s="1236"/>
      <c r="N64" s="1236"/>
      <c r="O64" s="1236"/>
      <c r="P64" s="1236"/>
      <c r="Q64" s="1236"/>
      <c r="R64" s="1236"/>
      <c r="S64" s="1236"/>
      <c r="T64" s="1236"/>
      <c r="U64" s="1236"/>
      <c r="V64" s="1236"/>
      <c r="W64" s="1236"/>
      <c r="X64" s="1236"/>
      <c r="Y64" s="1236"/>
      <c r="Z64" s="1236"/>
      <c r="AA64" s="1236"/>
      <c r="AB64" s="1236"/>
      <c r="AC64" s="1236"/>
      <c r="AD64" s="1236"/>
      <c r="AE64" s="1236"/>
      <c r="AF64" s="1236"/>
      <c r="AG64" s="1236"/>
      <c r="AH64" s="1236"/>
      <c r="AI64" s="1236"/>
      <c r="AJ64" s="1236"/>
      <c r="AK64" s="1236"/>
      <c r="AL64" s="1236"/>
      <c r="AM64" s="1236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D64" s="15"/>
    </row>
    <row r="65" spans="1:56" ht="7.9" customHeight="1">
      <c r="A65" s="1239" t="s">
        <v>380</v>
      </c>
      <c r="B65" s="1239"/>
      <c r="C65" s="1239"/>
      <c r="D65" s="1239"/>
      <c r="E65" s="1239"/>
      <c r="F65" s="1239"/>
      <c r="G65" s="1239"/>
      <c r="H65" s="1239"/>
      <c r="I65" s="1239"/>
      <c r="J65" s="1239"/>
      <c r="K65" s="1239"/>
      <c r="L65" s="1239"/>
      <c r="M65" s="1239"/>
      <c r="N65" s="1239"/>
      <c r="O65" s="1239"/>
      <c r="P65" s="1239"/>
      <c r="Q65" s="1239"/>
      <c r="R65" s="1239"/>
      <c r="S65" s="1239"/>
      <c r="T65" s="1239"/>
      <c r="U65" s="1239"/>
      <c r="V65" s="1239"/>
      <c r="W65" s="1239"/>
      <c r="X65" s="1239"/>
      <c r="Y65" s="1239"/>
      <c r="Z65" s="1239"/>
      <c r="AA65" s="1239"/>
      <c r="AB65" s="1239"/>
      <c r="AC65" s="1239"/>
      <c r="AD65" s="1239"/>
      <c r="AE65" s="1239"/>
      <c r="AF65" s="1239"/>
      <c r="AG65" s="1239"/>
      <c r="AH65" s="1239"/>
      <c r="AI65" s="1239"/>
      <c r="AJ65" s="1239"/>
      <c r="AK65" s="1239"/>
      <c r="AL65" s="1239"/>
      <c r="AM65" s="1239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</row>
    <row r="66" spans="1:56" ht="12" customHeight="1">
      <c r="A66" s="1235" t="s">
        <v>536</v>
      </c>
      <c r="B66" s="1235"/>
      <c r="C66" s="1235"/>
      <c r="D66" s="1235"/>
      <c r="E66" s="1235"/>
      <c r="F66" s="1235"/>
      <c r="G66" s="1235"/>
      <c r="H66" s="1235"/>
      <c r="I66" s="1235"/>
      <c r="J66" s="1235"/>
      <c r="K66" s="1235"/>
      <c r="L66" s="1235"/>
      <c r="M66" s="1235"/>
      <c r="N66" s="1235"/>
      <c r="O66" s="1235"/>
      <c r="P66" s="1235"/>
      <c r="Q66" s="1235"/>
      <c r="R66" s="1235"/>
      <c r="S66" s="1235"/>
      <c r="T66" s="1235"/>
      <c r="U66" s="1235"/>
      <c r="V66" s="1235"/>
      <c r="W66" s="1235"/>
      <c r="X66" s="1235"/>
      <c r="Y66" s="1235"/>
      <c r="Z66" s="1235"/>
      <c r="AA66" s="1235"/>
      <c r="AB66" s="1235"/>
      <c r="AC66" s="1235"/>
      <c r="AD66" s="1235"/>
      <c r="AE66" s="1235"/>
      <c r="AF66" s="1235"/>
      <c r="AG66" s="1235"/>
      <c r="AH66" s="1235"/>
      <c r="AI66" s="1235"/>
      <c r="AJ66" s="1235"/>
      <c r="AK66" s="1235"/>
      <c r="AL66" s="1235"/>
      <c r="AM66" s="1235"/>
      <c r="AN66" s="1235"/>
      <c r="AO66" s="1235"/>
      <c r="AP66" s="1235"/>
      <c r="AQ66" s="1235"/>
      <c r="AR66" s="1235"/>
      <c r="AS66" s="1235"/>
      <c r="AT66" s="1235"/>
      <c r="AU66" s="1235"/>
      <c r="AV66" s="1235"/>
      <c r="AW66" s="1235"/>
      <c r="AX66" s="1235"/>
      <c r="AY66" s="1235"/>
      <c r="AZ66" s="1235"/>
    </row>
    <row r="67" spans="1:56" ht="25.15" customHeight="1">
      <c r="A67" s="1241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7" s="1241"/>
      <c r="C67" s="1241"/>
      <c r="D67" s="1241"/>
      <c r="E67" s="1241"/>
      <c r="F67" s="1241"/>
      <c r="G67" s="1241"/>
      <c r="H67" s="1241"/>
      <c r="I67" s="1241"/>
      <c r="J67" s="1241"/>
      <c r="K67" s="1241"/>
      <c r="L67" s="1241"/>
      <c r="M67" s="1241"/>
      <c r="N67" s="1241"/>
      <c r="O67" s="1241"/>
      <c r="P67" s="1241"/>
      <c r="Q67" s="1241"/>
      <c r="R67" s="1241"/>
      <c r="S67" s="1241"/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1241"/>
      <c r="AG67" s="1241"/>
      <c r="AH67" s="1241"/>
      <c r="AI67" s="1241"/>
      <c r="AJ67" s="1241"/>
      <c r="AK67" s="1241"/>
      <c r="AL67" s="1241"/>
      <c r="AM67" s="1241"/>
      <c r="AN67" s="1241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D67" s="11"/>
    </row>
    <row r="68" spans="1:56" s="127" customFormat="1" ht="8.25" customHeight="1">
      <c r="A68" s="1240" t="s">
        <v>535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1242"/>
      <c r="AA68" s="1242"/>
      <c r="AB68" s="1242"/>
      <c r="AC68" s="1242"/>
      <c r="AD68" s="1242"/>
      <c r="AE68" s="1242"/>
      <c r="AF68" s="1242"/>
      <c r="AG68" s="1242"/>
      <c r="AH68" s="1242"/>
      <c r="AI68" s="1242"/>
      <c r="AJ68" s="1242"/>
      <c r="AK68" s="1242"/>
      <c r="AL68" s="1242"/>
      <c r="AM68" s="124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D68" s="129"/>
    </row>
    <row r="69" spans="1:56" ht="12" customHeight="1">
      <c r="A69" s="1260" t="s">
        <v>537</v>
      </c>
      <c r="B69" s="1260"/>
      <c r="C69" s="1260"/>
      <c r="D69" s="1260"/>
      <c r="E69" s="1260"/>
      <c r="F69" s="1260"/>
      <c r="G69" s="1260"/>
      <c r="H69" s="1260"/>
      <c r="I69" s="1260"/>
      <c r="J69" s="1260"/>
      <c r="K69" s="1260"/>
      <c r="L69" s="1260"/>
      <c r="M69" s="1260"/>
      <c r="N69" s="1260"/>
      <c r="O69" s="1260"/>
      <c r="P69" s="1260"/>
      <c r="Q69" s="1260"/>
      <c r="R69" s="1260"/>
      <c r="S69" s="1260"/>
      <c r="T69" s="1260"/>
      <c r="U69" s="1260"/>
      <c r="V69" s="1260"/>
      <c r="W69" s="1260"/>
      <c r="X69" s="1260"/>
      <c r="Y69" s="1260"/>
      <c r="Z69" s="1260"/>
      <c r="AA69" s="1260"/>
      <c r="AB69" s="1260"/>
      <c r="AC69" s="1260"/>
      <c r="AD69" s="1260"/>
      <c r="AE69" s="1260"/>
      <c r="AF69" s="1260"/>
      <c r="AG69" s="1260"/>
      <c r="AH69" s="1260"/>
      <c r="AI69" s="1260"/>
      <c r="AJ69" s="1260"/>
      <c r="AK69" s="1260"/>
      <c r="AL69" s="1260"/>
      <c r="AM69" s="1260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</row>
    <row r="70" spans="1:56" ht="12" customHeight="1">
      <c r="A70" s="1235" t="s">
        <v>381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</row>
    <row r="71" spans="1:56" ht="24" customHeight="1">
      <c r="A71" s="1236" t="str">
        <f ca="1">INDIRECT("'АКТЫ скрытых работ'!R"&amp;BE3&amp;"C11",0)</f>
        <v>Исполнительная схема №1 Монтаж контура заземления КК-0,4кВ</v>
      </c>
      <c r="B71" s="1236"/>
      <c r="C71" s="1236"/>
      <c r="D71" s="1236"/>
      <c r="E71" s="1236"/>
      <c r="F71" s="1236"/>
      <c r="G71" s="1236"/>
      <c r="H71" s="1236"/>
      <c r="I71" s="1236"/>
      <c r="J71" s="1236"/>
      <c r="K71" s="1236"/>
      <c r="L71" s="1236"/>
      <c r="M71" s="1236"/>
      <c r="N71" s="1236"/>
      <c r="O71" s="1236"/>
      <c r="P71" s="1236"/>
      <c r="Q71" s="1236"/>
      <c r="R71" s="1236"/>
      <c r="S71" s="1236"/>
      <c r="T71" s="1236"/>
      <c r="U71" s="1236"/>
      <c r="V71" s="1236"/>
      <c r="W71" s="1236"/>
      <c r="X71" s="1236"/>
      <c r="Y71" s="1236"/>
      <c r="Z71" s="1236"/>
      <c r="AA71" s="1236"/>
      <c r="AB71" s="1236"/>
      <c r="AC71" s="1236"/>
      <c r="AD71" s="1236"/>
      <c r="AE71" s="1236"/>
      <c r="AF71" s="1236"/>
      <c r="AG71" s="1236"/>
      <c r="AH71" s="1236"/>
      <c r="AI71" s="1236"/>
      <c r="AJ71" s="1236"/>
      <c r="AK71" s="1236"/>
      <c r="AL71" s="1236"/>
      <c r="AM71" s="1236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</row>
    <row r="72" spans="1:56" s="127" customFormat="1" ht="9">
      <c r="A72" s="1261" t="s">
        <v>382</v>
      </c>
      <c r="B72" s="1261"/>
      <c r="C72" s="1261"/>
      <c r="D72" s="1261"/>
      <c r="E72" s="1261"/>
      <c r="F72" s="1261"/>
      <c r="G72" s="1261"/>
      <c r="H72" s="1261"/>
      <c r="I72" s="1261"/>
      <c r="J72" s="1261"/>
      <c r="K72" s="1261"/>
      <c r="L72" s="1261"/>
      <c r="M72" s="1261"/>
      <c r="N72" s="1261"/>
      <c r="O72" s="1261"/>
      <c r="P72" s="1261"/>
      <c r="Q72" s="1261"/>
      <c r="R72" s="1261"/>
      <c r="S72" s="1261"/>
      <c r="T72" s="1261"/>
      <c r="U72" s="1261"/>
      <c r="V72" s="1261"/>
      <c r="W72" s="1261"/>
      <c r="X72" s="1261"/>
      <c r="Y72" s="1261"/>
      <c r="Z72" s="1261"/>
      <c r="AA72" s="1261"/>
      <c r="AB72" s="1261"/>
      <c r="AC72" s="1261"/>
      <c r="AD72" s="1261"/>
      <c r="AE72" s="1261"/>
      <c r="AF72" s="1261"/>
      <c r="AG72" s="1261"/>
      <c r="AH72" s="1261"/>
      <c r="AI72" s="1261"/>
      <c r="AJ72" s="1261"/>
      <c r="AK72" s="1261"/>
      <c r="AL72" s="1261"/>
      <c r="AM72" s="126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</row>
    <row r="73" spans="1:56" ht="24" customHeight="1">
      <c r="A73" s="1260" t="s">
        <v>538</v>
      </c>
      <c r="B73" s="1260"/>
      <c r="C73" s="1260"/>
      <c r="D73" s="1260"/>
      <c r="E73" s="1260"/>
      <c r="F73" s="1260"/>
      <c r="G73" s="1260"/>
      <c r="H73" s="1260"/>
      <c r="I73" s="1260"/>
      <c r="J73" s="1260"/>
      <c r="K73" s="1260"/>
      <c r="L73" s="1260"/>
      <c r="M73" s="1260"/>
      <c r="N73" s="1260"/>
      <c r="O73" s="1260"/>
      <c r="P73" s="1260"/>
      <c r="Q73" s="1260"/>
      <c r="R73" s="1260"/>
      <c r="S73" s="1260"/>
      <c r="T73" s="1260"/>
      <c r="U73" s="1260"/>
      <c r="V73" s="1260"/>
      <c r="W73" s="1260"/>
      <c r="X73" s="1260"/>
      <c r="Y73" s="1260"/>
      <c r="Z73" s="1260"/>
      <c r="AA73" s="1260"/>
      <c r="AB73" s="1260"/>
      <c r="AC73" s="1260"/>
      <c r="AD73" s="1260"/>
      <c r="AE73" s="1260"/>
      <c r="AF73" s="1260"/>
      <c r="AG73" s="1260"/>
      <c r="AH73" s="1260"/>
      <c r="AI73" s="1260"/>
      <c r="AJ73" s="1260"/>
      <c r="AK73" s="1260"/>
      <c r="AL73" s="1260"/>
      <c r="AM73" s="1260"/>
      <c r="AN73" s="1260"/>
      <c r="AO73" s="1260"/>
      <c r="AP73" s="1260"/>
      <c r="AQ73" s="1260"/>
      <c r="AR73" s="1260"/>
      <c r="AS73" s="1260"/>
      <c r="AT73" s="1260"/>
      <c r="AU73" s="1260"/>
      <c r="AV73" s="1260"/>
      <c r="AW73" s="1260"/>
      <c r="AX73" s="1260"/>
      <c r="AY73" s="1260"/>
      <c r="AZ73" s="1260"/>
    </row>
    <row r="74" spans="1:56" ht="15.75" customHeight="1">
      <c r="A74" s="1250"/>
      <c r="B74" s="1250"/>
      <c r="C74" s="1250"/>
      <c r="D74" s="1250"/>
      <c r="E74" s="1250"/>
      <c r="F74" s="1250"/>
      <c r="G74" s="1250"/>
      <c r="H74" s="1250"/>
      <c r="I74" s="1250"/>
      <c r="J74" s="1250"/>
      <c r="K74" s="1250"/>
      <c r="L74" s="1250"/>
      <c r="M74" s="1250"/>
      <c r="N74" s="1250"/>
      <c r="O74" s="1250"/>
      <c r="P74" s="1250"/>
      <c r="Q74" s="1250"/>
      <c r="R74" s="1250"/>
      <c r="S74" s="1250"/>
      <c r="T74" s="1250"/>
      <c r="U74" s="1250"/>
      <c r="V74" s="1250"/>
      <c r="W74" s="1250"/>
      <c r="X74" s="1250"/>
      <c r="Y74" s="1250"/>
      <c r="Z74" s="1250"/>
      <c r="AA74" s="1250"/>
      <c r="AB74" s="1250"/>
      <c r="AC74" s="1250"/>
      <c r="AD74" s="1250"/>
      <c r="AE74" s="1250"/>
      <c r="AF74" s="1250"/>
      <c r="AG74" s="1250"/>
      <c r="AH74" s="1250"/>
      <c r="AI74" s="1250"/>
      <c r="AJ74" s="1250"/>
      <c r="AK74" s="1250"/>
      <c r="AL74" s="1250"/>
      <c r="AM74" s="1250"/>
      <c r="AN74" s="1250"/>
      <c r="AO74" s="1250"/>
      <c r="AP74" s="1250"/>
      <c r="AQ74" s="1250"/>
      <c r="AR74" s="1250"/>
      <c r="AS74" s="1250"/>
      <c r="AT74" s="1250"/>
      <c r="AU74" s="1250"/>
      <c r="AV74" s="1250"/>
      <c r="AW74" s="1250"/>
      <c r="AX74" s="1250"/>
      <c r="AY74" s="1250"/>
      <c r="AZ74" s="1250"/>
    </row>
    <row r="75" spans="1:56" ht="9.75" customHeight="1">
      <c r="A75" s="1251" t="s">
        <v>382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42" t="s">
        <v>382</v>
      </c>
      <c r="AD77" s="1242"/>
      <c r="AE77" s="1242"/>
      <c r="AF77" s="1242"/>
      <c r="AG77" s="1242"/>
      <c r="AH77" s="1242"/>
      <c r="AI77" s="1242"/>
      <c r="AJ77" s="1242"/>
      <c r="AK77" s="1242"/>
      <c r="AL77" s="1242"/>
      <c r="AM77" s="1242"/>
      <c r="AN77" s="1242"/>
      <c r="AO77" s="1242"/>
      <c r="AP77" s="1242"/>
      <c r="AQ77" s="1242"/>
      <c r="AR77" s="1242"/>
      <c r="AS77" s="1242"/>
      <c r="AT77" s="1242"/>
      <c r="AU77" s="1242"/>
      <c r="AV77" s="1242"/>
      <c r="AW77" s="1242"/>
      <c r="AX77" s="1242"/>
      <c r="AY77" s="1242"/>
      <c r="AZ77" s="1242"/>
    </row>
    <row r="78" spans="1:56">
      <c r="A78" s="1235" t="s">
        <v>539</v>
      </c>
      <c r="B78" s="1235"/>
      <c r="C78" s="1235"/>
      <c r="D78" s="1235"/>
      <c r="E78" s="1235"/>
      <c r="G78" s="1248" t="s">
        <v>527</v>
      </c>
      <c r="H78" s="1248"/>
      <c r="I78" s="1248"/>
      <c r="J78" s="1248"/>
      <c r="K78" s="1248"/>
      <c r="L78" s="1248"/>
      <c r="M78" s="1248"/>
      <c r="N78" s="1248"/>
      <c r="O78" s="1248"/>
      <c r="P78" s="1248"/>
      <c r="Q78" s="8"/>
      <c r="R78" s="103" t="s">
        <v>76</v>
      </c>
      <c r="S78" s="1243" t="str">
        <f ca="1">INDIRECT("'АКТЫ скрытых работ'!R"&amp;BE3&amp;"C4",0)</f>
        <v>07</v>
      </c>
      <c r="T78" s="1243"/>
      <c r="U78" s="1243"/>
      <c r="V78" s="103" t="s">
        <v>77</v>
      </c>
      <c r="W78" s="1244" t="str">
        <f ca="1">INDIRECT("'АКТЫ скрытых работ'!R"&amp;BE3&amp;"C5",0)</f>
        <v>ноября</v>
      </c>
      <c r="X78" s="1244"/>
      <c r="Y78" s="1244"/>
      <c r="Z78" s="1244"/>
      <c r="AA78" s="1244"/>
      <c r="AB78" s="1244"/>
      <c r="AC78" s="1244"/>
      <c r="AE78" s="1246">
        <f ca="1">INDIRECT("'АКТЫ скрытых работ'!R"&amp;BE3&amp;"C6",0)</f>
        <v>2024</v>
      </c>
      <c r="AF78" s="1246"/>
      <c r="AG78" s="1246"/>
      <c r="AH78" s="1246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5" t="s">
        <v>89</v>
      </c>
      <c r="H79" s="1235"/>
      <c r="I79" s="1235"/>
      <c r="J79" s="1235"/>
      <c r="K79" s="1235"/>
      <c r="L79" s="1235"/>
      <c r="M79" s="1235"/>
      <c r="N79" s="1235"/>
      <c r="O79" s="1235"/>
      <c r="P79" s="1235"/>
      <c r="Q79" s="8"/>
      <c r="R79" s="103" t="s">
        <v>76</v>
      </c>
      <c r="S79" s="1243" t="str">
        <f ca="1">INDIRECT("'АКТЫ скрытых работ'!R"&amp;BE3&amp;"C7",0)</f>
        <v>07</v>
      </c>
      <c r="T79" s="1243"/>
      <c r="U79" s="1243"/>
      <c r="V79" s="103" t="s">
        <v>77</v>
      </c>
      <c r="W79" s="1245" t="str">
        <f ca="1">INDIRECT("'АКТЫ скрытых работ'!R"&amp;BE3&amp;"C8",0)</f>
        <v>ноября</v>
      </c>
      <c r="X79" s="1245"/>
      <c r="Y79" s="1245"/>
      <c r="Z79" s="1245"/>
      <c r="AA79" s="1245"/>
      <c r="AB79" s="1245"/>
      <c r="AC79" s="1245"/>
      <c r="AE79" s="1247">
        <f ca="1">INDIRECT("'АКТЫ скрытых работ'!R"&amp;BE3&amp;"C9",0)</f>
        <v>2024</v>
      </c>
      <c r="AF79" s="1247"/>
      <c r="AG79" s="1247"/>
      <c r="AH79" s="1247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49" t="s">
        <v>540</v>
      </c>
      <c r="B81" s="1249"/>
      <c r="C81" s="1249"/>
      <c r="D81" s="1249"/>
      <c r="E81" s="1249"/>
      <c r="F81" s="1249"/>
      <c r="G81" s="1249"/>
      <c r="H81" s="1249"/>
      <c r="I81" s="1249"/>
      <c r="J81" s="1249"/>
      <c r="K81" s="1249"/>
      <c r="L81" s="1249"/>
      <c r="M81" s="1249"/>
      <c r="N81" s="1249"/>
      <c r="O81" s="1249"/>
      <c r="P81" s="1249"/>
      <c r="Q81" s="1249"/>
      <c r="R81" s="1249"/>
      <c r="S81" s="1249"/>
      <c r="T81" s="1249"/>
      <c r="U81" s="1249"/>
      <c r="V81" s="1249"/>
      <c r="W81" s="1249"/>
      <c r="X81" s="1249"/>
      <c r="Y81" s="1249"/>
      <c r="Z81" s="1249"/>
      <c r="AA81" s="1249"/>
      <c r="AB81" s="1249"/>
      <c r="AC81" s="1249"/>
      <c r="AD81" s="1249"/>
      <c r="AE81" s="1249"/>
      <c r="AF81" s="1249"/>
      <c r="AG81" s="1249"/>
      <c r="AH81" s="1249"/>
      <c r="AI81" s="1249"/>
      <c r="AJ81" s="1249"/>
      <c r="AK81" s="1249"/>
      <c r="AL81" s="1249"/>
      <c r="AM81" s="1249"/>
      <c r="AN81" s="1249"/>
      <c r="AO81" s="1249"/>
      <c r="AP81" s="1249"/>
      <c r="AQ81" s="1249"/>
      <c r="AR81" s="1249"/>
      <c r="AS81" s="1249"/>
      <c r="AT81" s="1249"/>
      <c r="AU81" s="1249"/>
      <c r="AV81" s="1249"/>
      <c r="AW81" s="1249"/>
      <c r="AX81" s="1249"/>
      <c r="AY81" s="1249"/>
      <c r="AZ81" s="1249"/>
    </row>
    <row r="82" spans="1:54">
      <c r="A82" s="124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41"/>
      <c r="C82" s="1241"/>
      <c r="D82" s="1241"/>
      <c r="E82" s="1241"/>
      <c r="F82" s="1241"/>
      <c r="G82" s="1241"/>
      <c r="H82" s="1241"/>
      <c r="I82" s="1241"/>
      <c r="J82" s="1241"/>
      <c r="K82" s="1241"/>
      <c r="L82" s="1241"/>
      <c r="M82" s="1241"/>
      <c r="N82" s="1241"/>
      <c r="O82" s="1241"/>
      <c r="P82" s="1241"/>
      <c r="Q82" s="1241"/>
      <c r="R82" s="1241"/>
      <c r="S82" s="1241"/>
      <c r="T82" s="1241"/>
      <c r="U82" s="1241"/>
      <c r="V82" s="1241"/>
      <c r="W82" s="1241"/>
      <c r="X82" s="1241"/>
      <c r="Y82" s="1241"/>
      <c r="Z82" s="1241"/>
      <c r="AA82" s="1241"/>
      <c r="AB82" s="1241"/>
      <c r="AC82" s="1241"/>
      <c r="AD82" s="1241"/>
      <c r="AE82" s="1241"/>
      <c r="AF82" s="1241"/>
      <c r="AG82" s="1241"/>
      <c r="AH82" s="1241"/>
      <c r="AI82" s="1241"/>
      <c r="AJ82" s="1241"/>
      <c r="AK82" s="1241"/>
      <c r="AL82" s="1241"/>
      <c r="AM82" s="1241"/>
      <c r="AN82" s="1241"/>
      <c r="AO82" s="1241"/>
      <c r="AP82" s="1241"/>
      <c r="AQ82" s="1241"/>
      <c r="AR82" s="1241"/>
      <c r="AS82" s="1241"/>
      <c r="AT82" s="1241"/>
      <c r="AU82" s="1241"/>
      <c r="AV82" s="1241"/>
      <c r="AW82" s="1241"/>
      <c r="AX82" s="1241"/>
      <c r="AY82" s="1241"/>
      <c r="AZ82" s="1241"/>
    </row>
    <row r="83" spans="1:54" s="127" customFormat="1" ht="10.5" customHeight="1">
      <c r="A83" s="1239" t="s">
        <v>541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39"/>
      <c r="AA83" s="1239"/>
      <c r="AB83" s="1239"/>
      <c r="AC83" s="1239"/>
      <c r="AD83" s="1239"/>
      <c r="AE83" s="1239"/>
      <c r="AF83" s="1239"/>
      <c r="AG83" s="1239"/>
      <c r="AH83" s="1239"/>
      <c r="AI83" s="1239"/>
      <c r="AJ83" s="1239"/>
      <c r="AK83" s="1239"/>
      <c r="AL83" s="1239"/>
      <c r="AM83" s="1239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</row>
    <row r="84" spans="1:54" ht="12" customHeight="1">
      <c r="A84" s="1235" t="s">
        <v>384</v>
      </c>
      <c r="B84" s="1235"/>
      <c r="C84" s="1235"/>
      <c r="D84" s="1235"/>
      <c r="E84" s="1235"/>
      <c r="F84" s="1235"/>
      <c r="G84" s="1235"/>
      <c r="H84" s="1235"/>
      <c r="I84" s="1235"/>
      <c r="J84" s="1235"/>
      <c r="K84" s="1235"/>
      <c r="L84" s="1235"/>
      <c r="M84" s="1235"/>
      <c r="N84" s="1235"/>
      <c r="O84" s="1235"/>
      <c r="P84" s="1235"/>
      <c r="Q84" s="1235"/>
      <c r="R84" s="1235"/>
      <c r="S84" s="1235"/>
      <c r="T84" s="1235"/>
      <c r="U84" s="1235"/>
      <c r="V84" s="1235"/>
      <c r="W84" s="1235"/>
      <c r="X84" s="1235"/>
      <c r="Y84" s="1235"/>
      <c r="Z84" s="1235"/>
      <c r="AA84" s="1235"/>
      <c r="AB84" s="1235"/>
      <c r="AC84" s="1235"/>
      <c r="AD84" s="1235"/>
      <c r="AE84" s="1235"/>
      <c r="AF84" s="1235"/>
      <c r="AG84" s="1235"/>
      <c r="AH84" s="1235"/>
      <c r="AI84" s="1235"/>
      <c r="AJ84" s="1235"/>
      <c r="AK84" s="1235"/>
      <c r="AL84" s="1235"/>
      <c r="AM84" s="1235"/>
      <c r="AN84" s="1235"/>
      <c r="AO84" s="1235"/>
      <c r="AP84" s="1235"/>
      <c r="AQ84" s="1235"/>
      <c r="AR84" s="1235"/>
      <c r="AS84" s="1235"/>
      <c r="AT84" s="1235"/>
      <c r="AU84" s="1235"/>
      <c r="AV84" s="1235"/>
      <c r="AW84" s="1235"/>
      <c r="AX84" s="1235"/>
      <c r="AY84" s="1235"/>
      <c r="AZ84" s="1235"/>
      <c r="BA84" s="31"/>
    </row>
    <row r="85" spans="1:54" ht="12" customHeight="1">
      <c r="A85" s="1235" t="s">
        <v>385</v>
      </c>
      <c r="B85" s="1235"/>
      <c r="C85" s="1235"/>
      <c r="D85" s="1235"/>
      <c r="E85" s="1235"/>
      <c r="F85" s="1235"/>
      <c r="G85" s="1235"/>
      <c r="H85" s="1235"/>
      <c r="I85" s="1235"/>
      <c r="J85" s="1235"/>
      <c r="K85" s="1235"/>
      <c r="L85" s="1235"/>
      <c r="M85" s="1235"/>
      <c r="N85" s="1235"/>
      <c r="O85" s="1235"/>
      <c r="P85" s="1235"/>
      <c r="Q85" s="1235"/>
      <c r="R85" s="1235"/>
      <c r="S85" s="1235"/>
      <c r="T85" s="1235"/>
      <c r="U85" s="1235"/>
      <c r="V85" s="1235"/>
      <c r="W85" s="1235"/>
      <c r="X85" s="1235"/>
      <c r="Y85" s="1235"/>
      <c r="Z85" s="1235"/>
      <c r="AA85" s="1235"/>
      <c r="AB85" s="1235"/>
      <c r="AC85" s="1235"/>
      <c r="AD85" s="1235"/>
      <c r="AE85" s="1235"/>
      <c r="AF85" s="1231" t="s">
        <v>386</v>
      </c>
      <c r="AG85" s="1231"/>
      <c r="AH85" s="1231"/>
      <c r="AI85" s="1231"/>
      <c r="AJ85" s="1231"/>
      <c r="AK85" s="1231"/>
      <c r="AL85" s="1231"/>
      <c r="AM85" s="1231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416" t="s">
        <v>387</v>
      </c>
      <c r="BA85" s="9"/>
    </row>
    <row r="86" spans="1:54" ht="12" customHeight="1">
      <c r="A86" s="1235" t="s">
        <v>542</v>
      </c>
      <c r="B86" s="1235"/>
      <c r="C86" s="1235"/>
      <c r="D86" s="1235"/>
      <c r="E86" s="1235"/>
      <c r="F86" s="1235"/>
      <c r="G86" s="1235"/>
      <c r="H86" s="1235"/>
      <c r="I86" s="1235"/>
      <c r="J86" s="1235"/>
      <c r="K86" s="1235"/>
      <c r="L86" s="1235"/>
      <c r="M86" s="1235"/>
      <c r="N86" s="1235"/>
      <c r="O86" s="1235"/>
      <c r="P86" s="1235"/>
      <c r="Q86" s="1235"/>
      <c r="R86" s="1235"/>
      <c r="S86" s="1235"/>
      <c r="T86" s="1235"/>
      <c r="U86" s="1235"/>
      <c r="V86" s="1235"/>
      <c r="W86" s="1235"/>
      <c r="X86" s="1235"/>
      <c r="Y86" s="1235"/>
      <c r="Z86" s="1235"/>
      <c r="AA86" s="1235"/>
      <c r="AB86" s="1235"/>
      <c r="AC86" s="1235"/>
      <c r="AD86" s="1235"/>
      <c r="AE86" s="1235"/>
      <c r="AF86" s="1235"/>
      <c r="AG86" s="1235"/>
      <c r="AH86" s="1235"/>
      <c r="AI86" s="1235"/>
      <c r="AJ86" s="1235"/>
      <c r="AK86" s="1235"/>
      <c r="AL86" s="1235"/>
      <c r="AM86" s="1235"/>
      <c r="AN86" s="1235"/>
      <c r="AO86" s="1235"/>
      <c r="AP86" s="1235"/>
      <c r="AQ86" s="1235"/>
      <c r="AR86" s="1235"/>
      <c r="AS86" s="1235"/>
      <c r="AT86" s="1230"/>
      <c r="AU86" s="1230"/>
      <c r="AV86" s="1230"/>
      <c r="AW86" s="1230"/>
      <c r="AX86" s="1230"/>
      <c r="AY86" s="418" t="s">
        <v>388</v>
      </c>
      <c r="AZ86" s="418"/>
      <c r="BA86" s="9"/>
    </row>
    <row r="87" spans="1:54" ht="12" customHeight="1">
      <c r="A87" s="1235" t="s">
        <v>543</v>
      </c>
      <c r="B87" s="1235"/>
      <c r="C87" s="1235"/>
      <c r="D87" s="1235"/>
      <c r="E87" s="1235"/>
      <c r="F87" s="1235"/>
      <c r="G87" s="1235"/>
      <c r="H87" s="1235"/>
      <c r="I87" s="1235"/>
      <c r="J87" s="1235"/>
      <c r="K87" s="1235"/>
      <c r="L87" s="1235"/>
      <c r="M87" s="1235"/>
      <c r="N87" s="1235"/>
      <c r="O87" s="1235"/>
      <c r="P87" s="1235"/>
      <c r="Q87" s="1235"/>
      <c r="R87" s="1235"/>
      <c r="S87" s="1235"/>
      <c r="T87" s="1235"/>
      <c r="U87" s="1235"/>
      <c r="V87" s="1235"/>
      <c r="W87" s="1235"/>
      <c r="X87" s="1235"/>
      <c r="Y87" s="1235"/>
      <c r="Z87" s="1235"/>
      <c r="AA87" s="1235"/>
      <c r="AB87" s="1235"/>
      <c r="AC87" s="1235"/>
      <c r="AD87" s="1235"/>
      <c r="AE87" s="1235"/>
      <c r="AF87" s="1235"/>
      <c r="AG87" s="1235"/>
      <c r="AH87" s="1235"/>
      <c r="AI87" s="1235"/>
      <c r="AJ87" s="1235"/>
      <c r="AK87" s="1235"/>
      <c r="AL87" s="1235"/>
      <c r="AM87" s="1235"/>
      <c r="AN87" s="1235"/>
      <c r="AO87" s="1235"/>
      <c r="AP87" s="1235"/>
      <c r="AQ87" s="1235"/>
      <c r="AR87" s="1235"/>
      <c r="AS87" s="1235"/>
      <c r="AT87" s="1235"/>
      <c r="AU87" s="1235"/>
      <c r="AV87" s="1235"/>
      <c r="AW87" s="1235"/>
      <c r="AX87" s="1235"/>
      <c r="AY87" s="1235"/>
      <c r="AZ87" s="1235"/>
      <c r="BA87" s="9"/>
    </row>
    <row r="88" spans="1:54" ht="12" customHeight="1">
      <c r="A88" s="1235" t="s">
        <v>544</v>
      </c>
      <c r="B88" s="1235"/>
      <c r="C88" s="1235"/>
      <c r="D88" s="1235"/>
      <c r="E88" s="1235"/>
      <c r="F88" s="1235"/>
      <c r="G88" s="1235"/>
      <c r="H88" s="1235"/>
      <c r="I88" s="1235"/>
      <c r="J88" s="1235"/>
      <c r="K88" s="1235"/>
      <c r="L88" s="1235"/>
      <c r="M88" s="1235"/>
      <c r="N88" s="1235"/>
      <c r="O88" s="1235"/>
      <c r="P88" s="1235"/>
      <c r="Q88" s="1235"/>
      <c r="R88" s="1235"/>
      <c r="S88" s="1235"/>
      <c r="T88" s="1235"/>
      <c r="U88" s="1235"/>
      <c r="V88" s="1235"/>
      <c r="W88" s="1235"/>
      <c r="X88" s="1235"/>
      <c r="Y88" s="1235"/>
      <c r="Z88" s="1235"/>
      <c r="AA88" s="1235"/>
      <c r="AB88" s="1235"/>
      <c r="AC88" s="1235"/>
      <c r="AD88" s="1235"/>
      <c r="AE88" s="1235"/>
      <c r="AF88" s="1235"/>
      <c r="AG88" s="1235"/>
      <c r="AH88" s="1235"/>
      <c r="AI88" s="1235"/>
      <c r="AJ88" s="1235"/>
      <c r="AK88" s="1235"/>
      <c r="AL88" s="1235"/>
      <c r="AM88" s="1235"/>
      <c r="AN88" s="1235"/>
      <c r="AO88" s="1235"/>
      <c r="AP88" s="1235"/>
      <c r="AQ88" s="1235"/>
      <c r="AR88" s="1235"/>
      <c r="AS88" s="1235"/>
      <c r="AT88" s="1235"/>
      <c r="AU88" s="1235"/>
      <c r="AV88" s="1235"/>
      <c r="AW88" s="1235"/>
      <c r="AX88" s="1235"/>
      <c r="AY88" s="1235"/>
      <c r="AZ88" s="1235"/>
      <c r="BA88" s="9"/>
    </row>
    <row r="89" spans="1:54" ht="12" customHeight="1">
      <c r="A89" s="1231"/>
      <c r="B89" s="1231"/>
      <c r="C89" s="1231"/>
      <c r="D89" s="1231"/>
      <c r="E89" s="1231"/>
      <c r="F89" s="1231"/>
      <c r="G89" s="1231"/>
      <c r="H89" s="1231"/>
      <c r="I89" s="1231"/>
      <c r="J89" s="1231"/>
      <c r="K89" s="1231"/>
      <c r="L89" s="1231"/>
      <c r="M89" s="1231"/>
      <c r="N89" s="1231"/>
      <c r="O89" s="1231"/>
      <c r="P89" s="1231"/>
      <c r="Q89" s="1231"/>
      <c r="R89" s="1231"/>
      <c r="S89" s="1231"/>
      <c r="T89" s="1231"/>
      <c r="U89" s="1231"/>
      <c r="V89" s="1231"/>
      <c r="W89" s="1231"/>
      <c r="X89" s="1231"/>
      <c r="Y89" s="1231"/>
      <c r="Z89" s="1231"/>
      <c r="AA89" s="1231"/>
      <c r="AB89" s="1231"/>
      <c r="AC89" s="1231"/>
      <c r="AD89" s="1231"/>
      <c r="AE89" s="1231"/>
      <c r="AF89" s="1231"/>
      <c r="AG89" s="1231"/>
      <c r="AH89" s="1231"/>
      <c r="AI89" s="1231"/>
      <c r="AJ89" s="1231"/>
      <c r="AK89" s="1231"/>
      <c r="AL89" s="1231"/>
      <c r="AM89" s="1231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9"/>
    </row>
    <row r="90" spans="1:54" ht="12" customHeight="1">
      <c r="A90" s="1232" t="s">
        <v>545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1232"/>
      <c r="AA90" s="1232"/>
      <c r="AB90" s="1232"/>
      <c r="AC90" s="1232"/>
      <c r="AD90" s="1232"/>
      <c r="AE90" s="1232"/>
      <c r="AF90" s="1232"/>
      <c r="AG90" s="1232"/>
      <c r="AH90" s="1232"/>
      <c r="AI90" s="1232"/>
      <c r="AJ90" s="1232"/>
      <c r="AK90" s="1232"/>
      <c r="AL90" s="1232"/>
      <c r="AM90" s="1232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9"/>
    </row>
    <row r="91" spans="1:54" ht="12" customHeight="1">
      <c r="A91" s="1228" t="str">
        <f ca="1">INDIRECT("'АКТЫ скрытых работ'!R"&amp;BE3&amp;"C13",0)</f>
        <v>Монтаж горизонтального заземлителя</v>
      </c>
      <c r="B91" s="1228"/>
      <c r="C91" s="1228"/>
      <c r="D91" s="1228"/>
      <c r="E91" s="1228"/>
      <c r="F91" s="1228"/>
      <c r="G91" s="1228"/>
      <c r="H91" s="1228"/>
      <c r="I91" s="1228"/>
      <c r="J91" s="1228"/>
      <c r="K91" s="1228"/>
      <c r="L91" s="1228"/>
      <c r="M91" s="1228"/>
      <c r="N91" s="1228"/>
      <c r="O91" s="1228"/>
      <c r="P91" s="1228"/>
      <c r="Q91" s="1228"/>
      <c r="R91" s="1228"/>
      <c r="S91" s="1228"/>
      <c r="T91" s="1228"/>
      <c r="U91" s="1228"/>
      <c r="V91" s="1228"/>
      <c r="W91" s="1228"/>
      <c r="X91" s="1228"/>
      <c r="Y91" s="1228"/>
      <c r="Z91" s="1228"/>
      <c r="AA91" s="1228"/>
      <c r="AB91" s="1228"/>
      <c r="AC91" s="1228"/>
      <c r="AD91" s="1228"/>
      <c r="AE91" s="1228"/>
      <c r="AF91" s="1228"/>
      <c r="AG91" s="1228"/>
      <c r="AH91" s="1228"/>
      <c r="AI91" s="1228"/>
      <c r="AJ91" s="1228"/>
      <c r="AK91" s="1228"/>
      <c r="AL91" s="1228"/>
      <c r="AM91" s="1228"/>
      <c r="AN91" s="1228"/>
      <c r="AO91" s="1228"/>
      <c r="AP91" s="1228"/>
      <c r="AQ91" s="1228"/>
      <c r="AR91" s="1228"/>
      <c r="AS91" s="1228"/>
      <c r="AT91" s="1228"/>
      <c r="AU91" s="1228"/>
      <c r="AV91" s="1228"/>
      <c r="AW91" s="1228"/>
      <c r="AX91" s="1228"/>
      <c r="AY91" s="1228"/>
      <c r="AZ91" s="1228"/>
      <c r="BA91" s="9"/>
    </row>
    <row r="92" spans="1:54" s="127" customFormat="1" ht="8.25" customHeight="1">
      <c r="A92" s="1229" t="s">
        <v>389</v>
      </c>
      <c r="B92" s="1229"/>
      <c r="C92" s="1229"/>
      <c r="D92" s="1229"/>
      <c r="E92" s="1229"/>
      <c r="F92" s="1229"/>
      <c r="G92" s="1229"/>
      <c r="H92" s="1229"/>
      <c r="I92" s="1229"/>
      <c r="J92" s="1229"/>
      <c r="K92" s="1229"/>
      <c r="L92" s="1229"/>
      <c r="M92" s="1229"/>
      <c r="N92" s="1229"/>
      <c r="O92" s="1229"/>
      <c r="P92" s="1229"/>
      <c r="Q92" s="1229"/>
      <c r="R92" s="1229"/>
      <c r="S92" s="1229"/>
      <c r="T92" s="1229"/>
      <c r="U92" s="1229"/>
      <c r="V92" s="1229"/>
      <c r="W92" s="1229"/>
      <c r="X92" s="1229"/>
      <c r="Y92" s="1229"/>
      <c r="Z92" s="1229"/>
      <c r="AA92" s="1229"/>
      <c r="AB92" s="1229"/>
      <c r="AC92" s="1229"/>
      <c r="AD92" s="1229"/>
      <c r="AE92" s="1229"/>
      <c r="AF92" s="1229"/>
      <c r="AG92" s="1229"/>
      <c r="AH92" s="1229"/>
      <c r="AI92" s="1229"/>
      <c r="AJ92" s="1229"/>
      <c r="AK92" s="1229"/>
      <c r="AL92" s="1229"/>
      <c r="AM92" s="1229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37"/>
    </row>
    <row r="93" spans="1:54" s="138" customFormat="1" ht="12" customHeight="1">
      <c r="A93" s="1233" t="s">
        <v>86</v>
      </c>
      <c r="B93" s="1233"/>
      <c r="C93" s="1233"/>
      <c r="D93" s="1233"/>
      <c r="E93" s="1233"/>
      <c r="F93" s="1233"/>
      <c r="G93" s="1233"/>
      <c r="H93" s="1233"/>
      <c r="I93" s="1233"/>
      <c r="J93" s="1233"/>
      <c r="K93" s="1233"/>
      <c r="L93" s="1233"/>
      <c r="M93" s="1233"/>
      <c r="N93" s="1233"/>
      <c r="O93" s="1233"/>
      <c r="P93" s="1234" t="s">
        <v>65</v>
      </c>
      <c r="Q93" s="1234"/>
      <c r="R93" s="1234"/>
      <c r="S93" s="1234"/>
      <c r="T93" s="1234"/>
      <c r="U93" s="1234"/>
      <c r="V93" s="1234"/>
      <c r="W93" s="1234"/>
      <c r="X93" s="1234"/>
      <c r="Y93" s="1234"/>
      <c r="Z93" s="1234"/>
      <c r="AA93" s="1234"/>
      <c r="AB93" s="1234"/>
      <c r="AC93" s="1234"/>
      <c r="AD93" s="1234"/>
      <c r="AE93" s="1234"/>
      <c r="AF93" s="1234"/>
      <c r="AG93" s="1234"/>
      <c r="AH93" s="1234"/>
      <c r="AI93" s="1234"/>
      <c r="AJ93" s="1234"/>
      <c r="AK93" s="1234"/>
      <c r="AL93" s="1234"/>
      <c r="AM93" s="1234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</row>
    <row r="94" spans="1:54" ht="12" customHeight="1">
      <c r="A94" s="416" t="s">
        <v>90</v>
      </c>
      <c r="J94" s="1228">
        <f>ФОРМА!F5</f>
        <v>2</v>
      </c>
      <c r="K94" s="1228"/>
      <c r="L94" s="1228"/>
      <c r="M94" s="419"/>
      <c r="N94" s="416" t="s">
        <v>91</v>
      </c>
      <c r="O94" s="419"/>
      <c r="R94" s="416"/>
    </row>
    <row r="95" spans="1:54" ht="35.25" customHeight="1">
      <c r="A95" s="1235" t="s">
        <v>87</v>
      </c>
      <c r="B95" s="1235"/>
      <c r="C95" s="1235"/>
      <c r="D95" s="1235"/>
      <c r="E95" s="1235"/>
      <c r="F95" s="1235"/>
      <c r="G95" s="1235"/>
      <c r="H95" s="1236" t="str">
        <f ca="1">CONCATENATE(INDIRECT("'АКТЫ скрытых работ'!R"&amp;BE3&amp;"C11",0),", ",INDIRECT("'АКТЫ скрытых работ'!R"&amp;BE3&amp;"C14",0))</f>
        <v>Исполнительная схема №1 Монтаж контура заземления КК-0,4кВ, Информационное письмо №1157 от 26.10.2016 "Центр Декларирования Сертификации" (ООО "ЦДС)"</v>
      </c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</row>
    <row r="96" spans="1:54" ht="24" customHeight="1">
      <c r="A96" s="1227" t="s">
        <v>546</v>
      </c>
      <c r="B96" s="1227"/>
      <c r="C96" s="1227"/>
      <c r="D96" s="1227"/>
      <c r="E96" s="1227"/>
      <c r="F96" s="1227"/>
      <c r="G96" s="1227"/>
      <c r="H96" s="1227"/>
      <c r="I96" s="1227"/>
      <c r="J96" s="1227"/>
      <c r="K96" s="1227"/>
      <c r="L96" s="1227"/>
      <c r="M96" s="1227"/>
      <c r="N96" s="1227"/>
      <c r="O96" s="1227"/>
      <c r="P96" s="1227"/>
      <c r="Q96" s="1227"/>
      <c r="R96" s="1227"/>
      <c r="S96" s="1227"/>
      <c r="T96" s="1227"/>
      <c r="U96" s="1227"/>
      <c r="V96" s="1227"/>
      <c r="W96" s="1227"/>
      <c r="X96" s="1227"/>
      <c r="Y96" s="1227"/>
      <c r="Z96" s="1227"/>
      <c r="AA96" s="1227"/>
      <c r="AB96" s="1227"/>
      <c r="AC96" s="1227"/>
      <c r="AD96" s="1227"/>
      <c r="AE96" s="1227"/>
      <c r="AF96" s="1227"/>
      <c r="AG96" s="1227"/>
      <c r="AH96" s="1227"/>
      <c r="AI96" s="1227"/>
      <c r="AJ96" s="1227"/>
      <c r="AK96" s="1227"/>
      <c r="AL96" s="1227"/>
      <c r="AM96" s="1227"/>
      <c r="AN96" s="1227"/>
      <c r="AO96" s="1227"/>
      <c r="AP96" s="1227"/>
      <c r="AQ96" s="1227"/>
      <c r="AR96" s="1227"/>
      <c r="AS96" s="1227"/>
      <c r="AT96" s="1227"/>
      <c r="AU96" s="1227"/>
      <c r="AV96" s="1227"/>
      <c r="AW96" s="1227"/>
      <c r="AX96" s="1227"/>
      <c r="AY96" s="1227"/>
      <c r="AZ96" s="1227"/>
      <c r="BA96" s="420"/>
      <c r="BB96" s="420"/>
    </row>
    <row r="97" spans="1:54" ht="16.5" customHeight="1">
      <c r="A97" s="1090" t="str">
        <f>ПОДПИСИ!D6</f>
        <v>Чечин Д.М.</v>
      </c>
      <c r="B97" s="1090"/>
      <c r="C97" s="1090"/>
      <c r="D97" s="1090"/>
      <c r="E97" s="1090"/>
      <c r="F97" s="1090"/>
      <c r="G97" s="1090"/>
      <c r="H97" s="1090"/>
      <c r="I97" s="1090"/>
      <c r="J97" s="1090"/>
      <c r="K97" s="1090"/>
      <c r="L97" s="1090"/>
      <c r="M97" s="1090"/>
      <c r="N97" s="1090"/>
      <c r="O97" s="1090"/>
      <c r="P97" s="1090"/>
      <c r="Q97" s="1090"/>
      <c r="R97" s="1090"/>
      <c r="S97" s="1090"/>
      <c r="T97" s="1090"/>
      <c r="U97" s="1090"/>
      <c r="V97" s="109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</row>
    <row r="98" spans="1:54" s="494" customFormat="1" ht="6" customHeight="1">
      <c r="A98" s="1226" t="s">
        <v>799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26" t="s">
        <v>49</v>
      </c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</row>
    <row r="99" spans="1:54" s="494" customFormat="1" ht="23.5" customHeight="1">
      <c r="A99" s="1090" t="str">
        <f>IF(ПОДПИСИ!B10="","",ПОДПИСИ!D10)</f>
        <v>Величко А.А.</v>
      </c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</row>
    <row r="100" spans="1:54" s="494" customFormat="1" ht="6" customHeight="1">
      <c r="A100" s="1226" t="s">
        <v>799</v>
      </c>
      <c r="B100" s="1226"/>
      <c r="C100" s="1226"/>
      <c r="D100" s="1226"/>
      <c r="E100" s="1226"/>
      <c r="F100" s="1226"/>
      <c r="G100" s="1226"/>
      <c r="H100" s="1226"/>
      <c r="I100" s="1226"/>
      <c r="J100" s="1226"/>
      <c r="K100" s="1226"/>
      <c r="L100" s="1226"/>
      <c r="M100" s="1226"/>
      <c r="N100" s="1226"/>
      <c r="O100" s="1226"/>
      <c r="P100" s="1226"/>
      <c r="Q100" s="1226"/>
      <c r="R100" s="1226"/>
      <c r="S100" s="1226"/>
      <c r="T100" s="1226"/>
      <c r="U100" s="1226"/>
      <c r="V100" s="1226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26" t="s">
        <v>49</v>
      </c>
      <c r="AQ100" s="1226"/>
      <c r="AR100" s="1226"/>
      <c r="AS100" s="1226"/>
      <c r="AT100" s="1226"/>
      <c r="AU100" s="1226"/>
      <c r="AV100" s="1226"/>
      <c r="AW100" s="1226"/>
      <c r="AX100" s="1226"/>
      <c r="AY100" s="1226"/>
      <c r="AZ100" s="1226"/>
    </row>
    <row r="101" spans="1:54" ht="15" customHeight="1">
      <c r="A101" s="1227" t="s">
        <v>783</v>
      </c>
      <c r="B101" s="1227"/>
      <c r="C101" s="1227"/>
      <c r="D101" s="1227"/>
      <c r="E101" s="1227"/>
      <c r="F101" s="1227"/>
      <c r="G101" s="1227"/>
      <c r="H101" s="1227"/>
      <c r="I101" s="1227"/>
      <c r="J101" s="1227"/>
      <c r="K101" s="1227"/>
      <c r="L101" s="1227"/>
      <c r="M101" s="1227"/>
      <c r="N101" s="1227"/>
      <c r="O101" s="1227"/>
      <c r="P101" s="1227"/>
      <c r="Q101" s="1227"/>
      <c r="R101" s="1227"/>
      <c r="S101" s="1227"/>
      <c r="T101" s="1227"/>
      <c r="U101" s="1227"/>
      <c r="V101" s="1227"/>
      <c r="W101" s="1227"/>
      <c r="X101" s="1227"/>
      <c r="Y101" s="1227"/>
      <c r="Z101" s="1227"/>
      <c r="AA101" s="1227"/>
      <c r="AB101" s="1227"/>
      <c r="AC101" s="1227"/>
      <c r="AD101" s="1227"/>
      <c r="AE101" s="1227"/>
      <c r="AF101" s="1227"/>
      <c r="AG101" s="1227"/>
      <c r="AH101" s="1227"/>
      <c r="AI101" s="1227"/>
      <c r="AJ101" s="1227"/>
      <c r="AK101" s="1227"/>
      <c r="AL101" s="1227"/>
      <c r="AM101" s="1227"/>
      <c r="AN101" s="1227"/>
      <c r="AO101" s="1227"/>
      <c r="AP101" s="1227"/>
      <c r="AQ101" s="1227"/>
      <c r="AR101" s="1227"/>
      <c r="AS101" s="1227"/>
      <c r="AT101" s="1227"/>
      <c r="AU101" s="1227"/>
      <c r="AV101" s="1227"/>
      <c r="AW101" s="1227"/>
      <c r="AX101" s="1227"/>
      <c r="AY101" s="1227"/>
      <c r="AZ101" s="1227"/>
      <c r="BA101" s="420"/>
      <c r="BB101" s="420"/>
    </row>
    <row r="102" spans="1:54" ht="16.5" customHeight="1">
      <c r="A102" s="1090" t="str">
        <f>ПОДПИСИ!D15</f>
        <v>Матвеев А.С.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  <c r="BA102" s="351"/>
      <c r="BB102" s="351"/>
    </row>
    <row r="103" spans="1:54" s="494" customFormat="1" ht="6" customHeight="1">
      <c r="A103" s="1226" t="s">
        <v>799</v>
      </c>
      <c r="B103" s="1226"/>
      <c r="C103" s="1226"/>
      <c r="D103" s="1226"/>
      <c r="E103" s="1226"/>
      <c r="F103" s="1226"/>
      <c r="G103" s="1226"/>
      <c r="H103" s="1226"/>
      <c r="I103" s="1226"/>
      <c r="J103" s="1226"/>
      <c r="K103" s="1226"/>
      <c r="L103" s="1226"/>
      <c r="M103" s="1226"/>
      <c r="N103" s="1226"/>
      <c r="O103" s="1226"/>
      <c r="P103" s="1226"/>
      <c r="Q103" s="1226"/>
      <c r="R103" s="1226"/>
      <c r="S103" s="1226"/>
      <c r="T103" s="1226"/>
      <c r="U103" s="1226"/>
      <c r="V103" s="1226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26" t="s">
        <v>49</v>
      </c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493"/>
      <c r="BB103" s="493"/>
    </row>
    <row r="104" spans="1:54" ht="25.5" customHeight="1">
      <c r="A104" s="1227" t="s">
        <v>811</v>
      </c>
      <c r="B104" s="1227"/>
      <c r="C104" s="1227"/>
      <c r="D104" s="1227"/>
      <c r="E104" s="1227"/>
      <c r="F104" s="1227"/>
      <c r="G104" s="1227"/>
      <c r="H104" s="1227"/>
      <c r="I104" s="1227"/>
      <c r="J104" s="1227"/>
      <c r="K104" s="1227"/>
      <c r="L104" s="1227"/>
      <c r="M104" s="1227"/>
      <c r="N104" s="1227"/>
      <c r="O104" s="1227"/>
      <c r="P104" s="1227"/>
      <c r="Q104" s="1227"/>
      <c r="R104" s="1227"/>
      <c r="S104" s="1227"/>
      <c r="T104" s="1227"/>
      <c r="U104" s="1227"/>
      <c r="V104" s="1227"/>
      <c r="W104" s="1227"/>
      <c r="X104" s="1227"/>
      <c r="Y104" s="1227"/>
      <c r="Z104" s="1227"/>
      <c r="AA104" s="1227"/>
      <c r="AB104" s="1227"/>
      <c r="AC104" s="1227"/>
      <c r="AD104" s="1227"/>
      <c r="AE104" s="1227"/>
      <c r="AF104" s="1227"/>
      <c r="AG104" s="1227"/>
      <c r="AH104" s="1227"/>
      <c r="AI104" s="1227"/>
      <c r="AJ104" s="1227"/>
      <c r="AK104" s="1227"/>
      <c r="AL104" s="1227"/>
      <c r="AM104" s="1227"/>
      <c r="AN104" s="1227"/>
      <c r="AO104" s="1227"/>
      <c r="AP104" s="1227"/>
      <c r="AQ104" s="1227"/>
      <c r="AR104" s="1227"/>
      <c r="AS104" s="1227"/>
      <c r="AT104" s="1227"/>
      <c r="AU104" s="1227"/>
      <c r="AV104" s="1227"/>
      <c r="AW104" s="1227"/>
      <c r="AX104" s="1227"/>
      <c r="AY104" s="1227"/>
      <c r="AZ104" s="1227"/>
      <c r="BA104" s="420"/>
      <c r="BB104" s="420"/>
    </row>
    <row r="105" spans="1:54" ht="16.5" customHeight="1">
      <c r="A105" s="1090" t="str">
        <f>ПОДПИСИ!D17</f>
        <v>Матвеев А.С.</v>
      </c>
      <c r="B105" s="1090"/>
      <c r="C105" s="1090"/>
      <c r="D105" s="1090"/>
      <c r="E105" s="1090"/>
      <c r="F105" s="1090"/>
      <c r="G105" s="1090"/>
      <c r="H105" s="1090"/>
      <c r="I105" s="1090"/>
      <c r="J105" s="1090"/>
      <c r="K105" s="1090"/>
      <c r="L105" s="1090"/>
      <c r="M105" s="1090"/>
      <c r="N105" s="1090"/>
      <c r="O105" s="1090"/>
      <c r="P105" s="1090"/>
      <c r="Q105" s="1090"/>
      <c r="R105" s="1090"/>
      <c r="S105" s="1090"/>
      <c r="T105" s="1090"/>
      <c r="U105" s="1090"/>
      <c r="V105" s="109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  <c r="BA105" s="351"/>
      <c r="BB105" s="351"/>
    </row>
    <row r="106" spans="1:54" s="494" customFormat="1" ht="6" customHeight="1">
      <c r="A106" s="1226" t="s">
        <v>799</v>
      </c>
      <c r="B106" s="1226"/>
      <c r="C106" s="1226"/>
      <c r="D106" s="1226"/>
      <c r="E106" s="1226"/>
      <c r="F106" s="1226"/>
      <c r="G106" s="1226"/>
      <c r="H106" s="1226"/>
      <c r="I106" s="1226"/>
      <c r="J106" s="1226"/>
      <c r="K106" s="1226"/>
      <c r="L106" s="1226"/>
      <c r="M106" s="1226"/>
      <c r="N106" s="1226"/>
      <c r="O106" s="1226"/>
      <c r="P106" s="1226"/>
      <c r="Q106" s="1226"/>
      <c r="R106" s="1226"/>
      <c r="S106" s="1226"/>
      <c r="T106" s="1226"/>
      <c r="U106" s="1226"/>
      <c r="V106" s="1226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26" t="s">
        <v>49</v>
      </c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493"/>
      <c r="BB106" s="493"/>
    </row>
    <row r="107" spans="1:54" ht="39.75" customHeight="1">
      <c r="A107" s="1227" t="s">
        <v>801</v>
      </c>
      <c r="B107" s="1227"/>
      <c r="C107" s="1227"/>
      <c r="D107" s="1227"/>
      <c r="E107" s="1227"/>
      <c r="F107" s="1227"/>
      <c r="G107" s="1227"/>
      <c r="H107" s="1227"/>
      <c r="I107" s="1227"/>
      <c r="J107" s="1227"/>
      <c r="K107" s="1227"/>
      <c r="L107" s="1227"/>
      <c r="M107" s="1227"/>
      <c r="N107" s="1227"/>
      <c r="O107" s="1227"/>
      <c r="P107" s="1227"/>
      <c r="Q107" s="1227"/>
      <c r="R107" s="1227"/>
      <c r="S107" s="1227"/>
      <c r="T107" s="1227"/>
      <c r="U107" s="1227"/>
      <c r="V107" s="1227"/>
      <c r="W107" s="1227"/>
      <c r="X107" s="1227"/>
      <c r="Y107" s="1227"/>
      <c r="Z107" s="1227"/>
      <c r="AA107" s="1227"/>
      <c r="AB107" s="1227"/>
      <c r="AC107" s="1227"/>
      <c r="AD107" s="1227"/>
      <c r="AE107" s="1227"/>
      <c r="AF107" s="1227"/>
      <c r="AG107" s="1227"/>
      <c r="AH107" s="1227"/>
      <c r="AI107" s="1227"/>
      <c r="AJ107" s="1227"/>
      <c r="AK107" s="1227"/>
      <c r="AL107" s="1227"/>
      <c r="AM107" s="1227"/>
      <c r="AN107" s="1227"/>
      <c r="AO107" s="1227"/>
      <c r="AP107" s="1227"/>
      <c r="AQ107" s="1227"/>
      <c r="AR107" s="1227"/>
      <c r="AS107" s="1227"/>
      <c r="AT107" s="1227"/>
      <c r="AU107" s="1227"/>
      <c r="AV107" s="1227"/>
      <c r="AW107" s="1227"/>
      <c r="AX107" s="1227"/>
      <c r="AY107" s="1227"/>
      <c r="AZ107" s="1227"/>
      <c r="BA107" s="420"/>
      <c r="BB107" s="420"/>
    </row>
    <row r="108" spans="1:54" ht="16.5" customHeight="1">
      <c r="A108" s="1090" t="str">
        <f>ПОДПИСИ!C19</f>
        <v xml:space="preserve"> </v>
      </c>
      <c r="B108" s="1090"/>
      <c r="C108" s="1090"/>
      <c r="D108" s="1090"/>
      <c r="E108" s="1090"/>
      <c r="F108" s="1090"/>
      <c r="G108" s="1090"/>
      <c r="H108" s="1090"/>
      <c r="I108" s="1090"/>
      <c r="J108" s="1090"/>
      <c r="K108" s="1090"/>
      <c r="L108" s="1090"/>
      <c r="M108" s="1090"/>
      <c r="N108" s="1090"/>
      <c r="O108" s="1090"/>
      <c r="P108" s="1090"/>
      <c r="Q108" s="1090"/>
      <c r="R108" s="1090"/>
      <c r="S108" s="1090"/>
      <c r="T108" s="1090"/>
      <c r="U108" s="1090"/>
      <c r="V108" s="109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91"/>
      <c r="AQ108" s="1091"/>
      <c r="AR108" s="1091"/>
      <c r="AS108" s="1091"/>
      <c r="AT108" s="1091"/>
      <c r="AU108" s="1091"/>
      <c r="AV108" s="1091"/>
      <c r="AW108" s="1091"/>
      <c r="AX108" s="1091"/>
      <c r="AY108" s="1091"/>
      <c r="AZ108" s="1091"/>
      <c r="BA108" s="351"/>
      <c r="BB108" s="351"/>
    </row>
    <row r="109" spans="1:54" s="494" customFormat="1" ht="6" customHeight="1">
      <c r="A109" s="1226" t="s">
        <v>799</v>
      </c>
      <c r="B109" s="1226"/>
      <c r="C109" s="1226"/>
      <c r="D109" s="1226"/>
      <c r="E109" s="1226"/>
      <c r="F109" s="1226"/>
      <c r="G109" s="1226"/>
      <c r="H109" s="1226"/>
      <c r="I109" s="1226"/>
      <c r="J109" s="1226"/>
      <c r="K109" s="1226"/>
      <c r="L109" s="1226"/>
      <c r="M109" s="1226"/>
      <c r="N109" s="1226"/>
      <c r="O109" s="1226"/>
      <c r="P109" s="1226"/>
      <c r="Q109" s="1226"/>
      <c r="R109" s="1226"/>
      <c r="S109" s="1226"/>
      <c r="T109" s="1226"/>
      <c r="U109" s="1226"/>
      <c r="V109" s="1226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26" t="s">
        <v>49</v>
      </c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493"/>
      <c r="BB109" s="493"/>
    </row>
    <row r="110" spans="1:54" ht="39.75" customHeight="1">
      <c r="A110" s="1227" t="s">
        <v>972</v>
      </c>
      <c r="B110" s="1227"/>
      <c r="C110" s="1227"/>
      <c r="D110" s="1227"/>
      <c r="E110" s="1227"/>
      <c r="F110" s="1227"/>
      <c r="G110" s="1227"/>
      <c r="H110" s="1227"/>
      <c r="I110" s="1227"/>
      <c r="J110" s="1227"/>
      <c r="K110" s="1227"/>
      <c r="L110" s="1227"/>
      <c r="M110" s="1227"/>
      <c r="N110" s="1227"/>
      <c r="O110" s="1227"/>
      <c r="P110" s="1227"/>
      <c r="Q110" s="1227"/>
      <c r="R110" s="1227"/>
      <c r="S110" s="1227"/>
      <c r="T110" s="1227"/>
      <c r="U110" s="1227"/>
      <c r="V110" s="1227"/>
      <c r="W110" s="1227"/>
      <c r="X110" s="1227"/>
      <c r="Y110" s="1227"/>
      <c r="Z110" s="1227"/>
      <c r="AA110" s="1227"/>
      <c r="AB110" s="1227"/>
      <c r="AC110" s="1227"/>
      <c r="AD110" s="1227"/>
      <c r="AE110" s="1227"/>
      <c r="AF110" s="1227"/>
      <c r="AG110" s="1227"/>
      <c r="AH110" s="1227"/>
      <c r="AI110" s="1227"/>
      <c r="AJ110" s="1227"/>
      <c r="AK110" s="1227"/>
      <c r="AL110" s="1227"/>
      <c r="AM110" s="1227"/>
      <c r="AN110" s="1227"/>
      <c r="AO110" s="1227"/>
      <c r="AP110" s="1227"/>
      <c r="AQ110" s="1227"/>
      <c r="AR110" s="1227"/>
      <c r="AS110" s="1227"/>
      <c r="AT110" s="1227"/>
      <c r="AU110" s="1227"/>
      <c r="AV110" s="1227"/>
      <c r="AW110" s="1227"/>
      <c r="AX110" s="1227"/>
      <c r="AY110" s="1227"/>
      <c r="AZ110" s="1227"/>
      <c r="BA110" s="420"/>
      <c r="BB110" s="420"/>
    </row>
    <row r="111" spans="1:54" ht="16.5" customHeight="1">
      <c r="A111" s="1090" t="str">
        <f>ПОДПИСИ!D12</f>
        <v>Махмадов А.Р.</v>
      </c>
      <c r="B111" s="1090"/>
      <c r="C111" s="1090"/>
      <c r="D111" s="1090"/>
      <c r="E111" s="1090"/>
      <c r="F111" s="1090"/>
      <c r="G111" s="1090"/>
      <c r="H111" s="1090"/>
      <c r="I111" s="1090"/>
      <c r="J111" s="1090"/>
      <c r="K111" s="1090"/>
      <c r="L111" s="1090"/>
      <c r="M111" s="1090"/>
      <c r="N111" s="1090"/>
      <c r="O111" s="1090"/>
      <c r="P111" s="1090"/>
      <c r="Q111" s="1090"/>
      <c r="R111" s="1090"/>
      <c r="S111" s="1090"/>
      <c r="T111" s="1090"/>
      <c r="U111" s="1090"/>
      <c r="V111" s="109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91"/>
      <c r="AQ111" s="1091"/>
      <c r="AR111" s="1091"/>
      <c r="AS111" s="1091"/>
      <c r="AT111" s="1091"/>
      <c r="AU111" s="1091"/>
      <c r="AV111" s="1091"/>
      <c r="AW111" s="1091"/>
      <c r="AX111" s="1091"/>
      <c r="AY111" s="1091"/>
      <c r="AZ111" s="1091"/>
      <c r="BA111" s="351"/>
      <c r="BB111" s="351"/>
    </row>
    <row r="112" spans="1:54" s="494" customFormat="1" ht="6" customHeight="1">
      <c r="A112" s="1226" t="s">
        <v>799</v>
      </c>
      <c r="B112" s="1226"/>
      <c r="C112" s="1226"/>
      <c r="D112" s="1226"/>
      <c r="E112" s="1226"/>
      <c r="F112" s="1226"/>
      <c r="G112" s="1226"/>
      <c r="H112" s="1226"/>
      <c r="I112" s="1226"/>
      <c r="J112" s="1226"/>
      <c r="K112" s="1226"/>
      <c r="L112" s="1226"/>
      <c r="M112" s="1226"/>
      <c r="N112" s="1226"/>
      <c r="O112" s="1226"/>
      <c r="P112" s="1226"/>
      <c r="Q112" s="1226"/>
      <c r="R112" s="1226"/>
      <c r="S112" s="1226"/>
      <c r="T112" s="1226"/>
      <c r="U112" s="1226"/>
      <c r="V112" s="1226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26" t="s">
        <v>49</v>
      </c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493"/>
      <c r="BB112" s="493"/>
    </row>
    <row r="113" spans="1:54" hidden="1">
      <c r="A113" s="1227" t="s">
        <v>530</v>
      </c>
      <c r="B113" s="1227"/>
      <c r="C113" s="1227"/>
      <c r="D113" s="1227"/>
      <c r="E113" s="1227"/>
      <c r="F113" s="1227"/>
      <c r="G113" s="1227"/>
      <c r="H113" s="1227"/>
      <c r="I113" s="1227"/>
      <c r="J113" s="1227"/>
      <c r="K113" s="1227"/>
      <c r="L113" s="1227"/>
      <c r="M113" s="1227"/>
      <c r="N113" s="1227"/>
      <c r="O113" s="1227"/>
      <c r="P113" s="1227"/>
      <c r="Q113" s="1227"/>
      <c r="R113" s="1227"/>
      <c r="S113" s="1227"/>
      <c r="T113" s="1227"/>
      <c r="U113" s="1227"/>
      <c r="V113" s="1227"/>
      <c r="W113" s="1227"/>
      <c r="X113" s="1227"/>
      <c r="Y113" s="1227"/>
      <c r="Z113" s="1227"/>
      <c r="AA113" s="1227"/>
      <c r="AB113" s="1227"/>
      <c r="AC113" s="1227"/>
      <c r="AD113" s="1227"/>
      <c r="AE113" s="1227"/>
      <c r="AF113" s="1227"/>
      <c r="AG113" s="1227"/>
      <c r="AH113" s="1227"/>
      <c r="AI113" s="1227"/>
      <c r="AJ113" s="1227"/>
      <c r="AK113" s="1227"/>
      <c r="AL113" s="1227"/>
      <c r="AM113" s="1227"/>
      <c r="AN113" s="1227"/>
      <c r="AO113" s="1227"/>
      <c r="AP113" s="1227"/>
      <c r="AQ113" s="1227"/>
      <c r="AR113" s="1227"/>
      <c r="AS113" s="1227"/>
      <c r="AT113" s="1227"/>
      <c r="AU113" s="1227"/>
      <c r="AV113" s="1227"/>
      <c r="AW113" s="1227"/>
      <c r="AX113" s="1227"/>
      <c r="AY113" s="1227"/>
      <c r="AZ113" s="1227"/>
      <c r="BA113" s="1227"/>
      <c r="BB113" s="1227"/>
    </row>
    <row r="114" spans="1:54" ht="16.5" hidden="1" customHeight="1">
      <c r="A114" s="1090"/>
      <c r="B114" s="1090"/>
      <c r="C114" s="1090"/>
      <c r="D114" s="1090"/>
      <c r="E114" s="1090"/>
      <c r="F114" s="1090"/>
      <c r="G114" s="1090"/>
      <c r="H114" s="1090"/>
      <c r="I114" s="1090"/>
      <c r="J114" s="1090"/>
      <c r="K114" s="1090"/>
      <c r="L114" s="1090"/>
      <c r="M114" s="1090"/>
      <c r="N114" s="1090"/>
      <c r="O114" s="1090"/>
      <c r="P114" s="1090"/>
      <c r="Q114" s="1090"/>
      <c r="R114" s="1090"/>
      <c r="S114" s="1090"/>
      <c r="T114" s="1090"/>
      <c r="U114" s="1090"/>
      <c r="V114" s="109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91"/>
      <c r="AU114" s="1091"/>
      <c r="AV114" s="1091"/>
      <c r="AW114" s="1091"/>
      <c r="AX114" s="1091"/>
      <c r="AY114" s="1091"/>
      <c r="AZ114" s="1091"/>
      <c r="BA114" s="351"/>
      <c r="BB114" s="351"/>
    </row>
    <row r="115" spans="1:54" s="494" customFormat="1" ht="6" hidden="1" customHeight="1">
      <c r="A115" s="1226" t="s">
        <v>799</v>
      </c>
      <c r="B115" s="1226"/>
      <c r="C115" s="1226"/>
      <c r="D115" s="1226"/>
      <c r="E115" s="1226"/>
      <c r="F115" s="1226"/>
      <c r="G115" s="1226"/>
      <c r="H115" s="1226"/>
      <c r="I115" s="1226"/>
      <c r="J115" s="1226"/>
      <c r="K115" s="1226"/>
      <c r="L115" s="1226"/>
      <c r="M115" s="1226"/>
      <c r="N115" s="1226"/>
      <c r="O115" s="1226"/>
      <c r="P115" s="1226"/>
      <c r="Q115" s="1226"/>
      <c r="R115" s="1226"/>
      <c r="S115" s="1226"/>
      <c r="T115" s="1226"/>
      <c r="U115" s="1226"/>
      <c r="V115" s="1226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26" t="s">
        <v>49</v>
      </c>
      <c r="AU115" s="1226"/>
      <c r="AV115" s="1226"/>
      <c r="AW115" s="1226"/>
      <c r="AX115" s="1226"/>
      <c r="AY115" s="1226"/>
      <c r="AZ115" s="1226"/>
      <c r="BA115" s="493"/>
      <c r="BB115" s="493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1796875" defaultRowHeight="14"/>
  <cols>
    <col min="1" max="24" width="1.7265625" style="7" customWidth="1"/>
    <col min="25" max="25" width="5.453125" style="7" customWidth="1"/>
    <col min="26" max="39" width="1.7265625" style="7" customWidth="1"/>
    <col min="40" max="40" width="4.453125" style="7" customWidth="1"/>
    <col min="41" max="52" width="1.7265625" style="7" customWidth="1"/>
    <col min="53" max="53" width="0.1796875" style="7" customWidth="1"/>
    <col min="54" max="54" width="9.1796875" style="7"/>
    <col min="55" max="58" width="15.7265625" style="7" customWidth="1"/>
    <col min="59" max="254" width="9.1796875" style="7"/>
    <col min="255" max="307" width="1.7265625" style="7" customWidth="1"/>
    <col min="308" max="308" width="0.1796875" style="7" customWidth="1"/>
    <col min="309" max="510" width="9.1796875" style="7"/>
    <col min="511" max="563" width="1.7265625" style="7" customWidth="1"/>
    <col min="564" max="564" width="0.1796875" style="7" customWidth="1"/>
    <col min="565" max="766" width="9.1796875" style="7"/>
    <col min="767" max="819" width="1.7265625" style="7" customWidth="1"/>
    <col min="820" max="820" width="0.1796875" style="7" customWidth="1"/>
    <col min="821" max="1022" width="9.1796875" style="7"/>
    <col min="1023" max="1075" width="1.7265625" style="7" customWidth="1"/>
    <col min="1076" max="1076" width="0.1796875" style="7" customWidth="1"/>
    <col min="1077" max="1278" width="9.1796875" style="7"/>
    <col min="1279" max="1331" width="1.7265625" style="7" customWidth="1"/>
    <col min="1332" max="1332" width="0.1796875" style="7" customWidth="1"/>
    <col min="1333" max="1534" width="9.1796875" style="7"/>
    <col min="1535" max="1587" width="1.7265625" style="7" customWidth="1"/>
    <col min="1588" max="1588" width="0.1796875" style="7" customWidth="1"/>
    <col min="1589" max="1790" width="9.1796875" style="7"/>
    <col min="1791" max="1843" width="1.7265625" style="7" customWidth="1"/>
    <col min="1844" max="1844" width="0.1796875" style="7" customWidth="1"/>
    <col min="1845" max="2046" width="9.1796875" style="7"/>
    <col min="2047" max="2099" width="1.7265625" style="7" customWidth="1"/>
    <col min="2100" max="2100" width="0.1796875" style="7" customWidth="1"/>
    <col min="2101" max="2302" width="9.1796875" style="7"/>
    <col min="2303" max="2355" width="1.7265625" style="7" customWidth="1"/>
    <col min="2356" max="2356" width="0.1796875" style="7" customWidth="1"/>
    <col min="2357" max="2558" width="9.1796875" style="7"/>
    <col min="2559" max="2611" width="1.7265625" style="7" customWidth="1"/>
    <col min="2612" max="2612" width="0.1796875" style="7" customWidth="1"/>
    <col min="2613" max="2814" width="9.1796875" style="7"/>
    <col min="2815" max="2867" width="1.7265625" style="7" customWidth="1"/>
    <col min="2868" max="2868" width="0.1796875" style="7" customWidth="1"/>
    <col min="2869" max="3070" width="9.1796875" style="7"/>
    <col min="3071" max="3123" width="1.7265625" style="7" customWidth="1"/>
    <col min="3124" max="3124" width="0.1796875" style="7" customWidth="1"/>
    <col min="3125" max="3326" width="9.1796875" style="7"/>
    <col min="3327" max="3379" width="1.7265625" style="7" customWidth="1"/>
    <col min="3380" max="3380" width="0.1796875" style="7" customWidth="1"/>
    <col min="3381" max="3582" width="9.1796875" style="7"/>
    <col min="3583" max="3635" width="1.7265625" style="7" customWidth="1"/>
    <col min="3636" max="3636" width="0.1796875" style="7" customWidth="1"/>
    <col min="3637" max="3838" width="9.1796875" style="7"/>
    <col min="3839" max="3891" width="1.7265625" style="7" customWidth="1"/>
    <col min="3892" max="3892" width="0.1796875" style="7" customWidth="1"/>
    <col min="3893" max="4094" width="9.1796875" style="7"/>
    <col min="4095" max="4147" width="1.7265625" style="7" customWidth="1"/>
    <col min="4148" max="4148" width="0.1796875" style="7" customWidth="1"/>
    <col min="4149" max="4350" width="9.1796875" style="7"/>
    <col min="4351" max="4403" width="1.7265625" style="7" customWidth="1"/>
    <col min="4404" max="4404" width="0.1796875" style="7" customWidth="1"/>
    <col min="4405" max="4606" width="9.1796875" style="7"/>
    <col min="4607" max="4659" width="1.7265625" style="7" customWidth="1"/>
    <col min="4660" max="4660" width="0.1796875" style="7" customWidth="1"/>
    <col min="4661" max="4862" width="9.1796875" style="7"/>
    <col min="4863" max="4915" width="1.7265625" style="7" customWidth="1"/>
    <col min="4916" max="4916" width="0.1796875" style="7" customWidth="1"/>
    <col min="4917" max="5118" width="9.1796875" style="7"/>
    <col min="5119" max="5171" width="1.7265625" style="7" customWidth="1"/>
    <col min="5172" max="5172" width="0.1796875" style="7" customWidth="1"/>
    <col min="5173" max="5374" width="9.1796875" style="7"/>
    <col min="5375" max="5427" width="1.7265625" style="7" customWidth="1"/>
    <col min="5428" max="5428" width="0.1796875" style="7" customWidth="1"/>
    <col min="5429" max="5630" width="9.1796875" style="7"/>
    <col min="5631" max="5683" width="1.7265625" style="7" customWidth="1"/>
    <col min="5684" max="5684" width="0.1796875" style="7" customWidth="1"/>
    <col min="5685" max="5886" width="9.1796875" style="7"/>
    <col min="5887" max="5939" width="1.7265625" style="7" customWidth="1"/>
    <col min="5940" max="5940" width="0.1796875" style="7" customWidth="1"/>
    <col min="5941" max="6142" width="9.1796875" style="7"/>
    <col min="6143" max="6195" width="1.7265625" style="7" customWidth="1"/>
    <col min="6196" max="6196" width="0.1796875" style="7" customWidth="1"/>
    <col min="6197" max="6398" width="9.1796875" style="7"/>
    <col min="6399" max="6451" width="1.7265625" style="7" customWidth="1"/>
    <col min="6452" max="6452" width="0.1796875" style="7" customWidth="1"/>
    <col min="6453" max="6654" width="9.1796875" style="7"/>
    <col min="6655" max="6707" width="1.7265625" style="7" customWidth="1"/>
    <col min="6708" max="6708" width="0.1796875" style="7" customWidth="1"/>
    <col min="6709" max="6910" width="9.1796875" style="7"/>
    <col min="6911" max="6963" width="1.7265625" style="7" customWidth="1"/>
    <col min="6964" max="6964" width="0.1796875" style="7" customWidth="1"/>
    <col min="6965" max="7166" width="9.1796875" style="7"/>
    <col min="7167" max="7219" width="1.7265625" style="7" customWidth="1"/>
    <col min="7220" max="7220" width="0.1796875" style="7" customWidth="1"/>
    <col min="7221" max="7422" width="9.1796875" style="7"/>
    <col min="7423" max="7475" width="1.7265625" style="7" customWidth="1"/>
    <col min="7476" max="7476" width="0.1796875" style="7" customWidth="1"/>
    <col min="7477" max="7678" width="9.1796875" style="7"/>
    <col min="7679" max="7731" width="1.7265625" style="7" customWidth="1"/>
    <col min="7732" max="7732" width="0.1796875" style="7" customWidth="1"/>
    <col min="7733" max="7934" width="9.1796875" style="7"/>
    <col min="7935" max="7987" width="1.7265625" style="7" customWidth="1"/>
    <col min="7988" max="7988" width="0.1796875" style="7" customWidth="1"/>
    <col min="7989" max="8190" width="9.1796875" style="7"/>
    <col min="8191" max="8243" width="1.7265625" style="7" customWidth="1"/>
    <col min="8244" max="8244" width="0.1796875" style="7" customWidth="1"/>
    <col min="8245" max="8446" width="9.1796875" style="7"/>
    <col min="8447" max="8499" width="1.7265625" style="7" customWidth="1"/>
    <col min="8500" max="8500" width="0.1796875" style="7" customWidth="1"/>
    <col min="8501" max="8702" width="9.1796875" style="7"/>
    <col min="8703" max="8755" width="1.7265625" style="7" customWidth="1"/>
    <col min="8756" max="8756" width="0.1796875" style="7" customWidth="1"/>
    <col min="8757" max="8958" width="9.1796875" style="7"/>
    <col min="8959" max="9011" width="1.7265625" style="7" customWidth="1"/>
    <col min="9012" max="9012" width="0.1796875" style="7" customWidth="1"/>
    <col min="9013" max="9214" width="9.1796875" style="7"/>
    <col min="9215" max="9267" width="1.7265625" style="7" customWidth="1"/>
    <col min="9268" max="9268" width="0.1796875" style="7" customWidth="1"/>
    <col min="9269" max="9470" width="9.1796875" style="7"/>
    <col min="9471" max="9523" width="1.7265625" style="7" customWidth="1"/>
    <col min="9524" max="9524" width="0.1796875" style="7" customWidth="1"/>
    <col min="9525" max="9726" width="9.1796875" style="7"/>
    <col min="9727" max="9779" width="1.7265625" style="7" customWidth="1"/>
    <col min="9780" max="9780" width="0.1796875" style="7" customWidth="1"/>
    <col min="9781" max="9982" width="9.1796875" style="7"/>
    <col min="9983" max="10035" width="1.7265625" style="7" customWidth="1"/>
    <col min="10036" max="10036" width="0.1796875" style="7" customWidth="1"/>
    <col min="10037" max="10238" width="9.1796875" style="7"/>
    <col min="10239" max="10291" width="1.7265625" style="7" customWidth="1"/>
    <col min="10292" max="10292" width="0.1796875" style="7" customWidth="1"/>
    <col min="10293" max="10494" width="9.1796875" style="7"/>
    <col min="10495" max="10547" width="1.7265625" style="7" customWidth="1"/>
    <col min="10548" max="10548" width="0.1796875" style="7" customWidth="1"/>
    <col min="10549" max="10750" width="9.1796875" style="7"/>
    <col min="10751" max="10803" width="1.7265625" style="7" customWidth="1"/>
    <col min="10804" max="10804" width="0.1796875" style="7" customWidth="1"/>
    <col min="10805" max="11006" width="9.1796875" style="7"/>
    <col min="11007" max="11059" width="1.7265625" style="7" customWidth="1"/>
    <col min="11060" max="11060" width="0.1796875" style="7" customWidth="1"/>
    <col min="11061" max="11262" width="9.1796875" style="7"/>
    <col min="11263" max="11315" width="1.7265625" style="7" customWidth="1"/>
    <col min="11316" max="11316" width="0.1796875" style="7" customWidth="1"/>
    <col min="11317" max="11518" width="9.1796875" style="7"/>
    <col min="11519" max="11571" width="1.7265625" style="7" customWidth="1"/>
    <col min="11572" max="11572" width="0.1796875" style="7" customWidth="1"/>
    <col min="11573" max="11774" width="9.1796875" style="7"/>
    <col min="11775" max="11827" width="1.7265625" style="7" customWidth="1"/>
    <col min="11828" max="11828" width="0.1796875" style="7" customWidth="1"/>
    <col min="11829" max="12030" width="9.1796875" style="7"/>
    <col min="12031" max="12083" width="1.7265625" style="7" customWidth="1"/>
    <col min="12084" max="12084" width="0.1796875" style="7" customWidth="1"/>
    <col min="12085" max="12286" width="9.1796875" style="7"/>
    <col min="12287" max="12339" width="1.7265625" style="7" customWidth="1"/>
    <col min="12340" max="12340" width="0.1796875" style="7" customWidth="1"/>
    <col min="12341" max="12542" width="9.1796875" style="7"/>
    <col min="12543" max="12595" width="1.7265625" style="7" customWidth="1"/>
    <col min="12596" max="12596" width="0.1796875" style="7" customWidth="1"/>
    <col min="12597" max="12798" width="9.1796875" style="7"/>
    <col min="12799" max="12851" width="1.7265625" style="7" customWidth="1"/>
    <col min="12852" max="12852" width="0.1796875" style="7" customWidth="1"/>
    <col min="12853" max="13054" width="9.1796875" style="7"/>
    <col min="13055" max="13107" width="1.7265625" style="7" customWidth="1"/>
    <col min="13108" max="13108" width="0.1796875" style="7" customWidth="1"/>
    <col min="13109" max="13310" width="9.1796875" style="7"/>
    <col min="13311" max="13363" width="1.7265625" style="7" customWidth="1"/>
    <col min="13364" max="13364" width="0.1796875" style="7" customWidth="1"/>
    <col min="13365" max="13566" width="9.1796875" style="7"/>
    <col min="13567" max="13619" width="1.7265625" style="7" customWidth="1"/>
    <col min="13620" max="13620" width="0.1796875" style="7" customWidth="1"/>
    <col min="13621" max="13822" width="9.1796875" style="7"/>
    <col min="13823" max="13875" width="1.7265625" style="7" customWidth="1"/>
    <col min="13876" max="13876" width="0.1796875" style="7" customWidth="1"/>
    <col min="13877" max="14078" width="9.1796875" style="7"/>
    <col min="14079" max="14131" width="1.7265625" style="7" customWidth="1"/>
    <col min="14132" max="14132" width="0.1796875" style="7" customWidth="1"/>
    <col min="14133" max="14334" width="9.1796875" style="7"/>
    <col min="14335" max="14387" width="1.7265625" style="7" customWidth="1"/>
    <col min="14388" max="14388" width="0.1796875" style="7" customWidth="1"/>
    <col min="14389" max="14590" width="9.1796875" style="7"/>
    <col min="14591" max="14643" width="1.7265625" style="7" customWidth="1"/>
    <col min="14644" max="14644" width="0.1796875" style="7" customWidth="1"/>
    <col min="14645" max="14846" width="9.1796875" style="7"/>
    <col min="14847" max="14899" width="1.7265625" style="7" customWidth="1"/>
    <col min="14900" max="14900" width="0.1796875" style="7" customWidth="1"/>
    <col min="14901" max="15102" width="9.1796875" style="7"/>
    <col min="15103" max="15155" width="1.7265625" style="7" customWidth="1"/>
    <col min="15156" max="15156" width="0.1796875" style="7" customWidth="1"/>
    <col min="15157" max="15358" width="9.1796875" style="7"/>
    <col min="15359" max="15411" width="1.7265625" style="7" customWidth="1"/>
    <col min="15412" max="15412" width="0.1796875" style="7" customWidth="1"/>
    <col min="15413" max="15614" width="9.1796875" style="7"/>
    <col min="15615" max="15667" width="1.7265625" style="7" customWidth="1"/>
    <col min="15668" max="15668" width="0.1796875" style="7" customWidth="1"/>
    <col min="15669" max="15870" width="9.1796875" style="7"/>
    <col min="15871" max="15923" width="1.7265625" style="7" customWidth="1"/>
    <col min="15924" max="15924" width="0.1796875" style="7" customWidth="1"/>
    <col min="15925" max="16126" width="9.1796875" style="7"/>
    <col min="16127" max="16179" width="1.7265625" style="7" customWidth="1"/>
    <col min="16180" max="16180" width="0.1796875" style="7" customWidth="1"/>
    <col min="16181" max="16384" width="9.1796875" style="7"/>
  </cols>
  <sheetData>
    <row r="1" spans="1:63" ht="25.5" hidden="1" customHeight="1">
      <c r="R1" s="16"/>
      <c r="S1" s="16"/>
      <c r="T1" s="16"/>
      <c r="U1" s="1273" t="s">
        <v>516</v>
      </c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273"/>
      <c r="AK1" s="1273"/>
      <c r="AL1" s="1273"/>
      <c r="AM1" s="1273"/>
      <c r="AN1" s="1273"/>
      <c r="AO1" s="1273"/>
      <c r="AP1" s="1273"/>
      <c r="AQ1" s="1273"/>
      <c r="AR1" s="1273"/>
      <c r="AS1" s="1273"/>
      <c r="AT1" s="1273"/>
      <c r="AU1" s="1273"/>
      <c r="AV1" s="1273"/>
      <c r="AW1" s="1273"/>
      <c r="AX1" s="1273"/>
      <c r="AY1" s="1273"/>
      <c r="AZ1" s="1273"/>
    </row>
    <row r="2" spans="1:63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274"/>
      <c r="Y3" s="1274"/>
      <c r="Z3" s="1274"/>
      <c r="AA3" s="1274"/>
      <c r="AB3" s="1274"/>
      <c r="AC3" s="1274"/>
      <c r="AD3" s="1274"/>
      <c r="AE3" s="1274"/>
      <c r="AF3" s="1274"/>
      <c r="AG3" s="1274"/>
      <c r="AH3" s="1274"/>
      <c r="AI3" s="1274"/>
      <c r="AJ3" s="1274"/>
      <c r="AK3" s="1274"/>
      <c r="AL3" s="1274"/>
      <c r="AM3" s="1274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5" customHeight="1">
      <c r="A4" s="1240" t="s">
        <v>515</v>
      </c>
      <c r="B4" s="1240"/>
      <c r="C4" s="1240"/>
      <c r="D4" s="1240"/>
      <c r="E4" s="1240"/>
      <c r="F4" s="1240"/>
      <c r="G4" s="1240"/>
      <c r="H4" s="1240"/>
      <c r="I4" s="1240"/>
      <c r="J4" s="1240"/>
      <c r="K4" s="1240"/>
      <c r="L4" s="1240"/>
      <c r="M4" s="1240"/>
      <c r="N4" s="1240"/>
      <c r="O4" s="1240"/>
      <c r="P4" s="1240"/>
      <c r="Q4" s="1240"/>
      <c r="R4" s="1240"/>
      <c r="S4" s="1240"/>
      <c r="T4" s="1240"/>
      <c r="U4" s="1240"/>
      <c r="V4" s="1240"/>
      <c r="W4" s="1240"/>
      <c r="X4" s="1240"/>
      <c r="Y4" s="1240"/>
      <c r="Z4" s="1240"/>
      <c r="AA4" s="1240"/>
      <c r="AB4" s="1240"/>
      <c r="AC4" s="1240"/>
      <c r="AD4" s="1240"/>
      <c r="AE4" s="1240"/>
      <c r="AF4" s="1240"/>
      <c r="AG4" s="1240"/>
      <c r="AH4" s="1240"/>
      <c r="AI4" s="1240"/>
      <c r="AJ4" s="1240"/>
      <c r="AK4" s="1240"/>
      <c r="AL4" s="1240"/>
      <c r="AM4" s="1240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D4" s="10"/>
      <c r="BF4" s="10"/>
      <c r="BG4" s="10"/>
      <c r="BH4" s="10"/>
      <c r="BI4" s="10"/>
      <c r="BJ4" s="10"/>
      <c r="BK4" s="10"/>
    </row>
    <row r="5" spans="1:63">
      <c r="A5" s="1280" t="s">
        <v>377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9" t="s">
        <v>805</v>
      </c>
      <c r="B7" s="1239"/>
      <c r="C7" s="1239"/>
      <c r="D7" s="1239"/>
      <c r="E7" s="1239"/>
      <c r="F7" s="1239"/>
      <c r="G7" s="1239"/>
      <c r="H7" s="1239"/>
      <c r="I7" s="1239"/>
      <c r="J7" s="1239"/>
      <c r="K7" s="1239"/>
      <c r="L7" s="1239"/>
      <c r="M7" s="1239"/>
      <c r="N7" s="1239"/>
      <c r="O7" s="1239"/>
      <c r="P7" s="1239"/>
      <c r="Q7" s="1239"/>
      <c r="R7" s="1239"/>
      <c r="S7" s="1239"/>
      <c r="T7" s="1239"/>
      <c r="U7" s="1239"/>
      <c r="V7" s="1239"/>
      <c r="W7" s="1239"/>
      <c r="X7" s="1239"/>
      <c r="Y7" s="1239"/>
      <c r="Z7" s="1239"/>
      <c r="AA7" s="1239"/>
      <c r="AB7" s="1239"/>
      <c r="AC7" s="1239"/>
      <c r="AD7" s="1239"/>
      <c r="AE7" s="1239"/>
      <c r="AF7" s="1239"/>
      <c r="AG7" s="1239"/>
      <c r="AH7" s="1239"/>
      <c r="AI7" s="1239"/>
      <c r="AJ7" s="1239"/>
      <c r="AK7" s="1239"/>
      <c r="AL7" s="1239"/>
      <c r="AM7" s="1239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/>
      <c r="AY7" s="1239"/>
      <c r="AZ7" s="12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9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5" t="s">
        <v>73</v>
      </c>
      <c r="B10" s="1235"/>
      <c r="C10" s="1235"/>
      <c r="D10" s="1235"/>
      <c r="E10" s="1235"/>
      <c r="F10" s="1235"/>
      <c r="G10" s="1235"/>
      <c r="H10" s="1235"/>
      <c r="I10" s="1235"/>
      <c r="J10" s="1235"/>
      <c r="K10" s="1235"/>
      <c r="L10" s="1235"/>
      <c r="M10" s="1235"/>
      <c r="N10" s="1235"/>
      <c r="O10" s="1235"/>
      <c r="P10" s="1235"/>
      <c r="Q10" s="1235"/>
      <c r="R10" s="1235"/>
      <c r="S10" s="1235"/>
      <c r="T10" s="1235"/>
      <c r="U10" s="1235"/>
      <c r="V10" s="1235"/>
      <c r="W10" s="1235"/>
      <c r="X10" s="1235"/>
      <c r="Y10" s="1235"/>
      <c r="Z10" s="1235"/>
      <c r="AA10" s="1235"/>
      <c r="AB10" s="1235"/>
      <c r="AC10" s="1235"/>
      <c r="AD10" s="1235"/>
      <c r="AE10" s="1235"/>
      <c r="AF10" s="1235"/>
      <c r="AG10" s="1235"/>
      <c r="AH10" s="1235"/>
      <c r="AI10" s="1235"/>
      <c r="AJ10" s="1235"/>
      <c r="AK10" s="1235"/>
      <c r="AL10" s="1235"/>
      <c r="AM10" s="1235"/>
      <c r="AN10" s="1235"/>
      <c r="AO10" s="1235"/>
      <c r="AP10" s="1235"/>
      <c r="AQ10" s="1235"/>
      <c r="AR10" s="1235"/>
      <c r="AS10" s="1235"/>
      <c r="AT10" s="1235"/>
      <c r="AU10" s="1235"/>
      <c r="AV10" s="1235"/>
      <c r="AW10" s="1235"/>
      <c r="AX10" s="1235"/>
      <c r="AY10" s="1235"/>
      <c r="AZ10" s="123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5" customHeight="1">
      <c r="A12" s="1239" t="s">
        <v>820</v>
      </c>
      <c r="B12" s="1239"/>
      <c r="C12" s="1239"/>
      <c r="D12" s="1239"/>
      <c r="E12" s="1239"/>
      <c r="F12" s="1239"/>
      <c r="G12" s="1239"/>
      <c r="H12" s="1239"/>
      <c r="I12" s="1239"/>
      <c r="J12" s="1239"/>
      <c r="K12" s="1239"/>
      <c r="L12" s="1239"/>
      <c r="M12" s="1239"/>
      <c r="N12" s="1239"/>
      <c r="O12" s="1239"/>
      <c r="P12" s="1239"/>
      <c r="Q12" s="1239"/>
      <c r="R12" s="1239"/>
      <c r="S12" s="1239"/>
      <c r="T12" s="1239"/>
      <c r="U12" s="1239"/>
      <c r="V12" s="1239"/>
      <c r="W12" s="1239"/>
      <c r="X12" s="1239"/>
      <c r="Y12" s="1239"/>
      <c r="Z12" s="1239"/>
      <c r="AA12" s="1239"/>
      <c r="AB12" s="1239"/>
      <c r="AC12" s="1239"/>
      <c r="AD12" s="1239"/>
      <c r="AE12" s="1239"/>
      <c r="AF12" s="1239"/>
      <c r="AG12" s="1239"/>
      <c r="AH12" s="1239"/>
      <c r="AI12" s="1239"/>
      <c r="AJ12" s="1239"/>
      <c r="AK12" s="1239"/>
      <c r="AL12" s="1239"/>
      <c r="AM12" s="1239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</row>
    <row r="13" spans="1:63" ht="24.65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5" customHeight="1">
      <c r="A14" s="1239" t="s">
        <v>821</v>
      </c>
      <c r="B14" s="1239"/>
      <c r="C14" s="1239"/>
      <c r="D14" s="1239"/>
      <c r="E14" s="1239"/>
      <c r="F14" s="1239"/>
      <c r="G14" s="1239"/>
      <c r="H14" s="1239"/>
      <c r="I14" s="1239"/>
      <c r="J14" s="1239"/>
      <c r="K14" s="1239"/>
      <c r="L14" s="1239"/>
      <c r="M14" s="1239"/>
      <c r="N14" s="1239"/>
      <c r="O14" s="1239"/>
      <c r="P14" s="1239"/>
      <c r="Q14" s="1239"/>
      <c r="R14" s="1239"/>
      <c r="S14" s="1239"/>
      <c r="T14" s="1239"/>
      <c r="U14" s="1239"/>
      <c r="V14" s="1239"/>
      <c r="W14" s="1239"/>
      <c r="X14" s="1239"/>
      <c r="Y14" s="1239"/>
      <c r="Z14" s="1239"/>
      <c r="AA14" s="1239"/>
      <c r="AB14" s="1239"/>
      <c r="AC14" s="1239"/>
      <c r="AD14" s="1239"/>
      <c r="AE14" s="1239"/>
      <c r="AF14" s="1239"/>
      <c r="AG14" s="1239"/>
      <c r="AH14" s="1239"/>
      <c r="AI14" s="1239"/>
      <c r="AJ14" s="1239"/>
      <c r="AK14" s="1239"/>
      <c r="AL14" s="1239"/>
      <c r="AM14" s="1239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</row>
    <row r="15" spans="1:63">
      <c r="A15" s="1235" t="s">
        <v>74</v>
      </c>
      <c r="B15" s="1235"/>
      <c r="C15" s="1235"/>
      <c r="D15" s="1235"/>
      <c r="E15" s="1235"/>
      <c r="F15" s="1235"/>
      <c r="G15" s="1235"/>
      <c r="H15" s="1235"/>
      <c r="I15" s="1235"/>
      <c r="J15" s="1235"/>
      <c r="K15" s="1235"/>
      <c r="L15" s="1235"/>
      <c r="M15" s="1235"/>
      <c r="N15" s="1235"/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5"/>
      <c r="AA15" s="1235"/>
      <c r="AB15" s="1235"/>
      <c r="AC15" s="1235"/>
      <c r="AD15" s="1235"/>
      <c r="AE15" s="1235"/>
      <c r="AF15" s="1235"/>
      <c r="AG15" s="1235"/>
      <c r="AH15" s="1235"/>
      <c r="AI15" s="1235"/>
      <c r="AJ15" s="1235"/>
      <c r="AK15" s="1235"/>
      <c r="AL15" s="1235"/>
      <c r="AM15" s="1235"/>
      <c r="AN15" s="1235"/>
      <c r="AO15" s="1235"/>
      <c r="AP15" s="1235"/>
      <c r="AQ15" s="1235"/>
      <c r="AR15" s="1235"/>
      <c r="AS15" s="1235"/>
      <c r="AT15" s="1235"/>
      <c r="AU15" s="1235"/>
      <c r="AV15" s="1235"/>
      <c r="AW15" s="1235"/>
      <c r="AX15" s="1235"/>
      <c r="AY15" s="1235"/>
      <c r="AZ15" s="1235"/>
    </row>
    <row r="16" spans="1:63" ht="15" customHeight="1">
      <c r="A16" s="1276" t="str">
        <f>IF(ФОРМА!B8=0," ",ФОРМА!B8)</f>
        <v>ООО «Строительные энергетические технологии»</v>
      </c>
      <c r="B16" s="1276"/>
      <c r="C16" s="1276"/>
      <c r="D16" s="1276"/>
      <c r="E16" s="1276"/>
      <c r="F16" s="1276"/>
      <c r="G16" s="1276"/>
      <c r="H16" s="1276"/>
      <c r="I16" s="1276"/>
      <c r="J16" s="1276"/>
      <c r="K16" s="1276"/>
      <c r="L16" s="1276"/>
      <c r="M16" s="1276"/>
      <c r="N16" s="1276"/>
      <c r="O16" s="1276"/>
      <c r="P16" s="1276"/>
      <c r="Q16" s="1276"/>
      <c r="R16" s="1276"/>
      <c r="S16" s="1276"/>
      <c r="T16" s="1276"/>
      <c r="U16" s="1276"/>
      <c r="V16" s="1276"/>
      <c r="W16" s="1276"/>
      <c r="X16" s="1276"/>
      <c r="Y16" s="1276"/>
      <c r="Z16" s="1276"/>
      <c r="AA16" s="1276"/>
      <c r="AB16" s="1276"/>
      <c r="AC16" s="1276"/>
      <c r="AD16" s="1276"/>
      <c r="AE16" s="1276"/>
      <c r="AF16" s="1276"/>
      <c r="AG16" s="1276"/>
      <c r="AH16" s="1276"/>
      <c r="AI16" s="1276"/>
      <c r="AJ16" s="1276"/>
      <c r="AK16" s="1276"/>
      <c r="AL16" s="1276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</row>
    <row r="17" spans="1:54" s="127" customFormat="1" ht="9.65" customHeight="1">
      <c r="A17" s="1239" t="s">
        <v>820</v>
      </c>
      <c r="B17" s="1239"/>
      <c r="C17" s="1239"/>
      <c r="D17" s="1239"/>
      <c r="E17" s="1239"/>
      <c r="F17" s="1239"/>
      <c r="G17" s="1239"/>
      <c r="H17" s="1239"/>
      <c r="I17" s="1239"/>
      <c r="J17" s="1239"/>
      <c r="K17" s="1239"/>
      <c r="L17" s="1239"/>
      <c r="M17" s="1239"/>
      <c r="N17" s="1239"/>
      <c r="O17" s="1239"/>
      <c r="P17" s="1239"/>
      <c r="Q17" s="1239"/>
      <c r="R17" s="1239"/>
      <c r="S17" s="1239"/>
      <c r="T17" s="1239"/>
      <c r="U17" s="1239"/>
      <c r="V17" s="1239"/>
      <c r="W17" s="1239"/>
      <c r="X17" s="1239"/>
      <c r="Y17" s="1239"/>
      <c r="Z17" s="1239"/>
      <c r="AA17" s="1239"/>
      <c r="AB17" s="1239"/>
      <c r="AC17" s="1239"/>
      <c r="AD17" s="1239"/>
      <c r="AE17" s="1239"/>
      <c r="AF17" s="1239"/>
      <c r="AG17" s="1239"/>
      <c r="AH17" s="1239"/>
      <c r="AI17" s="1239"/>
      <c r="AJ17" s="1239"/>
      <c r="AK17" s="1239"/>
      <c r="AL17" s="1239"/>
      <c r="AM17" s="1239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</row>
    <row r="18" spans="1:54" ht="24" customHeight="1">
      <c r="A18" s="127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6"/>
      <c r="C18" s="1276"/>
      <c r="D18" s="1276"/>
      <c r="E18" s="1276"/>
      <c r="F18" s="1276"/>
      <c r="G18" s="1276"/>
      <c r="H18" s="1276"/>
      <c r="I18" s="1276"/>
      <c r="J18" s="1276"/>
      <c r="K18" s="1276"/>
      <c r="L18" s="1276"/>
      <c r="M18" s="1276"/>
      <c r="N18" s="1276"/>
      <c r="O18" s="1276"/>
      <c r="P18" s="1276"/>
      <c r="Q18" s="1276"/>
      <c r="R18" s="1276"/>
      <c r="S18" s="1276"/>
      <c r="T18" s="1276"/>
      <c r="U18" s="1276"/>
      <c r="V18" s="1276"/>
      <c r="W18" s="1276"/>
      <c r="X18" s="1276"/>
      <c r="Y18" s="1276"/>
      <c r="Z18" s="1276"/>
      <c r="AA18" s="1276"/>
      <c r="AB18" s="1276"/>
      <c r="AC18" s="1276"/>
      <c r="AD18" s="1276"/>
      <c r="AE18" s="1276"/>
      <c r="AF18" s="1276"/>
      <c r="AG18" s="1276"/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</row>
    <row r="19" spans="1:54" s="127" customFormat="1" ht="9.65" customHeight="1">
      <c r="A19" s="1239" t="s">
        <v>765</v>
      </c>
      <c r="B19" s="1239"/>
      <c r="C19" s="1239"/>
      <c r="D19" s="1239"/>
      <c r="E19" s="1239"/>
      <c r="F19" s="1239"/>
      <c r="G19" s="1239"/>
      <c r="H19" s="1239"/>
      <c r="I19" s="1239"/>
      <c r="J19" s="1239"/>
      <c r="K19" s="1239"/>
      <c r="L19" s="1239"/>
      <c r="M19" s="1239"/>
      <c r="N19" s="1239"/>
      <c r="O19" s="1239"/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A19" s="1239"/>
      <c r="AB19" s="1239"/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39"/>
      <c r="AM19" s="1239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</row>
    <row r="20" spans="1:54" ht="5.25" customHeight="1"/>
    <row r="21" spans="1:54" ht="12.75" customHeight="1">
      <c r="A21" s="1275" t="s">
        <v>67</v>
      </c>
      <c r="B21" s="1275"/>
      <c r="C21" s="1275"/>
      <c r="D21" s="1275"/>
      <c r="E21" s="1275"/>
      <c r="F21" s="1275"/>
      <c r="G21" s="1275"/>
      <c r="H21" s="1275"/>
      <c r="I21" s="1275"/>
      <c r="J21" s="1275"/>
      <c r="K21" s="1275"/>
      <c r="L21" s="1275"/>
      <c r="M21" s="1275"/>
      <c r="N21" s="1275"/>
      <c r="O21" s="1275"/>
      <c r="P21" s="1275"/>
      <c r="Q21" s="1275"/>
      <c r="R21" s="1275"/>
      <c r="S21" s="1275"/>
      <c r="T21" s="1275"/>
      <c r="U21" s="1275"/>
      <c r="V21" s="1275"/>
      <c r="W21" s="1275"/>
      <c r="X21" s="1275"/>
      <c r="Y21" s="1275"/>
      <c r="Z21" s="1275"/>
      <c r="AA21" s="1275"/>
      <c r="AB21" s="1275"/>
      <c r="AC21" s="1275"/>
      <c r="AD21" s="1275"/>
      <c r="AE21" s="1275"/>
      <c r="AF21" s="1275"/>
      <c r="AG21" s="1275"/>
      <c r="AH21" s="1275"/>
      <c r="AI21" s="1275"/>
      <c r="AJ21" s="1275"/>
      <c r="AK21" s="1275"/>
      <c r="AL21" s="1275"/>
      <c r="AM21" s="1275"/>
      <c r="AN21" s="1275"/>
      <c r="AO21" s="1275"/>
      <c r="AP21" s="1275"/>
      <c r="AQ21" s="1275"/>
      <c r="AR21" s="1275"/>
      <c r="AS21" s="1275"/>
      <c r="AT21" s="1275"/>
      <c r="AU21" s="1275"/>
      <c r="AV21" s="1275"/>
      <c r="AW21" s="1275"/>
      <c r="AX21" s="1275"/>
      <c r="AY21" s="1275"/>
      <c r="AZ21" s="1275"/>
    </row>
    <row r="22" spans="1:54" ht="12.75" customHeight="1">
      <c r="A22" s="1275" t="s">
        <v>378</v>
      </c>
      <c r="B22" s="1275"/>
      <c r="C22" s="1275"/>
      <c r="D22" s="1275"/>
      <c r="E22" s="1275"/>
      <c r="F22" s="1275"/>
      <c r="G22" s="1275"/>
      <c r="H22" s="1275"/>
      <c r="I22" s="1275"/>
      <c r="J22" s="1275"/>
      <c r="K22" s="1275"/>
      <c r="L22" s="1275"/>
      <c r="M22" s="1275"/>
      <c r="N22" s="1275"/>
      <c r="O22" s="1275"/>
      <c r="P22" s="1275"/>
      <c r="Q22" s="1275"/>
      <c r="R22" s="1275"/>
      <c r="S22" s="1275"/>
      <c r="T22" s="1275"/>
      <c r="U22" s="1275"/>
      <c r="V22" s="1275"/>
      <c r="W22" s="1275"/>
      <c r="X22" s="1275"/>
      <c r="Y22" s="1275"/>
      <c r="Z22" s="1275"/>
      <c r="AA22" s="1275"/>
      <c r="AB22" s="1275"/>
      <c r="AC22" s="1275"/>
      <c r="AD22" s="1275"/>
      <c r="AE22" s="1275"/>
      <c r="AF22" s="1275"/>
      <c r="AG22" s="1275"/>
      <c r="AH22" s="1275"/>
      <c r="AI22" s="1275"/>
      <c r="AJ22" s="1275"/>
      <c r="AK22" s="1275"/>
      <c r="AL22" s="1275"/>
      <c r="AM22" s="1275"/>
      <c r="AN22" s="1275"/>
      <c r="AO22" s="1275"/>
      <c r="AP22" s="1275"/>
      <c r="AQ22" s="1275"/>
      <c r="AR22" s="1275"/>
      <c r="AS22" s="1275"/>
      <c r="AT22" s="1275"/>
      <c r="AU22" s="1275"/>
      <c r="AV22" s="1275"/>
      <c r="AW22" s="1275"/>
      <c r="AX22" s="1275"/>
      <c r="AY22" s="1275"/>
      <c r="AZ22" s="1275"/>
    </row>
    <row r="23" spans="1:54" ht="6.75" customHeight="1"/>
    <row r="24" spans="1:54" ht="14.25" customHeight="1">
      <c r="A24" s="7" t="s">
        <v>19</v>
      </c>
      <c r="C24" s="1228" t="str">
        <f ca="1">INDIRECT("'АКТЫ скрытых работ'!R"&amp;BE3&amp;"C2",0)</f>
        <v>3-КЗ_КК_5</v>
      </c>
      <c r="D24" s="1228"/>
      <c r="E24" s="1228"/>
      <c r="F24" s="1228"/>
      <c r="G24" s="1228"/>
      <c r="H24" s="1228"/>
      <c r="I24" s="1228"/>
      <c r="J24" s="1228"/>
      <c r="K24" s="1228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2" t="str">
        <f ca="1">INDIRECT("'АКТЫ скрытых работ'!R"&amp;BE3&amp;"C8",0)</f>
        <v>ноября</v>
      </c>
      <c r="AO24" s="1272"/>
      <c r="AP24" s="1272"/>
      <c r="AQ24" s="1272"/>
      <c r="AR24" s="1272"/>
      <c r="AS24" s="1272"/>
      <c r="AT24" s="1272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1500000000000004" customHeight="1"/>
    <row r="26" spans="1:54" ht="27.65" customHeight="1">
      <c r="A26" s="1266" t="s">
        <v>780</v>
      </c>
      <c r="B26" s="1267"/>
      <c r="C26" s="1267"/>
      <c r="D26" s="1267"/>
      <c r="E26" s="1267"/>
      <c r="F26" s="1267"/>
      <c r="G26" s="1267"/>
      <c r="H26" s="1267"/>
      <c r="I26" s="1267"/>
      <c r="J26" s="1267"/>
      <c r="K26" s="1267"/>
      <c r="L26" s="1267"/>
      <c r="M26" s="1267"/>
      <c r="N26" s="1267"/>
      <c r="O26" s="1267"/>
      <c r="P26" s="1267"/>
      <c r="Q26" s="1267"/>
      <c r="R26" s="1267"/>
      <c r="S26" s="1267"/>
      <c r="T26" s="1267"/>
      <c r="U26" s="1267"/>
      <c r="V26" s="1267"/>
      <c r="W26" s="1267"/>
      <c r="X26" s="1267"/>
      <c r="Y26" s="1267"/>
      <c r="Z26" s="1267"/>
      <c r="AA26" s="1267"/>
      <c r="AB26" s="1267"/>
      <c r="AC26" s="1267"/>
      <c r="AD26" s="1267"/>
      <c r="AE26" s="1267"/>
      <c r="AF26" s="1267"/>
      <c r="AG26" s="1267"/>
      <c r="AH26" s="1267"/>
      <c r="AI26" s="1267"/>
      <c r="AJ26" s="1267"/>
      <c r="AK26" s="1267"/>
      <c r="AL26" s="1267"/>
      <c r="AM26" s="1267"/>
      <c r="AN26" s="1267"/>
      <c r="AO26" s="1267"/>
      <c r="AP26" s="1267"/>
      <c r="AQ26" s="1267"/>
      <c r="AR26" s="1267"/>
      <c r="AS26" s="1267"/>
      <c r="AT26" s="1267"/>
      <c r="AU26" s="1267"/>
      <c r="AV26" s="1267"/>
      <c r="AW26" s="1267"/>
      <c r="AX26" s="1267"/>
      <c r="AY26" s="1267"/>
      <c r="AZ26" s="1267"/>
    </row>
    <row r="27" spans="1:54" ht="12" customHeight="1">
      <c r="A27" s="1268" t="str">
        <f>ПОДПИСИ!B6</f>
        <v>Начальник мастерского участка №1 Курортного РЭС ПАО «Россети Ленэнерго» «СЭС»</v>
      </c>
      <c r="B27" s="1268"/>
      <c r="C27" s="1268"/>
      <c r="D27" s="1268"/>
      <c r="E27" s="1268"/>
      <c r="F27" s="1268"/>
      <c r="G27" s="1268"/>
      <c r="H27" s="1268"/>
      <c r="I27" s="1268"/>
      <c r="J27" s="1268"/>
      <c r="K27" s="1268"/>
      <c r="L27" s="1268"/>
      <c r="M27" s="1268"/>
      <c r="N27" s="1268"/>
      <c r="O27" s="1268"/>
      <c r="P27" s="1268"/>
      <c r="Q27" s="1268"/>
      <c r="R27" s="1268"/>
      <c r="S27" s="1268"/>
      <c r="T27" s="1268"/>
      <c r="U27" s="1268"/>
      <c r="V27" s="1268"/>
      <c r="W27" s="1268"/>
      <c r="X27" s="1268"/>
      <c r="Y27" s="1268"/>
      <c r="Z27" s="1268"/>
      <c r="AA27" s="1268"/>
      <c r="AB27" s="1268"/>
      <c r="AC27" s="1268"/>
      <c r="AD27" s="1268"/>
      <c r="AE27" s="1268"/>
      <c r="AF27" s="1268"/>
      <c r="AG27" s="1268"/>
      <c r="AH27" s="1268"/>
      <c r="AI27" s="1268"/>
      <c r="AJ27" s="1268"/>
      <c r="AK27" s="1268"/>
      <c r="AL27" s="1268"/>
      <c r="AM27" s="1268"/>
      <c r="AN27" s="1268"/>
      <c r="AO27" s="1268"/>
      <c r="AP27" s="1268"/>
      <c r="AQ27" s="1268"/>
      <c r="AR27" s="1268"/>
      <c r="AS27" s="1268"/>
      <c r="AT27" s="1268"/>
      <c r="AU27" s="1268"/>
      <c r="AV27" s="1268"/>
      <c r="AW27" s="1268"/>
      <c r="AX27" s="1268"/>
      <c r="AY27" s="1268"/>
      <c r="AZ27" s="1268"/>
    </row>
    <row r="28" spans="1:54" ht="12" customHeight="1">
      <c r="A28" s="1269" t="str">
        <f>CONCATENATE(ПОДПИСИ!C6,ПОДПИСИ!F6)</f>
        <v xml:space="preserve">Чечин Д.М. </v>
      </c>
      <c r="B28" s="1269"/>
      <c r="C28" s="1269"/>
      <c r="D28" s="1269"/>
      <c r="E28" s="1269"/>
      <c r="F28" s="1269"/>
      <c r="G28" s="1269"/>
      <c r="H28" s="1269"/>
      <c r="I28" s="1269"/>
      <c r="J28" s="1269"/>
      <c r="K28" s="1269"/>
      <c r="L28" s="1269"/>
      <c r="M28" s="1269"/>
      <c r="N28" s="1269"/>
      <c r="O28" s="1269"/>
      <c r="P28" s="1269"/>
      <c r="Q28" s="1269"/>
      <c r="R28" s="1269"/>
      <c r="S28" s="1269"/>
      <c r="T28" s="1269"/>
      <c r="U28" s="1269"/>
      <c r="V28" s="1269"/>
      <c r="W28" s="1269"/>
      <c r="X28" s="1269"/>
      <c r="Y28" s="1269"/>
      <c r="Z28" s="1269"/>
      <c r="AA28" s="1269"/>
      <c r="AB28" s="1269"/>
      <c r="AC28" s="1269"/>
      <c r="AD28" s="1269"/>
      <c r="AE28" s="1269"/>
      <c r="AF28" s="1269"/>
      <c r="AG28" s="1269"/>
      <c r="AH28" s="1269"/>
      <c r="AI28" s="1269"/>
      <c r="AJ28" s="1269"/>
      <c r="AK28" s="1269"/>
      <c r="AL28" s="1269"/>
      <c r="AM28" s="1269"/>
      <c r="AN28" s="1269"/>
      <c r="AO28" s="1269"/>
      <c r="AP28" s="1269"/>
      <c r="AQ28" s="1269"/>
      <c r="AR28" s="1269"/>
      <c r="AS28" s="1269"/>
      <c r="AT28" s="1269"/>
      <c r="AU28" s="1269"/>
      <c r="AV28" s="1269"/>
      <c r="AW28" s="1269"/>
      <c r="AX28" s="1269"/>
      <c r="AY28" s="1269"/>
      <c r="AZ28" s="1269"/>
    </row>
    <row r="29" spans="1:54" ht="13.15" customHeight="1">
      <c r="A29" s="1270" t="s">
        <v>823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4" s="284" customFormat="1">
      <c r="A30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02"/>
      <c r="C30" s="1102"/>
      <c r="D30" s="1102"/>
      <c r="E30" s="1102"/>
      <c r="F30" s="1102"/>
      <c r="G30" s="1102"/>
      <c r="H30" s="1102"/>
      <c r="I30" s="1102"/>
      <c r="J30" s="1102"/>
      <c r="K30" s="1102"/>
      <c r="L30" s="1102"/>
      <c r="M30" s="1102"/>
      <c r="N30" s="1102"/>
      <c r="O30" s="1102"/>
      <c r="P30" s="1102"/>
      <c r="Q30" s="1102"/>
      <c r="R30" s="1102"/>
      <c r="S30" s="1102"/>
      <c r="T30" s="1102"/>
      <c r="U30" s="1102"/>
      <c r="V30" s="1102"/>
      <c r="W30" s="1102"/>
      <c r="X30" s="1102"/>
      <c r="Y30" s="1102"/>
      <c r="Z30" s="1102"/>
      <c r="AA30" s="1102"/>
      <c r="AB30" s="1102"/>
      <c r="AC30" s="1102"/>
      <c r="AD30" s="1102"/>
      <c r="AE30" s="1102"/>
      <c r="AF30" s="1102"/>
      <c r="AG30" s="1102"/>
      <c r="AH30" s="1102"/>
      <c r="AI30" s="1102"/>
      <c r="AJ30" s="1102"/>
      <c r="AK30" s="1102"/>
      <c r="AL30" s="1102"/>
      <c r="AM30" s="1102"/>
      <c r="AN30" s="1102"/>
      <c r="AO30" s="1102"/>
      <c r="AP30" s="1102"/>
      <c r="AQ30" s="1102"/>
      <c r="AR30" s="1102"/>
      <c r="AS30" s="1102"/>
      <c r="AT30" s="1102"/>
      <c r="AU30" s="1102"/>
      <c r="AV30" s="1102"/>
      <c r="AW30" s="1102"/>
      <c r="AX30" s="1102"/>
      <c r="AY30" s="1102"/>
      <c r="AZ30" s="1102"/>
      <c r="BA30" s="566"/>
      <c r="BB30" s="567"/>
    </row>
    <row r="31" spans="1:54" s="284" customFormat="1" ht="21" customHeight="1">
      <c r="A31" s="1220" t="s">
        <v>809</v>
      </c>
      <c r="B31" s="1220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0"/>
      <c r="N31" s="1220"/>
      <c r="O31" s="1220"/>
      <c r="P31" s="1220"/>
      <c r="Q31" s="1220"/>
      <c r="R31" s="1220"/>
      <c r="S31" s="1220"/>
      <c r="T31" s="1220"/>
      <c r="U31" s="1220"/>
      <c r="V31" s="1220"/>
      <c r="W31" s="1220"/>
      <c r="X31" s="1220"/>
      <c r="Y31" s="1220"/>
      <c r="Z31" s="1220"/>
      <c r="AA31" s="1220"/>
      <c r="AB31" s="1220"/>
      <c r="AC31" s="1220"/>
      <c r="AD31" s="1220"/>
      <c r="AE31" s="1220"/>
      <c r="AF31" s="1220"/>
      <c r="AG31" s="1220"/>
      <c r="AH31" s="1220"/>
      <c r="AI31" s="1220"/>
      <c r="AJ31" s="1220"/>
      <c r="AK31" s="1220"/>
      <c r="AL31" s="1220"/>
      <c r="AM31" s="1220"/>
      <c r="AN31" s="1220"/>
      <c r="AO31" s="1220"/>
      <c r="AP31" s="1220"/>
      <c r="AQ31" s="1220"/>
      <c r="AR31" s="1220"/>
      <c r="AS31" s="1220"/>
      <c r="AT31" s="1220"/>
      <c r="AU31" s="1220"/>
      <c r="AV31" s="1220"/>
      <c r="AW31" s="1220"/>
      <c r="AX31" s="1220"/>
      <c r="AY31" s="1220"/>
      <c r="AZ31" s="1220"/>
      <c r="BA31" s="565"/>
      <c r="BB31" s="568"/>
    </row>
    <row r="32" spans="1:54" ht="12" customHeight="1">
      <c r="A32" s="1235" t="s">
        <v>766</v>
      </c>
      <c r="B32" s="1235"/>
      <c r="C32" s="1235"/>
      <c r="D32" s="1235"/>
      <c r="E32" s="1235"/>
      <c r="F32" s="1235"/>
      <c r="G32" s="1235"/>
      <c r="H32" s="1235"/>
      <c r="I32" s="1235"/>
      <c r="J32" s="1235"/>
      <c r="K32" s="1235"/>
      <c r="L32" s="1235"/>
      <c r="M32" s="1235"/>
      <c r="N32" s="1235"/>
      <c r="O32" s="1235"/>
      <c r="P32" s="1235"/>
      <c r="Q32" s="1235"/>
      <c r="R32" s="1235"/>
      <c r="S32" s="1235"/>
      <c r="T32" s="1235"/>
      <c r="U32" s="1235"/>
      <c r="V32" s="1235"/>
      <c r="W32" s="1235"/>
      <c r="X32" s="1235"/>
      <c r="Y32" s="1235"/>
      <c r="Z32" s="1235"/>
      <c r="AA32" s="1235"/>
      <c r="AB32" s="1235"/>
      <c r="AC32" s="1235"/>
      <c r="AD32" s="1235"/>
      <c r="AE32" s="1235"/>
      <c r="AF32" s="1235"/>
      <c r="AG32" s="1235"/>
      <c r="AH32" s="1235"/>
      <c r="AI32" s="1235"/>
      <c r="AJ32" s="1235"/>
      <c r="AK32" s="1235"/>
      <c r="AL32" s="1235"/>
      <c r="AM32" s="1235"/>
      <c r="AN32" s="1235"/>
      <c r="AO32" s="1235"/>
      <c r="AP32" s="1235"/>
      <c r="AQ32" s="1235"/>
      <c r="AR32" s="1235"/>
      <c r="AS32" s="1235"/>
      <c r="AT32" s="1235"/>
      <c r="AU32" s="1235"/>
      <c r="AV32" s="1235"/>
      <c r="AW32" s="1235"/>
      <c r="AX32" s="1235"/>
      <c r="AY32" s="1235"/>
      <c r="AZ32" s="1235"/>
    </row>
    <row r="33" spans="1:54" ht="12" customHeight="1">
      <c r="A33" s="1254" t="str">
        <f>ПОДПИСИ!B15</f>
        <v xml:space="preserve">Заместитель генерального директора ООО «БЭСК» </v>
      </c>
      <c r="B33" s="1254"/>
      <c r="C33" s="1254"/>
      <c r="D33" s="1254"/>
      <c r="E33" s="1254"/>
      <c r="F33" s="1254"/>
      <c r="G33" s="1254"/>
      <c r="H33" s="1254"/>
      <c r="I33" s="1254"/>
      <c r="J33" s="1254"/>
      <c r="K33" s="1254"/>
      <c r="L33" s="1254"/>
      <c r="M33" s="1254"/>
      <c r="N33" s="1254"/>
      <c r="O33" s="1254"/>
      <c r="P33" s="1254"/>
      <c r="Q33" s="1254"/>
      <c r="R33" s="1254"/>
      <c r="S33" s="1254"/>
      <c r="T33" s="1254"/>
      <c r="U33" s="1254"/>
      <c r="V33" s="1254"/>
      <c r="W33" s="1254"/>
      <c r="X33" s="1254"/>
      <c r="Y33" s="1254"/>
      <c r="Z33" s="1254"/>
      <c r="AA33" s="1254"/>
      <c r="AB33" s="1254"/>
      <c r="AC33" s="1254"/>
      <c r="AD33" s="1254"/>
      <c r="AE33" s="1254"/>
      <c r="AF33" s="1254"/>
      <c r="AG33" s="1254"/>
      <c r="AH33" s="1254"/>
      <c r="AI33" s="1254"/>
      <c r="AJ33" s="1254"/>
      <c r="AK33" s="1254"/>
      <c r="AL33" s="1254"/>
      <c r="AM33" s="1254"/>
      <c r="AN33" s="1254"/>
      <c r="AO33" s="1254"/>
      <c r="AP33" s="1254"/>
      <c r="AQ33" s="1254"/>
      <c r="AR33" s="1254"/>
      <c r="AS33" s="1254"/>
      <c r="AT33" s="1254"/>
      <c r="AU33" s="1254"/>
      <c r="AV33" s="1254"/>
      <c r="AW33" s="1254"/>
      <c r="AX33" s="1254"/>
      <c r="AY33" s="1254"/>
      <c r="AZ33" s="1254"/>
    </row>
    <row r="34" spans="1:54" ht="12" customHeight="1">
      <c r="A34" s="1237" t="str">
        <f>CONCATENATE(ПОДПИСИ!C15,", ",ПОДПИСИ!F15)</f>
        <v xml:space="preserve">Матвеев А.С., </v>
      </c>
      <c r="B34" s="1237"/>
      <c r="C34" s="1237"/>
      <c r="D34" s="1237"/>
      <c r="E34" s="1237"/>
      <c r="F34" s="1237"/>
      <c r="G34" s="1237"/>
      <c r="H34" s="1237"/>
      <c r="I34" s="1237"/>
      <c r="J34" s="1237"/>
      <c r="K34" s="1237"/>
      <c r="L34" s="1237"/>
      <c r="M34" s="1237"/>
      <c r="N34" s="1237"/>
      <c r="O34" s="1237"/>
      <c r="P34" s="1237"/>
      <c r="Q34" s="1237"/>
      <c r="R34" s="1237"/>
      <c r="S34" s="1237"/>
      <c r="T34" s="1237"/>
      <c r="U34" s="1237"/>
      <c r="V34" s="1237"/>
      <c r="W34" s="1237"/>
      <c r="X34" s="1237"/>
      <c r="Y34" s="1237"/>
      <c r="Z34" s="1237"/>
      <c r="AA34" s="1237"/>
      <c r="AB34" s="1237"/>
      <c r="AC34" s="1237"/>
      <c r="AD34" s="1237"/>
      <c r="AE34" s="1237"/>
      <c r="AF34" s="1237"/>
      <c r="AG34" s="1237"/>
      <c r="AH34" s="1237"/>
      <c r="AI34" s="1237"/>
      <c r="AJ34" s="1237"/>
      <c r="AK34" s="1237"/>
      <c r="AL34" s="1237"/>
      <c r="AM34" s="1237"/>
      <c r="AN34" s="1237"/>
      <c r="AO34" s="1237"/>
      <c r="AP34" s="1237"/>
      <c r="AQ34" s="1237"/>
      <c r="AR34" s="1237"/>
      <c r="AS34" s="1237"/>
      <c r="AT34" s="1237"/>
      <c r="AU34" s="1237"/>
      <c r="AV34" s="1237"/>
      <c r="AW34" s="1237"/>
      <c r="AX34" s="1237"/>
      <c r="AY34" s="1237"/>
      <c r="AZ34" s="1237"/>
    </row>
    <row r="35" spans="1:54" ht="7.15" customHeight="1">
      <c r="A35" s="1240" t="s">
        <v>519</v>
      </c>
      <c r="B35" s="1240"/>
      <c r="C35" s="1240"/>
      <c r="D35" s="1240"/>
      <c r="E35" s="1240"/>
      <c r="F35" s="1240"/>
      <c r="G35" s="1240"/>
      <c r="H35" s="1240"/>
      <c r="I35" s="1240"/>
      <c r="J35" s="1240"/>
      <c r="K35" s="1240"/>
      <c r="L35" s="1240"/>
      <c r="M35" s="1240"/>
      <c r="N35" s="1240"/>
      <c r="O35" s="1240"/>
      <c r="P35" s="1240"/>
      <c r="Q35" s="1240"/>
      <c r="R35" s="1240"/>
      <c r="S35" s="1240"/>
      <c r="T35" s="1240"/>
      <c r="U35" s="1240"/>
      <c r="V35" s="1240"/>
      <c r="W35" s="1240"/>
      <c r="X35" s="1240"/>
      <c r="Y35" s="1240"/>
      <c r="Z35" s="1240"/>
      <c r="AA35" s="1240"/>
      <c r="AB35" s="1240"/>
      <c r="AC35" s="1240"/>
      <c r="AD35" s="1240"/>
      <c r="AE35" s="1240"/>
      <c r="AF35" s="1240"/>
      <c r="AG35" s="1240"/>
      <c r="AH35" s="1240"/>
      <c r="AI35" s="1240"/>
      <c r="AJ35" s="1240"/>
      <c r="AK35" s="1240"/>
      <c r="AL35" s="1240"/>
      <c r="AM35" s="124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</row>
    <row r="36" spans="1:54" ht="12" customHeight="1">
      <c r="A36" s="1260" t="s">
        <v>767</v>
      </c>
      <c r="B36" s="1235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5"/>
      <c r="O36" s="1235"/>
      <c r="P36" s="1235"/>
      <c r="Q36" s="1235"/>
      <c r="R36" s="1235"/>
      <c r="S36" s="1235"/>
      <c r="T36" s="1235"/>
      <c r="U36" s="1235"/>
      <c r="V36" s="1235"/>
      <c r="W36" s="1235"/>
      <c r="X36" s="1235"/>
      <c r="Y36" s="1235"/>
      <c r="Z36" s="1235"/>
      <c r="AA36" s="1235"/>
      <c r="AB36" s="1235"/>
      <c r="AC36" s="1235"/>
      <c r="AD36" s="1235"/>
      <c r="AE36" s="1235"/>
      <c r="AF36" s="1235"/>
      <c r="AG36" s="1235"/>
      <c r="AH36" s="1235"/>
      <c r="AI36" s="1235"/>
      <c r="AJ36" s="1235"/>
      <c r="AK36" s="1235"/>
      <c r="AL36" s="1235"/>
      <c r="AM36" s="1235"/>
      <c r="AN36" s="1235"/>
      <c r="AO36" s="1235"/>
      <c r="AP36" s="1235"/>
      <c r="AQ36" s="1235"/>
      <c r="AR36" s="1235"/>
      <c r="AS36" s="1235"/>
      <c r="AT36" s="1235"/>
      <c r="AU36" s="1235"/>
      <c r="AV36" s="1235"/>
      <c r="AW36" s="1235"/>
      <c r="AX36" s="1235"/>
      <c r="AY36" s="1235"/>
      <c r="AZ36" s="1235"/>
    </row>
    <row r="37" spans="1:54" ht="12" customHeight="1">
      <c r="A37" s="1254" t="str">
        <f>ПОДПИСИ!B17</f>
        <v xml:space="preserve">Заместитель генерального директора ООО «БЭСК» </v>
      </c>
      <c r="B37" s="1254"/>
      <c r="C37" s="1254"/>
      <c r="D37" s="1254"/>
      <c r="E37" s="1254"/>
      <c r="F37" s="1254"/>
      <c r="G37" s="1254"/>
      <c r="H37" s="1254"/>
      <c r="I37" s="1254"/>
      <c r="J37" s="1254"/>
      <c r="K37" s="1254"/>
      <c r="L37" s="1254"/>
      <c r="M37" s="1254"/>
      <c r="N37" s="1254"/>
      <c r="O37" s="1254"/>
      <c r="P37" s="1254"/>
      <c r="Q37" s="1254"/>
      <c r="R37" s="1254"/>
      <c r="S37" s="1254"/>
      <c r="T37" s="1254"/>
      <c r="U37" s="1254"/>
      <c r="V37" s="1254"/>
      <c r="W37" s="1254"/>
      <c r="X37" s="1254"/>
      <c r="Y37" s="1254"/>
      <c r="Z37" s="1254"/>
      <c r="AA37" s="1254"/>
      <c r="AB37" s="1254"/>
      <c r="AC37" s="1254"/>
      <c r="AD37" s="1254"/>
      <c r="AE37" s="1254"/>
      <c r="AF37" s="1254"/>
      <c r="AG37" s="1254"/>
      <c r="AH37" s="1254"/>
      <c r="AI37" s="1254"/>
      <c r="AJ37" s="1254"/>
      <c r="AK37" s="1254"/>
      <c r="AL37" s="1254"/>
      <c r="AM37" s="1254"/>
      <c r="AN37" s="1254"/>
      <c r="AO37" s="1254"/>
      <c r="AP37" s="1254"/>
      <c r="AQ37" s="1254"/>
      <c r="AR37" s="1254"/>
      <c r="AS37" s="1254"/>
      <c r="AT37" s="1254"/>
      <c r="AU37" s="1254"/>
      <c r="AV37" s="1254"/>
      <c r="AW37" s="1254"/>
      <c r="AX37" s="1254"/>
      <c r="AY37" s="1254"/>
      <c r="AZ37" s="1254"/>
    </row>
    <row r="38" spans="1:54" ht="12" customHeight="1">
      <c r="A38" s="1237" t="str">
        <f>CONCATENATE(ПОДПИСИ!C17,", ",ПОДПИСИ!F17)</f>
        <v xml:space="preserve">Матвеев А.С., </v>
      </c>
      <c r="B38" s="1237"/>
      <c r="C38" s="1237"/>
      <c r="D38" s="1237"/>
      <c r="E38" s="1237"/>
      <c r="F38" s="1237"/>
      <c r="G38" s="1237"/>
      <c r="H38" s="1237"/>
      <c r="I38" s="1237"/>
      <c r="J38" s="1237"/>
      <c r="K38" s="1237"/>
      <c r="L38" s="1237"/>
      <c r="M38" s="1237"/>
      <c r="N38" s="1237"/>
      <c r="O38" s="1237"/>
      <c r="P38" s="1237"/>
      <c r="Q38" s="1237"/>
      <c r="R38" s="1237"/>
      <c r="S38" s="1237"/>
      <c r="T38" s="1237"/>
      <c r="U38" s="1237"/>
      <c r="V38" s="1237"/>
      <c r="W38" s="1237"/>
      <c r="X38" s="1237"/>
      <c r="Y38" s="1237"/>
      <c r="Z38" s="1237"/>
      <c r="AA38" s="1237"/>
      <c r="AB38" s="1237"/>
      <c r="AC38" s="1237"/>
      <c r="AD38" s="1237"/>
      <c r="AE38" s="1237"/>
      <c r="AF38" s="1237"/>
      <c r="AG38" s="1237"/>
      <c r="AH38" s="1237"/>
      <c r="AI38" s="1237"/>
      <c r="AJ38" s="1237"/>
      <c r="AK38" s="1237"/>
      <c r="AL38" s="1237"/>
      <c r="AM38" s="1237"/>
      <c r="AN38" s="1237"/>
      <c r="AO38" s="1237"/>
      <c r="AP38" s="1237"/>
      <c r="AQ38" s="1237"/>
      <c r="AR38" s="1237"/>
      <c r="AS38" s="1237"/>
      <c r="AT38" s="1237"/>
      <c r="AU38" s="1237"/>
      <c r="AV38" s="1237"/>
      <c r="AW38" s="1237"/>
      <c r="AX38" s="1237"/>
      <c r="AY38" s="1237"/>
      <c r="AZ38" s="1237"/>
    </row>
    <row r="39" spans="1:54" ht="16.149999999999999" customHeight="1">
      <c r="A39" s="1258" t="s">
        <v>971</v>
      </c>
      <c r="B39" s="1265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5"/>
      <c r="O39" s="1265"/>
      <c r="P39" s="1265"/>
      <c r="Q39" s="1265"/>
      <c r="R39" s="1265"/>
      <c r="S39" s="1265"/>
      <c r="T39" s="1265"/>
      <c r="U39" s="1265"/>
      <c r="V39" s="1265"/>
      <c r="W39" s="1265"/>
      <c r="X39" s="1265"/>
      <c r="Y39" s="1265"/>
      <c r="Z39" s="1265"/>
      <c r="AA39" s="1265"/>
      <c r="AB39" s="1265"/>
      <c r="AC39" s="1265"/>
      <c r="AD39" s="1265"/>
      <c r="AE39" s="1265"/>
      <c r="AF39" s="1265"/>
      <c r="AG39" s="1265"/>
      <c r="AH39" s="1265"/>
      <c r="AI39" s="1265"/>
      <c r="AJ39" s="1265"/>
      <c r="AK39" s="1265"/>
      <c r="AL39" s="1265"/>
      <c r="AM39" s="126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</row>
    <row r="40" spans="1:54" ht="39" customHeight="1">
      <c r="A40" s="1260" t="s">
        <v>826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</row>
    <row r="41" spans="1:54">
      <c r="A41" s="1254" t="str">
        <f>IF(ПОДПИСИ!B19=0," ",ПОДПИСИ!B19)</f>
        <v xml:space="preserve"> </v>
      </c>
      <c r="B41" s="1254"/>
      <c r="C41" s="1254"/>
      <c r="D41" s="1254"/>
      <c r="E41" s="1254"/>
      <c r="F41" s="1254"/>
      <c r="G41" s="1254"/>
      <c r="H41" s="1254"/>
      <c r="I41" s="1254"/>
      <c r="J41" s="1254"/>
      <c r="K41" s="1254"/>
      <c r="L41" s="1254"/>
      <c r="M41" s="1254"/>
      <c r="N41" s="1254"/>
      <c r="O41" s="1254"/>
      <c r="P41" s="1254"/>
      <c r="Q41" s="1254"/>
      <c r="R41" s="1254"/>
      <c r="S41" s="1254"/>
      <c r="T41" s="1254"/>
      <c r="U41" s="1254"/>
      <c r="V41" s="1254"/>
      <c r="W41" s="1254"/>
      <c r="X41" s="1254"/>
      <c r="Y41" s="1254"/>
      <c r="Z41" s="1254"/>
      <c r="AA41" s="1254"/>
      <c r="AB41" s="1254"/>
      <c r="AC41" s="1254"/>
      <c r="AD41" s="1254"/>
      <c r="AE41" s="1254"/>
      <c r="AF41" s="1254"/>
      <c r="AG41" s="1254"/>
      <c r="AH41" s="1254"/>
      <c r="AI41" s="1254"/>
      <c r="AJ41" s="1254"/>
      <c r="AK41" s="1254"/>
      <c r="AL41" s="1254"/>
      <c r="AM41" s="1254"/>
      <c r="AN41" s="1254"/>
      <c r="AO41" s="1254"/>
      <c r="AP41" s="1254"/>
      <c r="AQ41" s="1254"/>
      <c r="AR41" s="1254"/>
      <c r="AS41" s="1254"/>
      <c r="AT41" s="1254"/>
      <c r="AU41" s="1254"/>
      <c r="AV41" s="1254"/>
      <c r="AW41" s="1254"/>
      <c r="AX41" s="1254"/>
      <c r="AY41" s="1254"/>
      <c r="AZ41" s="1254"/>
    </row>
    <row r="42" spans="1:54">
      <c r="A42" s="1237" t="str">
        <f>CONCATENATE(ПОДПИСИ!C19," ",ПОДПИСИ!F19)</f>
        <v xml:space="preserve">  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</row>
    <row r="43" spans="1:54" ht="13.9" customHeight="1">
      <c r="A43" s="1239" t="s">
        <v>1056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</row>
    <row r="44" spans="1:54" ht="12" customHeight="1">
      <c r="A44" s="1260" t="s">
        <v>531</v>
      </c>
      <c r="B44" s="1260"/>
      <c r="C44" s="1260"/>
      <c r="D44" s="1260"/>
      <c r="E44" s="1260"/>
      <c r="F44" s="1260"/>
      <c r="G44" s="1260"/>
      <c r="H44" s="1260"/>
      <c r="I44" s="1260"/>
      <c r="J44" s="1260"/>
      <c r="K44" s="1260"/>
      <c r="L44" s="1260"/>
      <c r="M44" s="1260"/>
      <c r="N44" s="1260"/>
      <c r="O44" s="1260"/>
      <c r="P44" s="1260"/>
      <c r="Q44" s="1260"/>
      <c r="R44" s="1260"/>
      <c r="S44" s="1260"/>
      <c r="T44" s="1260"/>
      <c r="U44" s="1260"/>
      <c r="V44" s="1260"/>
      <c r="W44" s="1260"/>
      <c r="X44" s="1260"/>
      <c r="Y44" s="1260"/>
      <c r="Z44" s="1260"/>
      <c r="AA44" s="1260"/>
      <c r="AB44" s="1260"/>
      <c r="AC44" s="1260"/>
      <c r="AD44" s="1260"/>
      <c r="AE44" s="1260"/>
      <c r="AF44" s="1260"/>
      <c r="AG44" s="1260"/>
      <c r="AH44" s="1260"/>
      <c r="AI44" s="1260"/>
      <c r="AJ44" s="1260"/>
      <c r="AK44" s="1260"/>
      <c r="AL44" s="1260"/>
      <c r="AM44" s="1260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</row>
    <row r="45" spans="1:54" ht="12" customHeight="1">
      <c r="A45" s="1262" t="str">
        <f>ПОДПИСИ!B12</f>
        <v xml:space="preserve">Производитель работ ООО«БЭСК» </v>
      </c>
      <c r="B45" s="1262"/>
      <c r="C45" s="1262"/>
      <c r="D45" s="1262"/>
      <c r="E45" s="1262"/>
      <c r="F45" s="1262"/>
      <c r="G45" s="1262"/>
      <c r="H45" s="1262"/>
      <c r="I45" s="1262"/>
      <c r="J45" s="1262"/>
      <c r="K45" s="1262"/>
      <c r="L45" s="1262"/>
      <c r="M45" s="1262"/>
      <c r="N45" s="1262"/>
      <c r="O45" s="1262"/>
      <c r="P45" s="1262"/>
      <c r="Q45" s="1262"/>
      <c r="R45" s="1262"/>
      <c r="S45" s="1262"/>
      <c r="T45" s="1262"/>
      <c r="U45" s="1262"/>
      <c r="V45" s="1262"/>
      <c r="W45" s="1262"/>
      <c r="X45" s="1262"/>
      <c r="Y45" s="1262"/>
      <c r="Z45" s="1262"/>
      <c r="AA45" s="1262"/>
      <c r="AB45" s="1262"/>
      <c r="AC45" s="1262"/>
      <c r="AD45" s="1262"/>
      <c r="AE45" s="1262"/>
      <c r="AF45" s="1262"/>
      <c r="AG45" s="1262"/>
      <c r="AH45" s="1262"/>
      <c r="AI45" s="1262"/>
      <c r="AJ45" s="1262"/>
      <c r="AK45" s="1262"/>
      <c r="AL45" s="1262"/>
      <c r="AM45" s="1262"/>
      <c r="AN45" s="1262"/>
      <c r="AO45" s="1262"/>
      <c r="AP45" s="1262"/>
      <c r="AQ45" s="1262"/>
      <c r="AR45" s="1262"/>
      <c r="AS45" s="1262"/>
      <c r="AT45" s="1262"/>
      <c r="AU45" s="1262"/>
      <c r="AV45" s="1262"/>
      <c r="AW45" s="1262"/>
      <c r="AX45" s="1262"/>
      <c r="AY45" s="1262"/>
      <c r="AZ45" s="1262"/>
      <c r="BA45" s="31"/>
      <c r="BB45" s="9"/>
    </row>
    <row r="46" spans="1:54" ht="12" customHeight="1">
      <c r="A46" s="1255" t="str">
        <f>CONCATENATE(ПОДПИСИ!C12,ПОДПИСИ!F12)</f>
        <v>Махмадов А.Р.</v>
      </c>
      <c r="B46" s="1255"/>
      <c r="C46" s="1255"/>
      <c r="D46" s="1255"/>
      <c r="E46" s="1255"/>
      <c r="F46" s="1255"/>
      <c r="G46" s="1255"/>
      <c r="H46" s="1255"/>
      <c r="I46" s="1255"/>
      <c r="J46" s="1255"/>
      <c r="K46" s="1255"/>
      <c r="L46" s="1255"/>
      <c r="M46" s="1255"/>
      <c r="N46" s="1255"/>
      <c r="O46" s="1255"/>
      <c r="P46" s="1255"/>
      <c r="Q46" s="1255"/>
      <c r="R46" s="1255"/>
      <c r="S46" s="1255"/>
      <c r="T46" s="1255"/>
      <c r="U46" s="1255"/>
      <c r="V46" s="1255"/>
      <c r="W46" s="1255"/>
      <c r="X46" s="1255"/>
      <c r="Y46" s="1255"/>
      <c r="Z46" s="1255"/>
      <c r="AA46" s="1255"/>
      <c r="AB46" s="1255"/>
      <c r="AC46" s="1255"/>
      <c r="AD46" s="1255"/>
      <c r="AE46" s="1255"/>
      <c r="AF46" s="1255"/>
      <c r="AG46" s="1255"/>
      <c r="AH46" s="1255"/>
      <c r="AI46" s="1255"/>
      <c r="AJ46" s="1255"/>
      <c r="AK46" s="1255"/>
      <c r="AL46" s="1255"/>
      <c r="AM46" s="1255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</row>
    <row r="47" spans="1:54" ht="7.9" customHeight="1">
      <c r="A47" s="1256" t="s">
        <v>518</v>
      </c>
      <c r="B47" s="1257"/>
      <c r="C47" s="1257"/>
      <c r="D47" s="1257"/>
      <c r="E47" s="1257"/>
      <c r="F47" s="1257"/>
      <c r="G47" s="1257"/>
      <c r="H47" s="1257"/>
      <c r="I47" s="1257"/>
      <c r="J47" s="1257"/>
      <c r="K47" s="1257"/>
      <c r="L47" s="1257"/>
      <c r="M47" s="1257"/>
      <c r="N47" s="1257"/>
      <c r="O47" s="1257"/>
      <c r="P47" s="1257"/>
      <c r="Q47" s="1257"/>
      <c r="R47" s="1257"/>
      <c r="S47" s="1257"/>
      <c r="T47" s="1257"/>
      <c r="U47" s="1257"/>
      <c r="V47" s="1257"/>
      <c r="W47" s="1257"/>
      <c r="X47" s="1257"/>
      <c r="Y47" s="1257"/>
      <c r="Z47" s="1257"/>
      <c r="AA47" s="1257"/>
      <c r="AB47" s="1257"/>
      <c r="AC47" s="1257"/>
      <c r="AD47" s="1257"/>
      <c r="AE47" s="1257"/>
      <c r="AF47" s="1257"/>
      <c r="AG47" s="1257"/>
      <c r="AH47" s="1257"/>
      <c r="AI47" s="1257"/>
      <c r="AJ47" s="1257"/>
      <c r="AK47" s="1257"/>
      <c r="AL47" s="1257"/>
      <c r="AM47" s="1257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</row>
    <row r="48" spans="1:54" ht="12" hidden="1" customHeight="1">
      <c r="A48" s="1235" t="s">
        <v>79</v>
      </c>
      <c r="B48" s="1235"/>
      <c r="C48" s="1235"/>
      <c r="D48" s="1235"/>
      <c r="E48" s="1235"/>
      <c r="F48" s="1235"/>
      <c r="G48" s="1235"/>
      <c r="H48" s="1235"/>
      <c r="I48" s="1235"/>
      <c r="J48" s="1235"/>
      <c r="K48" s="1235"/>
      <c r="L48" s="1235"/>
      <c r="M48" s="1235"/>
      <c r="N48" s="1235"/>
      <c r="O48" s="1235"/>
      <c r="P48" s="1235"/>
      <c r="Q48" s="1235"/>
      <c r="R48" s="1235"/>
      <c r="S48" s="1235"/>
      <c r="T48" s="1235"/>
      <c r="U48" s="1235"/>
      <c r="V48" s="1235"/>
      <c r="W48" s="1235"/>
      <c r="X48" s="1235"/>
      <c r="Y48" s="1235"/>
      <c r="Z48" s="1235"/>
      <c r="AA48" s="1235"/>
      <c r="AB48" s="1235"/>
      <c r="AC48" s="1235"/>
      <c r="AD48" s="1235"/>
      <c r="AE48" s="1235"/>
      <c r="AF48" s="1235"/>
      <c r="AG48" s="1235"/>
      <c r="AH48" s="1235"/>
      <c r="AI48" s="1235"/>
      <c r="AJ48" s="1235"/>
      <c r="AK48" s="1235"/>
      <c r="AL48" s="1235"/>
      <c r="AM48" s="1235"/>
      <c r="AN48" s="1235"/>
      <c r="AO48" s="1235"/>
      <c r="AP48" s="1235"/>
      <c r="AQ48" s="1235"/>
      <c r="AR48" s="1235"/>
      <c r="AS48" s="1235"/>
      <c r="AT48" s="1235"/>
      <c r="AU48" s="1235"/>
      <c r="AV48" s="1235"/>
      <c r="AW48" s="1235"/>
      <c r="AX48" s="1235"/>
      <c r="AY48" s="1235"/>
      <c r="AZ48" s="1235"/>
    </row>
    <row r="49" spans="1:56" ht="12" hidden="1" customHeight="1">
      <c r="A49" s="1236"/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</row>
    <row r="50" spans="1:56" ht="12" hidden="1" customHeight="1">
      <c r="A50" s="1254"/>
      <c r="B50" s="1254"/>
      <c r="C50" s="1254"/>
      <c r="D50" s="1254"/>
      <c r="E50" s="1254"/>
      <c r="F50" s="1254"/>
      <c r="G50" s="1254"/>
      <c r="H50" s="1254"/>
      <c r="I50" s="1254"/>
      <c r="J50" s="1254"/>
      <c r="K50" s="1254"/>
      <c r="L50" s="1254"/>
      <c r="M50" s="1254"/>
      <c r="N50" s="1254"/>
      <c r="O50" s="1254"/>
      <c r="P50" s="1254"/>
      <c r="Q50" s="1254"/>
      <c r="R50" s="1254"/>
      <c r="S50" s="1254"/>
      <c r="T50" s="1254"/>
      <c r="U50" s="1254"/>
      <c r="V50" s="1254"/>
      <c r="W50" s="1254"/>
      <c r="X50" s="1254"/>
      <c r="Y50" s="1254"/>
      <c r="Z50" s="1254"/>
      <c r="AA50" s="1254"/>
      <c r="AB50" s="1254"/>
      <c r="AC50" s="1254"/>
      <c r="AD50" s="1254"/>
      <c r="AE50" s="1254"/>
      <c r="AF50" s="1254"/>
      <c r="AG50" s="1254"/>
      <c r="AH50" s="1254"/>
      <c r="AI50" s="1254"/>
      <c r="AJ50" s="1254"/>
      <c r="AK50" s="1254"/>
      <c r="AL50" s="1254"/>
      <c r="AM50" s="1254"/>
      <c r="AN50" s="1254"/>
      <c r="AO50" s="1254"/>
      <c r="AP50" s="1254"/>
      <c r="AQ50" s="1254"/>
      <c r="AR50" s="1254"/>
      <c r="AS50" s="1254"/>
      <c r="AT50" s="1254"/>
      <c r="AU50" s="1254"/>
      <c r="AV50" s="1254"/>
      <c r="AW50" s="1254"/>
      <c r="AX50" s="1254"/>
      <c r="AY50" s="1254"/>
      <c r="AZ50" s="1254"/>
    </row>
    <row r="51" spans="1:56" ht="7.5" hidden="1" customHeight="1">
      <c r="A51" s="1240" t="s">
        <v>523</v>
      </c>
      <c r="B51" s="1240"/>
      <c r="C51" s="1240"/>
      <c r="D51" s="1240"/>
      <c r="E51" s="1240"/>
      <c r="F51" s="1240"/>
      <c r="G51" s="1240"/>
      <c r="H51" s="1240"/>
      <c r="I51" s="1240"/>
      <c r="J51" s="1240"/>
      <c r="K51" s="1240"/>
      <c r="L51" s="1240"/>
      <c r="M51" s="1240"/>
      <c r="N51" s="1240"/>
      <c r="O51" s="1240"/>
      <c r="P51" s="1240"/>
      <c r="Q51" s="1240"/>
      <c r="R51" s="1240"/>
      <c r="S51" s="1240"/>
      <c r="T51" s="1240"/>
      <c r="U51" s="1240"/>
      <c r="V51" s="1240"/>
      <c r="W51" s="1240"/>
      <c r="X51" s="1240"/>
      <c r="Y51" s="1240"/>
      <c r="Z51" s="1240"/>
      <c r="AA51" s="1240"/>
      <c r="AB51" s="1240"/>
      <c r="AC51" s="1240"/>
      <c r="AD51" s="1240"/>
      <c r="AE51" s="1240"/>
      <c r="AF51" s="1240"/>
      <c r="AG51" s="1240"/>
      <c r="AH51" s="1240"/>
      <c r="AI51" s="1240"/>
      <c r="AJ51" s="1240"/>
      <c r="AK51" s="1240"/>
      <c r="AL51" s="1240"/>
      <c r="AM51" s="1240"/>
      <c r="AN51" s="1240"/>
      <c r="AO51" s="1240"/>
      <c r="AP51" s="1240"/>
      <c r="AQ51" s="1240"/>
      <c r="AR51" s="1240"/>
      <c r="AS51" s="1240"/>
      <c r="AT51" s="1240"/>
      <c r="AU51" s="1240"/>
      <c r="AV51" s="1240"/>
      <c r="AW51" s="1240"/>
      <c r="AX51" s="1240"/>
      <c r="AY51" s="1240"/>
      <c r="AZ51" s="1240"/>
    </row>
    <row r="52" spans="1:56" ht="12" customHeight="1">
      <c r="A52" s="1235" t="s">
        <v>379</v>
      </c>
      <c r="B52" s="1235"/>
      <c r="C52" s="1235"/>
      <c r="D52" s="1235"/>
      <c r="E52" s="1235"/>
      <c r="F52" s="1235"/>
      <c r="G52" s="1235"/>
      <c r="H52" s="1235"/>
      <c r="I52" s="1235"/>
      <c r="J52" s="1235"/>
      <c r="K52" s="1235"/>
      <c r="L52" s="1235"/>
      <c r="M52" s="1235"/>
      <c r="N52" s="1235"/>
      <c r="O52" s="1235"/>
      <c r="P52" s="1235"/>
      <c r="Q52" s="1235"/>
      <c r="R52" s="1235"/>
      <c r="S52" s="1235"/>
      <c r="T52" s="1235"/>
      <c r="U52" s="1235"/>
      <c r="V52" s="1235"/>
      <c r="W52" s="1235"/>
      <c r="X52" s="1235"/>
      <c r="Y52" s="1235"/>
      <c r="Z52" s="1235"/>
      <c r="AA52" s="1235"/>
      <c r="AB52" s="1235"/>
      <c r="AC52" s="1235"/>
      <c r="AD52" s="1235"/>
      <c r="AE52" s="1235"/>
      <c r="AF52" s="1235"/>
      <c r="AG52" s="1235"/>
      <c r="AH52" s="1235"/>
      <c r="AI52" s="1235"/>
      <c r="AJ52" s="1235"/>
      <c r="AK52" s="1235"/>
      <c r="AL52" s="1235"/>
      <c r="AM52" s="1235"/>
      <c r="AN52" s="1235"/>
      <c r="AO52" s="1235"/>
      <c r="AP52" s="1235"/>
      <c r="AQ52" s="1235"/>
      <c r="AR52" s="1235"/>
      <c r="AS52" s="1235"/>
      <c r="AT52" s="1235"/>
      <c r="AU52" s="1235"/>
      <c r="AV52" s="1235"/>
      <c r="AW52" s="1235"/>
      <c r="AX52" s="1235"/>
      <c r="AY52" s="1235"/>
      <c r="AZ52" s="1235"/>
    </row>
    <row r="53" spans="1:56" ht="13.5" customHeight="1">
      <c r="A53" s="1228" t="str">
        <f>ФОРМА!B4</f>
        <v>ООО «БЭСК»</v>
      </c>
      <c r="B53" s="1228"/>
      <c r="C53" s="1228"/>
      <c r="D53" s="1228"/>
      <c r="E53" s="1228"/>
      <c r="F53" s="1228"/>
      <c r="G53" s="1228"/>
      <c r="H53" s="1228"/>
      <c r="I53" s="1228"/>
      <c r="J53" s="1228"/>
      <c r="K53" s="1228"/>
      <c r="L53" s="1228"/>
      <c r="M53" s="1228"/>
      <c r="N53" s="1228"/>
      <c r="O53" s="1228"/>
      <c r="P53" s="1228"/>
      <c r="Q53" s="1228"/>
      <c r="R53" s="1228"/>
      <c r="S53" s="1228"/>
      <c r="T53" s="1228"/>
      <c r="U53" s="1228"/>
      <c r="V53" s="1228"/>
      <c r="W53" s="1228"/>
      <c r="X53" s="1228"/>
      <c r="Y53" s="1228"/>
      <c r="Z53" s="1228"/>
      <c r="AA53" s="1228"/>
      <c r="AB53" s="1228"/>
      <c r="AC53" s="1228"/>
      <c r="AD53" s="1228"/>
      <c r="AE53" s="1228"/>
      <c r="AF53" s="1228"/>
      <c r="AG53" s="1228"/>
      <c r="AH53" s="1228"/>
      <c r="AI53" s="1228"/>
      <c r="AJ53" s="1228"/>
      <c r="AK53" s="1228"/>
      <c r="AL53" s="1228"/>
      <c r="AM53" s="1228"/>
      <c r="AN53" s="1228"/>
      <c r="AO53" s="1228"/>
      <c r="AP53" s="1228"/>
      <c r="AQ53" s="1228"/>
      <c r="AR53" s="1228"/>
      <c r="AS53" s="1228"/>
      <c r="AT53" s="1228"/>
      <c r="AU53" s="1228"/>
      <c r="AV53" s="1228"/>
      <c r="AW53" s="1228"/>
      <c r="AX53" s="1228"/>
      <c r="AY53" s="1228"/>
      <c r="AZ53" s="1228"/>
    </row>
    <row r="54" spans="1:56" s="127" customFormat="1" ht="7.15" customHeight="1">
      <c r="A54" s="1256" t="s">
        <v>828</v>
      </c>
      <c r="B54" s="1258"/>
      <c r="C54" s="1258"/>
      <c r="D54" s="1258"/>
      <c r="E54" s="1258"/>
      <c r="F54" s="1258"/>
      <c r="G54" s="1258"/>
      <c r="H54" s="1258"/>
      <c r="I54" s="1258"/>
      <c r="J54" s="1258"/>
      <c r="K54" s="1258"/>
      <c r="L54" s="1258"/>
      <c r="M54" s="1258"/>
      <c r="N54" s="1258"/>
      <c r="O54" s="1258"/>
      <c r="P54" s="1258"/>
      <c r="Q54" s="1258"/>
      <c r="R54" s="1258"/>
      <c r="S54" s="1258"/>
      <c r="T54" s="1258"/>
      <c r="U54" s="1258"/>
      <c r="V54" s="1258"/>
      <c r="W54" s="1258"/>
      <c r="X54" s="1258"/>
      <c r="Y54" s="1258"/>
      <c r="Z54" s="1258"/>
      <c r="AA54" s="1258"/>
      <c r="AB54" s="1258"/>
      <c r="AC54" s="1258"/>
      <c r="AD54" s="1258"/>
      <c r="AE54" s="1258"/>
      <c r="AF54" s="1258"/>
      <c r="AG54" s="1258"/>
      <c r="AH54" s="1258"/>
      <c r="AI54" s="1258"/>
      <c r="AJ54" s="1258"/>
      <c r="AK54" s="1258"/>
      <c r="AL54" s="1258"/>
      <c r="AM54" s="1258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</row>
    <row r="55" spans="1:56" ht="12" customHeight="1">
      <c r="A55" s="1235" t="s">
        <v>9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35"/>
      <c r="V55" s="1235"/>
      <c r="W55" s="1235"/>
      <c r="X55" s="1235"/>
      <c r="Y55" s="1235"/>
      <c r="Z55" s="1235"/>
      <c r="AA55" s="1235"/>
      <c r="AB55" s="1235"/>
      <c r="AC55" s="1235"/>
      <c r="AD55" s="1235"/>
      <c r="AE55" s="1235"/>
      <c r="AF55" s="1235"/>
      <c r="AG55" s="1235"/>
      <c r="AH55" s="1235"/>
      <c r="AI55" s="1235"/>
      <c r="AJ55" s="1235"/>
      <c r="AK55" s="1235"/>
      <c r="AL55" s="1235"/>
      <c r="AM55" s="1235"/>
      <c r="AN55" s="1235"/>
      <c r="AO55" s="1235"/>
      <c r="AP55" s="1235"/>
      <c r="AQ55" s="1235"/>
      <c r="AR55" s="1235"/>
      <c r="AS55" s="1235"/>
      <c r="AT55" s="1235"/>
      <c r="AU55" s="1235"/>
      <c r="AV55" s="1235"/>
      <c r="AW55" s="1235"/>
      <c r="AX55" s="1235"/>
      <c r="AY55" s="1235"/>
      <c r="AZ55" s="1235"/>
    </row>
    <row r="56" spans="1:56" ht="12" customHeight="1">
      <c r="A56" s="1235" t="s">
        <v>390</v>
      </c>
      <c r="B56" s="1235"/>
      <c r="C56" s="1235"/>
      <c r="D56" s="1235"/>
      <c r="E56" s="1235"/>
      <c r="F56" s="1235"/>
      <c r="G56" s="1235"/>
      <c r="H56" s="1235"/>
      <c r="I56" s="1235"/>
      <c r="J56" s="1235"/>
      <c r="K56" s="1235"/>
      <c r="L56" s="1235"/>
      <c r="M56" s="1235"/>
      <c r="N56" s="1235"/>
      <c r="O56" s="1235"/>
      <c r="P56" s="1235"/>
      <c r="Q56" s="1235"/>
      <c r="R56" s="1235"/>
      <c r="S56" s="1235"/>
      <c r="T56" s="1235"/>
      <c r="U56" s="1235"/>
      <c r="V56" s="1235"/>
      <c r="W56" s="1235"/>
      <c r="X56" s="1235"/>
      <c r="Y56" s="1235"/>
      <c r="Z56" s="1235"/>
      <c r="AA56" s="1235"/>
      <c r="AB56" s="1235"/>
      <c r="AC56" s="1235"/>
      <c r="AD56" s="1235"/>
      <c r="AE56" s="1235"/>
      <c r="AF56" s="1235"/>
      <c r="AG56" s="1235"/>
      <c r="AH56" s="1235"/>
      <c r="AI56" s="1235"/>
      <c r="AJ56" s="1235"/>
      <c r="AK56" s="1235"/>
      <c r="AL56" s="1235"/>
      <c r="AM56" s="1235"/>
      <c r="AN56" s="1235"/>
      <c r="AO56" s="1235"/>
      <c r="AP56" s="1235"/>
      <c r="AQ56" s="1235"/>
      <c r="AR56" s="1235"/>
      <c r="AS56" s="1235"/>
      <c r="AT56" s="1235"/>
      <c r="AU56" s="1235"/>
      <c r="AV56" s="1235"/>
      <c r="AW56" s="1235"/>
      <c r="AX56" s="1235"/>
      <c r="AY56" s="1235"/>
      <c r="AZ56" s="1235"/>
    </row>
    <row r="57" spans="1:56" ht="14.25" customHeight="1">
      <c r="A57" s="1246" t="str">
        <f ca="1">INDIRECT("'АКТЫ скрытых работ'!R"&amp;BE3&amp;"C3",0)</f>
        <v>Монтаж горизонтального заземлителя</v>
      </c>
      <c r="B57" s="1246"/>
      <c r="C57" s="1246"/>
      <c r="D57" s="1246"/>
      <c r="E57" s="1246"/>
      <c r="F57" s="1246"/>
      <c r="G57" s="1246"/>
      <c r="H57" s="1246"/>
      <c r="I57" s="1246"/>
      <c r="J57" s="1246"/>
      <c r="K57" s="1246"/>
      <c r="L57" s="1246"/>
      <c r="M57" s="1246"/>
      <c r="N57" s="1246"/>
      <c r="O57" s="1246"/>
      <c r="P57" s="1246"/>
      <c r="Q57" s="1246"/>
      <c r="R57" s="1246"/>
      <c r="S57" s="1246"/>
      <c r="T57" s="1246"/>
      <c r="U57" s="1246"/>
      <c r="V57" s="1246"/>
      <c r="W57" s="1246"/>
      <c r="X57" s="1246"/>
      <c r="Y57" s="1246"/>
      <c r="Z57" s="1246"/>
      <c r="AA57" s="1246"/>
      <c r="AB57" s="1246"/>
      <c r="AC57" s="1246"/>
      <c r="AD57" s="1246"/>
      <c r="AE57" s="1246"/>
      <c r="AF57" s="1246"/>
      <c r="AG57" s="1246"/>
      <c r="AH57" s="1246"/>
      <c r="AI57" s="1246"/>
      <c r="AJ57" s="1246"/>
      <c r="AK57" s="1246"/>
      <c r="AL57" s="1246"/>
      <c r="AM57" s="1246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</row>
    <row r="58" spans="1:56" ht="10.5" customHeight="1">
      <c r="A58" s="1242" t="s">
        <v>532</v>
      </c>
      <c r="B58" s="1242"/>
      <c r="C58" s="1242"/>
      <c r="D58" s="1242"/>
      <c r="E58" s="1242"/>
      <c r="F58" s="1242"/>
      <c r="G58" s="1242"/>
      <c r="H58" s="1242"/>
      <c r="I58" s="1242"/>
      <c r="J58" s="1242"/>
      <c r="K58" s="1242"/>
      <c r="L58" s="1242"/>
      <c r="M58" s="1242"/>
      <c r="N58" s="1242"/>
      <c r="O58" s="1242"/>
      <c r="P58" s="1242"/>
      <c r="Q58" s="1242"/>
      <c r="R58" s="1242"/>
      <c r="S58" s="1242"/>
      <c r="T58" s="1242"/>
      <c r="U58" s="1242"/>
      <c r="V58" s="1242"/>
      <c r="W58" s="1242"/>
      <c r="X58" s="1242"/>
      <c r="Y58" s="1242"/>
      <c r="Z58" s="1242"/>
      <c r="AA58" s="1242"/>
      <c r="AB58" s="1242"/>
      <c r="AC58" s="1242"/>
      <c r="AD58" s="1242"/>
      <c r="AE58" s="1242"/>
      <c r="AF58" s="1242"/>
      <c r="AG58" s="1242"/>
      <c r="AH58" s="1242"/>
      <c r="AI58" s="1242"/>
      <c r="AJ58" s="1242"/>
      <c r="AK58" s="1242"/>
      <c r="AL58" s="1242"/>
      <c r="AM58" s="1242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</row>
    <row r="59" spans="1:56" ht="12" customHeight="1">
      <c r="A59" s="416" t="s">
        <v>391</v>
      </c>
      <c r="Z59" s="9"/>
      <c r="AA59" s="9"/>
      <c r="AB59" s="9"/>
      <c r="AC59" s="9"/>
      <c r="AD59" s="1246" t="str">
        <f>IF(ФОРМА!B8=0," ",ФОРМА!B8)</f>
        <v>ООО «Строительные энергетические технологии»</v>
      </c>
      <c r="AE59" s="1246"/>
      <c r="AF59" s="1246"/>
      <c r="AG59" s="1246"/>
      <c r="AH59" s="1246"/>
      <c r="AI59" s="1246"/>
      <c r="AJ59" s="1246"/>
      <c r="AK59" s="1246"/>
      <c r="AL59" s="1246"/>
      <c r="AM59" s="1246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</row>
    <row r="60" spans="1:56" ht="8.25" customHeight="1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40" t="s">
        <v>83</v>
      </c>
      <c r="AE60" s="1240"/>
      <c r="AF60" s="1240"/>
      <c r="AG60" s="1240"/>
      <c r="AH60" s="1240"/>
      <c r="AI60" s="1240"/>
      <c r="AJ60" s="1240"/>
      <c r="AK60" s="1240"/>
      <c r="AL60" s="1240"/>
      <c r="AM60" s="124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</row>
    <row r="61" spans="1:56" ht="12" customHeight="1">
      <c r="A61" s="1237" t="str">
        <f>IF(ФОРМА!B9=0," ",CONCATENATE("Проект Шифр ",ФОРМА!B9))</f>
        <v>Проект Шифр СЭС-23-32939-ЭС-ТКР2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</row>
    <row r="62" spans="1:56" ht="7.15" customHeight="1">
      <c r="A62" s="1240" t="s">
        <v>533</v>
      </c>
      <c r="B62" s="1240"/>
      <c r="C62" s="1240"/>
      <c r="D62" s="1240"/>
      <c r="E62" s="1240"/>
      <c r="F62" s="1240"/>
      <c r="G62" s="1240"/>
      <c r="H62" s="1240"/>
      <c r="I62" s="1240"/>
      <c r="J62" s="1240"/>
      <c r="K62" s="1240"/>
      <c r="L62" s="1240"/>
      <c r="M62" s="1240"/>
      <c r="N62" s="1240"/>
      <c r="O62" s="1240"/>
      <c r="P62" s="1240"/>
      <c r="Q62" s="1240"/>
      <c r="R62" s="1240"/>
      <c r="S62" s="1240"/>
      <c r="T62" s="1240"/>
      <c r="U62" s="1240"/>
      <c r="V62" s="1240"/>
      <c r="W62" s="1240"/>
      <c r="X62" s="1240"/>
      <c r="Y62" s="1240"/>
      <c r="Z62" s="1240"/>
      <c r="AA62" s="1240"/>
      <c r="AB62" s="1240"/>
      <c r="AC62" s="1240"/>
      <c r="AD62" s="1240"/>
      <c r="AE62" s="1240"/>
      <c r="AF62" s="1240"/>
      <c r="AG62" s="1240"/>
      <c r="AH62" s="1240"/>
      <c r="AI62" s="1240"/>
      <c r="AJ62" s="1240"/>
      <c r="AK62" s="1240"/>
      <c r="AL62" s="1240"/>
      <c r="AM62" s="1240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</row>
    <row r="63" spans="1:56" ht="12" customHeight="1">
      <c r="A63" s="1235" t="s">
        <v>534</v>
      </c>
      <c r="B63" s="1235"/>
      <c r="C63" s="1235"/>
      <c r="D63" s="1235"/>
      <c r="E63" s="1235"/>
      <c r="F63" s="1235"/>
      <c r="G63" s="1235"/>
      <c r="H63" s="1235"/>
      <c r="I63" s="1235"/>
      <c r="J63" s="1235"/>
      <c r="K63" s="1235"/>
      <c r="L63" s="1235"/>
      <c r="M63" s="1235"/>
      <c r="N63" s="1235"/>
      <c r="O63" s="1235"/>
      <c r="P63" s="1235"/>
      <c r="Q63" s="1235"/>
      <c r="R63" s="1235"/>
      <c r="S63" s="1235"/>
      <c r="T63" s="1235"/>
      <c r="U63" s="1235"/>
      <c r="V63" s="1235"/>
      <c r="W63" s="1235"/>
      <c r="X63" s="1235"/>
      <c r="Y63" s="1235"/>
      <c r="Z63" s="1235"/>
      <c r="AA63" s="1235"/>
      <c r="AB63" s="1235"/>
      <c r="AC63" s="1235"/>
      <c r="AD63" s="1235"/>
      <c r="AE63" s="1235"/>
      <c r="AF63" s="1235"/>
      <c r="AG63" s="1235"/>
      <c r="AH63" s="1235"/>
      <c r="AI63" s="1235"/>
      <c r="AJ63" s="1235"/>
      <c r="AK63" s="1235"/>
      <c r="AL63" s="1235"/>
      <c r="AM63" s="1235"/>
      <c r="AN63" s="1235"/>
      <c r="AO63" s="1235"/>
      <c r="AP63" s="1235"/>
      <c r="AQ63" s="1235"/>
      <c r="AR63" s="1235"/>
      <c r="AS63" s="1235"/>
      <c r="AT63" s="1235"/>
      <c r="AU63" s="1235"/>
      <c r="AV63" s="1235"/>
      <c r="AW63" s="1235"/>
      <c r="AX63" s="1235"/>
      <c r="AY63" s="1235"/>
      <c r="AZ63" s="1235"/>
      <c r="BD63" s="11"/>
    </row>
    <row r="64" spans="1:56" ht="24" customHeight="1">
      <c r="A64" s="1238" t="str">
        <f>'АКТЫ скрытых работ'!P2</f>
        <v>Акт освидетельствования скрытых работ №1-ОП от 02 ноября 2024г. Разработка котлована для установки стоек</v>
      </c>
      <c r="B64" s="1236"/>
      <c r="C64" s="1236"/>
      <c r="D64" s="1236"/>
      <c r="E64" s="1236"/>
      <c r="F64" s="1236"/>
      <c r="G64" s="1236"/>
      <c r="H64" s="1236"/>
      <c r="I64" s="1236"/>
      <c r="J64" s="1236"/>
      <c r="K64" s="1236"/>
      <c r="L64" s="1236"/>
      <c r="M64" s="1236"/>
      <c r="N64" s="1236"/>
      <c r="O64" s="1236"/>
      <c r="P64" s="1236"/>
      <c r="Q64" s="1236"/>
      <c r="R64" s="1236"/>
      <c r="S64" s="1236"/>
      <c r="T64" s="1236"/>
      <c r="U64" s="1236"/>
      <c r="V64" s="1236"/>
      <c r="W64" s="1236"/>
      <c r="X64" s="1236"/>
      <c r="Y64" s="1236"/>
      <c r="Z64" s="1236"/>
      <c r="AA64" s="1236"/>
      <c r="AB64" s="1236"/>
      <c r="AC64" s="1236"/>
      <c r="AD64" s="1236"/>
      <c r="AE64" s="1236"/>
      <c r="AF64" s="1236"/>
      <c r="AG64" s="1236"/>
      <c r="AH64" s="1236"/>
      <c r="AI64" s="1236"/>
      <c r="AJ64" s="1236"/>
      <c r="AK64" s="1236"/>
      <c r="AL64" s="1236"/>
      <c r="AM64" s="1236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D64" s="15"/>
    </row>
    <row r="65" spans="1:56" ht="7.9" customHeight="1">
      <c r="A65" s="1239" t="s">
        <v>380</v>
      </c>
      <c r="B65" s="1239"/>
      <c r="C65" s="1239"/>
      <c r="D65" s="1239"/>
      <c r="E65" s="1239"/>
      <c r="F65" s="1239"/>
      <c r="G65" s="1239"/>
      <c r="H65" s="1239"/>
      <c r="I65" s="1239"/>
      <c r="J65" s="1239"/>
      <c r="K65" s="1239"/>
      <c r="L65" s="1239"/>
      <c r="M65" s="1239"/>
      <c r="N65" s="1239"/>
      <c r="O65" s="1239"/>
      <c r="P65" s="1239"/>
      <c r="Q65" s="1239"/>
      <c r="R65" s="1239"/>
      <c r="S65" s="1239"/>
      <c r="T65" s="1239"/>
      <c r="U65" s="1239"/>
      <c r="V65" s="1239"/>
      <c r="W65" s="1239"/>
      <c r="X65" s="1239"/>
      <c r="Y65" s="1239"/>
      <c r="Z65" s="1239"/>
      <c r="AA65" s="1239"/>
      <c r="AB65" s="1239"/>
      <c r="AC65" s="1239"/>
      <c r="AD65" s="1239"/>
      <c r="AE65" s="1239"/>
      <c r="AF65" s="1239"/>
      <c r="AG65" s="1239"/>
      <c r="AH65" s="1239"/>
      <c r="AI65" s="1239"/>
      <c r="AJ65" s="1239"/>
      <c r="AK65" s="1239"/>
      <c r="AL65" s="1239"/>
      <c r="AM65" s="1239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</row>
    <row r="66" spans="1:56" ht="12" customHeight="1">
      <c r="A66" s="1235" t="s">
        <v>536</v>
      </c>
      <c r="B66" s="1235"/>
      <c r="C66" s="1235"/>
      <c r="D66" s="1235"/>
      <c r="E66" s="1235"/>
      <c r="F66" s="1235"/>
      <c r="G66" s="1235"/>
      <c r="H66" s="1235"/>
      <c r="I66" s="1235"/>
      <c r="J66" s="1235"/>
      <c r="K66" s="1235"/>
      <c r="L66" s="1235"/>
      <c r="M66" s="1235"/>
      <c r="N66" s="1235"/>
      <c r="O66" s="1235"/>
      <c r="P66" s="1235"/>
      <c r="Q66" s="1235"/>
      <c r="R66" s="1235"/>
      <c r="S66" s="1235"/>
      <c r="T66" s="1235"/>
      <c r="U66" s="1235"/>
      <c r="V66" s="1235"/>
      <c r="W66" s="1235"/>
      <c r="X66" s="1235"/>
      <c r="Y66" s="1235"/>
      <c r="Z66" s="1235"/>
      <c r="AA66" s="1235"/>
      <c r="AB66" s="1235"/>
      <c r="AC66" s="1235"/>
      <c r="AD66" s="1235"/>
      <c r="AE66" s="1235"/>
      <c r="AF66" s="1235"/>
      <c r="AG66" s="1235"/>
      <c r="AH66" s="1235"/>
      <c r="AI66" s="1235"/>
      <c r="AJ66" s="1235"/>
      <c r="AK66" s="1235"/>
      <c r="AL66" s="1235"/>
      <c r="AM66" s="1235"/>
      <c r="AN66" s="1235"/>
      <c r="AO66" s="1235"/>
      <c r="AP66" s="1235"/>
      <c r="AQ66" s="1235"/>
      <c r="AR66" s="1235"/>
      <c r="AS66" s="1235"/>
      <c r="AT66" s="1235"/>
      <c r="AU66" s="1235"/>
      <c r="AV66" s="1235"/>
      <c r="AW66" s="1235"/>
      <c r="AX66" s="1235"/>
      <c r="AY66" s="1235"/>
      <c r="AZ66" s="1235"/>
    </row>
    <row r="67" spans="1:56" ht="25.15" customHeight="1">
      <c r="A67" s="1241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7" s="1241"/>
      <c r="C67" s="1241"/>
      <c r="D67" s="1241"/>
      <c r="E67" s="1241"/>
      <c r="F67" s="1241"/>
      <c r="G67" s="1241"/>
      <c r="H67" s="1241"/>
      <c r="I67" s="1241"/>
      <c r="J67" s="1241"/>
      <c r="K67" s="1241"/>
      <c r="L67" s="1241"/>
      <c r="M67" s="1241"/>
      <c r="N67" s="1241"/>
      <c r="O67" s="1241"/>
      <c r="P67" s="1241"/>
      <c r="Q67" s="1241"/>
      <c r="R67" s="1241"/>
      <c r="S67" s="1241"/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1241"/>
      <c r="AG67" s="1241"/>
      <c r="AH67" s="1241"/>
      <c r="AI67" s="1241"/>
      <c r="AJ67" s="1241"/>
      <c r="AK67" s="1241"/>
      <c r="AL67" s="1241"/>
      <c r="AM67" s="1241"/>
      <c r="AN67" s="1241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D67" s="11"/>
    </row>
    <row r="68" spans="1:56" s="127" customFormat="1" ht="8.25" customHeight="1">
      <c r="A68" s="1240" t="s">
        <v>535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1242"/>
      <c r="AA68" s="1242"/>
      <c r="AB68" s="1242"/>
      <c r="AC68" s="1242"/>
      <c r="AD68" s="1242"/>
      <c r="AE68" s="1242"/>
      <c r="AF68" s="1242"/>
      <c r="AG68" s="1242"/>
      <c r="AH68" s="1242"/>
      <c r="AI68" s="1242"/>
      <c r="AJ68" s="1242"/>
      <c r="AK68" s="1242"/>
      <c r="AL68" s="1242"/>
      <c r="AM68" s="124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D68" s="129"/>
    </row>
    <row r="69" spans="1:56" ht="12" customHeight="1">
      <c r="A69" s="1260" t="s">
        <v>537</v>
      </c>
      <c r="B69" s="1260"/>
      <c r="C69" s="1260"/>
      <c r="D69" s="1260"/>
      <c r="E69" s="1260"/>
      <c r="F69" s="1260"/>
      <c r="G69" s="1260"/>
      <c r="H69" s="1260"/>
      <c r="I69" s="1260"/>
      <c r="J69" s="1260"/>
      <c r="K69" s="1260"/>
      <c r="L69" s="1260"/>
      <c r="M69" s="1260"/>
      <c r="N69" s="1260"/>
      <c r="O69" s="1260"/>
      <c r="P69" s="1260"/>
      <c r="Q69" s="1260"/>
      <c r="R69" s="1260"/>
      <c r="S69" s="1260"/>
      <c r="T69" s="1260"/>
      <c r="U69" s="1260"/>
      <c r="V69" s="1260"/>
      <c r="W69" s="1260"/>
      <c r="X69" s="1260"/>
      <c r="Y69" s="1260"/>
      <c r="Z69" s="1260"/>
      <c r="AA69" s="1260"/>
      <c r="AB69" s="1260"/>
      <c r="AC69" s="1260"/>
      <c r="AD69" s="1260"/>
      <c r="AE69" s="1260"/>
      <c r="AF69" s="1260"/>
      <c r="AG69" s="1260"/>
      <c r="AH69" s="1260"/>
      <c r="AI69" s="1260"/>
      <c r="AJ69" s="1260"/>
      <c r="AK69" s="1260"/>
      <c r="AL69" s="1260"/>
      <c r="AM69" s="1260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</row>
    <row r="70" spans="1:56" ht="12" customHeight="1">
      <c r="A70" s="1235" t="s">
        <v>381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</row>
    <row r="71" spans="1:56" ht="24" customHeight="1">
      <c r="A71" s="1236" t="str">
        <f ca="1">INDIRECT("'АКТЫ скрытых работ'!R"&amp;BE3&amp;"C11",0)</f>
        <v>Исполнительная схема №1 Монтаж контура заземления КК-0,4кВ</v>
      </c>
      <c r="B71" s="1236"/>
      <c r="C71" s="1236"/>
      <c r="D71" s="1236"/>
      <c r="E71" s="1236"/>
      <c r="F71" s="1236"/>
      <c r="G71" s="1236"/>
      <c r="H71" s="1236"/>
      <c r="I71" s="1236"/>
      <c r="J71" s="1236"/>
      <c r="K71" s="1236"/>
      <c r="L71" s="1236"/>
      <c r="M71" s="1236"/>
      <c r="N71" s="1236"/>
      <c r="O71" s="1236"/>
      <c r="P71" s="1236"/>
      <c r="Q71" s="1236"/>
      <c r="R71" s="1236"/>
      <c r="S71" s="1236"/>
      <c r="T71" s="1236"/>
      <c r="U71" s="1236"/>
      <c r="V71" s="1236"/>
      <c r="W71" s="1236"/>
      <c r="X71" s="1236"/>
      <c r="Y71" s="1236"/>
      <c r="Z71" s="1236"/>
      <c r="AA71" s="1236"/>
      <c r="AB71" s="1236"/>
      <c r="AC71" s="1236"/>
      <c r="AD71" s="1236"/>
      <c r="AE71" s="1236"/>
      <c r="AF71" s="1236"/>
      <c r="AG71" s="1236"/>
      <c r="AH71" s="1236"/>
      <c r="AI71" s="1236"/>
      <c r="AJ71" s="1236"/>
      <c r="AK71" s="1236"/>
      <c r="AL71" s="1236"/>
      <c r="AM71" s="1236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</row>
    <row r="72" spans="1:56" s="127" customFormat="1" ht="9">
      <c r="A72" s="1261" t="s">
        <v>382</v>
      </c>
      <c r="B72" s="1261"/>
      <c r="C72" s="1261"/>
      <c r="D72" s="1261"/>
      <c r="E72" s="1261"/>
      <c r="F72" s="1261"/>
      <c r="G72" s="1261"/>
      <c r="H72" s="1261"/>
      <c r="I72" s="1261"/>
      <c r="J72" s="1261"/>
      <c r="K72" s="1261"/>
      <c r="L72" s="1261"/>
      <c r="M72" s="1261"/>
      <c r="N72" s="1261"/>
      <c r="O72" s="1261"/>
      <c r="P72" s="1261"/>
      <c r="Q72" s="1261"/>
      <c r="R72" s="1261"/>
      <c r="S72" s="1261"/>
      <c r="T72" s="1261"/>
      <c r="U72" s="1261"/>
      <c r="V72" s="1261"/>
      <c r="W72" s="1261"/>
      <c r="X72" s="1261"/>
      <c r="Y72" s="1261"/>
      <c r="Z72" s="1261"/>
      <c r="AA72" s="1261"/>
      <c r="AB72" s="1261"/>
      <c r="AC72" s="1261"/>
      <c r="AD72" s="1261"/>
      <c r="AE72" s="1261"/>
      <c r="AF72" s="1261"/>
      <c r="AG72" s="1261"/>
      <c r="AH72" s="1261"/>
      <c r="AI72" s="1261"/>
      <c r="AJ72" s="1261"/>
      <c r="AK72" s="1261"/>
      <c r="AL72" s="1261"/>
      <c r="AM72" s="126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</row>
    <row r="73" spans="1:56" ht="24" customHeight="1">
      <c r="A73" s="1260" t="s">
        <v>538</v>
      </c>
      <c r="B73" s="1260"/>
      <c r="C73" s="1260"/>
      <c r="D73" s="1260"/>
      <c r="E73" s="1260"/>
      <c r="F73" s="1260"/>
      <c r="G73" s="1260"/>
      <c r="H73" s="1260"/>
      <c r="I73" s="1260"/>
      <c r="J73" s="1260"/>
      <c r="K73" s="1260"/>
      <c r="L73" s="1260"/>
      <c r="M73" s="1260"/>
      <c r="N73" s="1260"/>
      <c r="O73" s="1260"/>
      <c r="P73" s="1260"/>
      <c r="Q73" s="1260"/>
      <c r="R73" s="1260"/>
      <c r="S73" s="1260"/>
      <c r="T73" s="1260"/>
      <c r="U73" s="1260"/>
      <c r="V73" s="1260"/>
      <c r="W73" s="1260"/>
      <c r="X73" s="1260"/>
      <c r="Y73" s="1260"/>
      <c r="Z73" s="1260"/>
      <c r="AA73" s="1260"/>
      <c r="AB73" s="1260"/>
      <c r="AC73" s="1260"/>
      <c r="AD73" s="1260"/>
      <c r="AE73" s="1260"/>
      <c r="AF73" s="1260"/>
      <c r="AG73" s="1260"/>
      <c r="AH73" s="1260"/>
      <c r="AI73" s="1260"/>
      <c r="AJ73" s="1260"/>
      <c r="AK73" s="1260"/>
      <c r="AL73" s="1260"/>
      <c r="AM73" s="1260"/>
      <c r="AN73" s="1260"/>
      <c r="AO73" s="1260"/>
      <c r="AP73" s="1260"/>
      <c r="AQ73" s="1260"/>
      <c r="AR73" s="1260"/>
      <c r="AS73" s="1260"/>
      <c r="AT73" s="1260"/>
      <c r="AU73" s="1260"/>
      <c r="AV73" s="1260"/>
      <c r="AW73" s="1260"/>
      <c r="AX73" s="1260"/>
      <c r="AY73" s="1260"/>
      <c r="AZ73" s="1260"/>
    </row>
    <row r="74" spans="1:56" ht="15.75" customHeight="1">
      <c r="A74" s="1250"/>
      <c r="B74" s="1250"/>
      <c r="C74" s="1250"/>
      <c r="D74" s="1250"/>
      <c r="E74" s="1250"/>
      <c r="F74" s="1250"/>
      <c r="G74" s="1250"/>
      <c r="H74" s="1250"/>
      <c r="I74" s="1250"/>
      <c r="J74" s="1250"/>
      <c r="K74" s="1250"/>
      <c r="L74" s="1250"/>
      <c r="M74" s="1250"/>
      <c r="N74" s="1250"/>
      <c r="O74" s="1250"/>
      <c r="P74" s="1250"/>
      <c r="Q74" s="1250"/>
      <c r="R74" s="1250"/>
      <c r="S74" s="1250"/>
      <c r="T74" s="1250"/>
      <c r="U74" s="1250"/>
      <c r="V74" s="1250"/>
      <c r="W74" s="1250"/>
      <c r="X74" s="1250"/>
      <c r="Y74" s="1250"/>
      <c r="Z74" s="1250"/>
      <c r="AA74" s="1250"/>
      <c r="AB74" s="1250"/>
      <c r="AC74" s="1250"/>
      <c r="AD74" s="1250"/>
      <c r="AE74" s="1250"/>
      <c r="AF74" s="1250"/>
      <c r="AG74" s="1250"/>
      <c r="AH74" s="1250"/>
      <c r="AI74" s="1250"/>
      <c r="AJ74" s="1250"/>
      <c r="AK74" s="1250"/>
      <c r="AL74" s="1250"/>
      <c r="AM74" s="1250"/>
      <c r="AN74" s="1250"/>
      <c r="AO74" s="1250"/>
      <c r="AP74" s="1250"/>
      <c r="AQ74" s="1250"/>
      <c r="AR74" s="1250"/>
      <c r="AS74" s="1250"/>
      <c r="AT74" s="1250"/>
      <c r="AU74" s="1250"/>
      <c r="AV74" s="1250"/>
      <c r="AW74" s="1250"/>
      <c r="AX74" s="1250"/>
      <c r="AY74" s="1250"/>
      <c r="AZ74" s="1250"/>
    </row>
    <row r="75" spans="1:56" ht="9.75" customHeight="1">
      <c r="A75" s="1251" t="s">
        <v>382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42" t="s">
        <v>382</v>
      </c>
      <c r="AD77" s="1242"/>
      <c r="AE77" s="1242"/>
      <c r="AF77" s="1242"/>
      <c r="AG77" s="1242"/>
      <c r="AH77" s="1242"/>
      <c r="AI77" s="1242"/>
      <c r="AJ77" s="1242"/>
      <c r="AK77" s="1242"/>
      <c r="AL77" s="1242"/>
      <c r="AM77" s="1242"/>
      <c r="AN77" s="1242"/>
      <c r="AO77" s="1242"/>
      <c r="AP77" s="1242"/>
      <c r="AQ77" s="1242"/>
      <c r="AR77" s="1242"/>
      <c r="AS77" s="1242"/>
      <c r="AT77" s="1242"/>
      <c r="AU77" s="1242"/>
      <c r="AV77" s="1242"/>
      <c r="AW77" s="1242"/>
      <c r="AX77" s="1242"/>
      <c r="AY77" s="1242"/>
      <c r="AZ77" s="1242"/>
    </row>
    <row r="78" spans="1:56">
      <c r="A78" s="1235" t="s">
        <v>539</v>
      </c>
      <c r="B78" s="1235"/>
      <c r="C78" s="1235"/>
      <c r="D78" s="1235"/>
      <c r="E78" s="1235"/>
      <c r="G78" s="1248" t="s">
        <v>527</v>
      </c>
      <c r="H78" s="1248"/>
      <c r="I78" s="1248"/>
      <c r="J78" s="1248"/>
      <c r="K78" s="1248"/>
      <c r="L78" s="1248"/>
      <c r="M78" s="1248"/>
      <c r="N78" s="1248"/>
      <c r="O78" s="1248"/>
      <c r="P78" s="1248"/>
      <c r="Q78" s="8"/>
      <c r="R78" s="103" t="s">
        <v>76</v>
      </c>
      <c r="S78" s="1243" t="str">
        <f ca="1">INDIRECT("'АКТЫ скрытых работ'!R"&amp;BE3&amp;"C4",0)</f>
        <v>07</v>
      </c>
      <c r="T78" s="1243"/>
      <c r="U78" s="1243"/>
      <c r="V78" s="103" t="s">
        <v>77</v>
      </c>
      <c r="W78" s="1244" t="str">
        <f ca="1">INDIRECT("'АКТЫ скрытых работ'!R"&amp;BE3&amp;"C5",0)</f>
        <v>ноября</v>
      </c>
      <c r="X78" s="1244"/>
      <c r="Y78" s="1244"/>
      <c r="Z78" s="1244"/>
      <c r="AA78" s="1244"/>
      <c r="AB78" s="1244"/>
      <c r="AC78" s="1244"/>
      <c r="AE78" s="1246">
        <f ca="1">INDIRECT("'АКТЫ скрытых работ'!R"&amp;BE3&amp;"C6",0)</f>
        <v>2024</v>
      </c>
      <c r="AF78" s="1246"/>
      <c r="AG78" s="1246"/>
      <c r="AH78" s="1246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5" t="s">
        <v>89</v>
      </c>
      <c r="H79" s="1235"/>
      <c r="I79" s="1235"/>
      <c r="J79" s="1235"/>
      <c r="K79" s="1235"/>
      <c r="L79" s="1235"/>
      <c r="M79" s="1235"/>
      <c r="N79" s="1235"/>
      <c r="O79" s="1235"/>
      <c r="P79" s="1235"/>
      <c r="Q79" s="8"/>
      <c r="R79" s="103" t="s">
        <v>76</v>
      </c>
      <c r="S79" s="1243" t="str">
        <f ca="1">INDIRECT("'АКТЫ скрытых работ'!R"&amp;BE3&amp;"C7",0)</f>
        <v>07</v>
      </c>
      <c r="T79" s="1243"/>
      <c r="U79" s="1243"/>
      <c r="V79" s="103" t="s">
        <v>77</v>
      </c>
      <c r="W79" s="1245" t="str">
        <f ca="1">INDIRECT("'АКТЫ скрытых работ'!R"&amp;BE3&amp;"C8",0)</f>
        <v>ноября</v>
      </c>
      <c r="X79" s="1245"/>
      <c r="Y79" s="1245"/>
      <c r="Z79" s="1245"/>
      <c r="AA79" s="1245"/>
      <c r="AB79" s="1245"/>
      <c r="AC79" s="1245"/>
      <c r="AE79" s="1247">
        <f ca="1">INDIRECT("'АКТЫ скрытых работ'!R"&amp;BE3&amp;"C9",0)</f>
        <v>2024</v>
      </c>
      <c r="AF79" s="1247"/>
      <c r="AG79" s="1247"/>
      <c r="AH79" s="1247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49" t="s">
        <v>540</v>
      </c>
      <c r="B81" s="1249"/>
      <c r="C81" s="1249"/>
      <c r="D81" s="1249"/>
      <c r="E81" s="1249"/>
      <c r="F81" s="1249"/>
      <c r="G81" s="1249"/>
      <c r="H81" s="1249"/>
      <c r="I81" s="1249"/>
      <c r="J81" s="1249"/>
      <c r="K81" s="1249"/>
      <c r="L81" s="1249"/>
      <c r="M81" s="1249"/>
      <c r="N81" s="1249"/>
      <c r="O81" s="1249"/>
      <c r="P81" s="1249"/>
      <c r="Q81" s="1249"/>
      <c r="R81" s="1249"/>
      <c r="S81" s="1249"/>
      <c r="T81" s="1249"/>
      <c r="U81" s="1249"/>
      <c r="V81" s="1249"/>
      <c r="W81" s="1249"/>
      <c r="X81" s="1249"/>
      <c r="Y81" s="1249"/>
      <c r="Z81" s="1249"/>
      <c r="AA81" s="1249"/>
      <c r="AB81" s="1249"/>
      <c r="AC81" s="1249"/>
      <c r="AD81" s="1249"/>
      <c r="AE81" s="1249"/>
      <c r="AF81" s="1249"/>
      <c r="AG81" s="1249"/>
      <c r="AH81" s="1249"/>
      <c r="AI81" s="1249"/>
      <c r="AJ81" s="1249"/>
      <c r="AK81" s="1249"/>
      <c r="AL81" s="1249"/>
      <c r="AM81" s="1249"/>
      <c r="AN81" s="1249"/>
      <c r="AO81" s="1249"/>
      <c r="AP81" s="1249"/>
      <c r="AQ81" s="1249"/>
      <c r="AR81" s="1249"/>
      <c r="AS81" s="1249"/>
      <c r="AT81" s="1249"/>
      <c r="AU81" s="1249"/>
      <c r="AV81" s="1249"/>
      <c r="AW81" s="1249"/>
      <c r="AX81" s="1249"/>
      <c r="AY81" s="1249"/>
      <c r="AZ81" s="1249"/>
    </row>
    <row r="82" spans="1:54">
      <c r="A82" s="124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41"/>
      <c r="C82" s="1241"/>
      <c r="D82" s="1241"/>
      <c r="E82" s="1241"/>
      <c r="F82" s="1241"/>
      <c r="G82" s="1241"/>
      <c r="H82" s="1241"/>
      <c r="I82" s="1241"/>
      <c r="J82" s="1241"/>
      <c r="K82" s="1241"/>
      <c r="L82" s="1241"/>
      <c r="M82" s="1241"/>
      <c r="N82" s="1241"/>
      <c r="O82" s="1241"/>
      <c r="P82" s="1241"/>
      <c r="Q82" s="1241"/>
      <c r="R82" s="1241"/>
      <c r="S82" s="1241"/>
      <c r="T82" s="1241"/>
      <c r="U82" s="1241"/>
      <c r="V82" s="1241"/>
      <c r="W82" s="1241"/>
      <c r="X82" s="1241"/>
      <c r="Y82" s="1241"/>
      <c r="Z82" s="1241"/>
      <c r="AA82" s="1241"/>
      <c r="AB82" s="1241"/>
      <c r="AC82" s="1241"/>
      <c r="AD82" s="1241"/>
      <c r="AE82" s="1241"/>
      <c r="AF82" s="1241"/>
      <c r="AG82" s="1241"/>
      <c r="AH82" s="1241"/>
      <c r="AI82" s="1241"/>
      <c r="AJ82" s="1241"/>
      <c r="AK82" s="1241"/>
      <c r="AL82" s="1241"/>
      <c r="AM82" s="1241"/>
      <c r="AN82" s="1241"/>
      <c r="AO82" s="1241"/>
      <c r="AP82" s="1241"/>
      <c r="AQ82" s="1241"/>
      <c r="AR82" s="1241"/>
      <c r="AS82" s="1241"/>
      <c r="AT82" s="1241"/>
      <c r="AU82" s="1241"/>
      <c r="AV82" s="1241"/>
      <c r="AW82" s="1241"/>
      <c r="AX82" s="1241"/>
      <c r="AY82" s="1241"/>
      <c r="AZ82" s="1241"/>
    </row>
    <row r="83" spans="1:54" s="127" customFormat="1" ht="10.5" customHeight="1">
      <c r="A83" s="1239" t="s">
        <v>541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39"/>
      <c r="AA83" s="1239"/>
      <c r="AB83" s="1239"/>
      <c r="AC83" s="1239"/>
      <c r="AD83" s="1239"/>
      <c r="AE83" s="1239"/>
      <c r="AF83" s="1239"/>
      <c r="AG83" s="1239"/>
      <c r="AH83" s="1239"/>
      <c r="AI83" s="1239"/>
      <c r="AJ83" s="1239"/>
      <c r="AK83" s="1239"/>
      <c r="AL83" s="1239"/>
      <c r="AM83" s="1239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</row>
    <row r="84" spans="1:54" ht="12" customHeight="1">
      <c r="A84" s="1235" t="s">
        <v>384</v>
      </c>
      <c r="B84" s="1235"/>
      <c r="C84" s="1235"/>
      <c r="D84" s="1235"/>
      <c r="E84" s="1235"/>
      <c r="F84" s="1235"/>
      <c r="G84" s="1235"/>
      <c r="H84" s="1235"/>
      <c r="I84" s="1235"/>
      <c r="J84" s="1235"/>
      <c r="K84" s="1235"/>
      <c r="L84" s="1235"/>
      <c r="M84" s="1235"/>
      <c r="N84" s="1235"/>
      <c r="O84" s="1235"/>
      <c r="P84" s="1235"/>
      <c r="Q84" s="1235"/>
      <c r="R84" s="1235"/>
      <c r="S84" s="1235"/>
      <c r="T84" s="1235"/>
      <c r="U84" s="1235"/>
      <c r="V84" s="1235"/>
      <c r="W84" s="1235"/>
      <c r="X84" s="1235"/>
      <c r="Y84" s="1235"/>
      <c r="Z84" s="1235"/>
      <c r="AA84" s="1235"/>
      <c r="AB84" s="1235"/>
      <c r="AC84" s="1235"/>
      <c r="AD84" s="1235"/>
      <c r="AE84" s="1235"/>
      <c r="AF84" s="1235"/>
      <c r="AG84" s="1235"/>
      <c r="AH84" s="1235"/>
      <c r="AI84" s="1235"/>
      <c r="AJ84" s="1235"/>
      <c r="AK84" s="1235"/>
      <c r="AL84" s="1235"/>
      <c r="AM84" s="1235"/>
      <c r="AN84" s="1235"/>
      <c r="AO84" s="1235"/>
      <c r="AP84" s="1235"/>
      <c r="AQ84" s="1235"/>
      <c r="AR84" s="1235"/>
      <c r="AS84" s="1235"/>
      <c r="AT84" s="1235"/>
      <c r="AU84" s="1235"/>
      <c r="AV84" s="1235"/>
      <c r="AW84" s="1235"/>
      <c r="AX84" s="1235"/>
      <c r="AY84" s="1235"/>
      <c r="AZ84" s="1235"/>
      <c r="BA84" s="31"/>
    </row>
    <row r="85" spans="1:54" ht="12" customHeight="1">
      <c r="A85" s="1235" t="s">
        <v>385</v>
      </c>
      <c r="B85" s="1235"/>
      <c r="C85" s="1235"/>
      <c r="D85" s="1235"/>
      <c r="E85" s="1235"/>
      <c r="F85" s="1235"/>
      <c r="G85" s="1235"/>
      <c r="H85" s="1235"/>
      <c r="I85" s="1235"/>
      <c r="J85" s="1235"/>
      <c r="K85" s="1235"/>
      <c r="L85" s="1235"/>
      <c r="M85" s="1235"/>
      <c r="N85" s="1235"/>
      <c r="O85" s="1235"/>
      <c r="P85" s="1235"/>
      <c r="Q85" s="1235"/>
      <c r="R85" s="1235"/>
      <c r="S85" s="1235"/>
      <c r="T85" s="1235"/>
      <c r="U85" s="1235"/>
      <c r="V85" s="1235"/>
      <c r="W85" s="1235"/>
      <c r="X85" s="1235"/>
      <c r="Y85" s="1235"/>
      <c r="Z85" s="1235"/>
      <c r="AA85" s="1235"/>
      <c r="AB85" s="1235"/>
      <c r="AC85" s="1235"/>
      <c r="AD85" s="1235"/>
      <c r="AE85" s="1235"/>
      <c r="AF85" s="1231" t="s">
        <v>386</v>
      </c>
      <c r="AG85" s="1231"/>
      <c r="AH85" s="1231"/>
      <c r="AI85" s="1231"/>
      <c r="AJ85" s="1231"/>
      <c r="AK85" s="1231"/>
      <c r="AL85" s="1231"/>
      <c r="AM85" s="1231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416" t="s">
        <v>387</v>
      </c>
      <c r="BA85" s="9"/>
    </row>
    <row r="86" spans="1:54" ht="12" customHeight="1">
      <c r="A86" s="1235" t="s">
        <v>542</v>
      </c>
      <c r="B86" s="1235"/>
      <c r="C86" s="1235"/>
      <c r="D86" s="1235"/>
      <c r="E86" s="1235"/>
      <c r="F86" s="1235"/>
      <c r="G86" s="1235"/>
      <c r="H86" s="1235"/>
      <c r="I86" s="1235"/>
      <c r="J86" s="1235"/>
      <c r="K86" s="1235"/>
      <c r="L86" s="1235"/>
      <c r="M86" s="1235"/>
      <c r="N86" s="1235"/>
      <c r="O86" s="1235"/>
      <c r="P86" s="1235"/>
      <c r="Q86" s="1235"/>
      <c r="R86" s="1235"/>
      <c r="S86" s="1235"/>
      <c r="T86" s="1235"/>
      <c r="U86" s="1235"/>
      <c r="V86" s="1235"/>
      <c r="W86" s="1235"/>
      <c r="X86" s="1235"/>
      <c r="Y86" s="1235"/>
      <c r="Z86" s="1235"/>
      <c r="AA86" s="1235"/>
      <c r="AB86" s="1235"/>
      <c r="AC86" s="1235"/>
      <c r="AD86" s="1235"/>
      <c r="AE86" s="1235"/>
      <c r="AF86" s="1235"/>
      <c r="AG86" s="1235"/>
      <c r="AH86" s="1235"/>
      <c r="AI86" s="1235"/>
      <c r="AJ86" s="1235"/>
      <c r="AK86" s="1235"/>
      <c r="AL86" s="1235"/>
      <c r="AM86" s="1235"/>
      <c r="AN86" s="1235"/>
      <c r="AO86" s="1235"/>
      <c r="AP86" s="1235"/>
      <c r="AQ86" s="1235"/>
      <c r="AR86" s="1235"/>
      <c r="AS86" s="1235"/>
      <c r="AT86" s="1230"/>
      <c r="AU86" s="1230"/>
      <c r="AV86" s="1230"/>
      <c r="AW86" s="1230"/>
      <c r="AX86" s="1230"/>
      <c r="AY86" s="418" t="s">
        <v>388</v>
      </c>
      <c r="AZ86" s="418"/>
      <c r="BA86" s="9"/>
    </row>
    <row r="87" spans="1:54" ht="12" customHeight="1">
      <c r="A87" s="1235" t="s">
        <v>543</v>
      </c>
      <c r="B87" s="1235"/>
      <c r="C87" s="1235"/>
      <c r="D87" s="1235"/>
      <c r="E87" s="1235"/>
      <c r="F87" s="1235"/>
      <c r="G87" s="1235"/>
      <c r="H87" s="1235"/>
      <c r="I87" s="1235"/>
      <c r="J87" s="1235"/>
      <c r="K87" s="1235"/>
      <c r="L87" s="1235"/>
      <c r="M87" s="1235"/>
      <c r="N87" s="1235"/>
      <c r="O87" s="1235"/>
      <c r="P87" s="1235"/>
      <c r="Q87" s="1235"/>
      <c r="R87" s="1235"/>
      <c r="S87" s="1235"/>
      <c r="T87" s="1235"/>
      <c r="U87" s="1235"/>
      <c r="V87" s="1235"/>
      <c r="W87" s="1235"/>
      <c r="X87" s="1235"/>
      <c r="Y87" s="1235"/>
      <c r="Z87" s="1235"/>
      <c r="AA87" s="1235"/>
      <c r="AB87" s="1235"/>
      <c r="AC87" s="1235"/>
      <c r="AD87" s="1235"/>
      <c r="AE87" s="1235"/>
      <c r="AF87" s="1235"/>
      <c r="AG87" s="1235"/>
      <c r="AH87" s="1235"/>
      <c r="AI87" s="1235"/>
      <c r="AJ87" s="1235"/>
      <c r="AK87" s="1235"/>
      <c r="AL87" s="1235"/>
      <c r="AM87" s="1235"/>
      <c r="AN87" s="1235"/>
      <c r="AO87" s="1235"/>
      <c r="AP87" s="1235"/>
      <c r="AQ87" s="1235"/>
      <c r="AR87" s="1235"/>
      <c r="AS87" s="1235"/>
      <c r="AT87" s="1235"/>
      <c r="AU87" s="1235"/>
      <c r="AV87" s="1235"/>
      <c r="AW87" s="1235"/>
      <c r="AX87" s="1235"/>
      <c r="AY87" s="1235"/>
      <c r="AZ87" s="1235"/>
      <c r="BA87" s="9"/>
    </row>
    <row r="88" spans="1:54" ht="12" customHeight="1">
      <c r="A88" s="1235" t="s">
        <v>544</v>
      </c>
      <c r="B88" s="1235"/>
      <c r="C88" s="1235"/>
      <c r="D88" s="1235"/>
      <c r="E88" s="1235"/>
      <c r="F88" s="1235"/>
      <c r="G88" s="1235"/>
      <c r="H88" s="1235"/>
      <c r="I88" s="1235"/>
      <c r="J88" s="1235"/>
      <c r="K88" s="1235"/>
      <c r="L88" s="1235"/>
      <c r="M88" s="1235"/>
      <c r="N88" s="1235"/>
      <c r="O88" s="1235"/>
      <c r="P88" s="1235"/>
      <c r="Q88" s="1235"/>
      <c r="R88" s="1235"/>
      <c r="S88" s="1235"/>
      <c r="T88" s="1235"/>
      <c r="U88" s="1235"/>
      <c r="V88" s="1235"/>
      <c r="W88" s="1235"/>
      <c r="X88" s="1235"/>
      <c r="Y88" s="1235"/>
      <c r="Z88" s="1235"/>
      <c r="AA88" s="1235"/>
      <c r="AB88" s="1235"/>
      <c r="AC88" s="1235"/>
      <c r="AD88" s="1235"/>
      <c r="AE88" s="1235"/>
      <c r="AF88" s="1235"/>
      <c r="AG88" s="1235"/>
      <c r="AH88" s="1235"/>
      <c r="AI88" s="1235"/>
      <c r="AJ88" s="1235"/>
      <c r="AK88" s="1235"/>
      <c r="AL88" s="1235"/>
      <c r="AM88" s="1235"/>
      <c r="AN88" s="1235"/>
      <c r="AO88" s="1235"/>
      <c r="AP88" s="1235"/>
      <c r="AQ88" s="1235"/>
      <c r="AR88" s="1235"/>
      <c r="AS88" s="1235"/>
      <c r="AT88" s="1235"/>
      <c r="AU88" s="1235"/>
      <c r="AV88" s="1235"/>
      <c r="AW88" s="1235"/>
      <c r="AX88" s="1235"/>
      <c r="AY88" s="1235"/>
      <c r="AZ88" s="1235"/>
      <c r="BA88" s="9"/>
    </row>
    <row r="89" spans="1:54" ht="12" customHeight="1">
      <c r="A89" s="1231"/>
      <c r="B89" s="1231"/>
      <c r="C89" s="1231"/>
      <c r="D89" s="1231"/>
      <c r="E89" s="1231"/>
      <c r="F89" s="1231"/>
      <c r="G89" s="1231"/>
      <c r="H89" s="1231"/>
      <c r="I89" s="1231"/>
      <c r="J89" s="1231"/>
      <c r="K89" s="1231"/>
      <c r="L89" s="1231"/>
      <c r="M89" s="1231"/>
      <c r="N89" s="1231"/>
      <c r="O89" s="1231"/>
      <c r="P89" s="1231"/>
      <c r="Q89" s="1231"/>
      <c r="R89" s="1231"/>
      <c r="S89" s="1231"/>
      <c r="T89" s="1231"/>
      <c r="U89" s="1231"/>
      <c r="V89" s="1231"/>
      <c r="W89" s="1231"/>
      <c r="X89" s="1231"/>
      <c r="Y89" s="1231"/>
      <c r="Z89" s="1231"/>
      <c r="AA89" s="1231"/>
      <c r="AB89" s="1231"/>
      <c r="AC89" s="1231"/>
      <c r="AD89" s="1231"/>
      <c r="AE89" s="1231"/>
      <c r="AF89" s="1231"/>
      <c r="AG89" s="1231"/>
      <c r="AH89" s="1231"/>
      <c r="AI89" s="1231"/>
      <c r="AJ89" s="1231"/>
      <c r="AK89" s="1231"/>
      <c r="AL89" s="1231"/>
      <c r="AM89" s="1231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9"/>
    </row>
    <row r="90" spans="1:54" ht="12" customHeight="1">
      <c r="A90" s="1232" t="s">
        <v>545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1232"/>
      <c r="AA90" s="1232"/>
      <c r="AB90" s="1232"/>
      <c r="AC90" s="1232"/>
      <c r="AD90" s="1232"/>
      <c r="AE90" s="1232"/>
      <c r="AF90" s="1232"/>
      <c r="AG90" s="1232"/>
      <c r="AH90" s="1232"/>
      <c r="AI90" s="1232"/>
      <c r="AJ90" s="1232"/>
      <c r="AK90" s="1232"/>
      <c r="AL90" s="1232"/>
      <c r="AM90" s="1232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9"/>
    </row>
    <row r="91" spans="1:54" ht="12" customHeight="1">
      <c r="A91" s="1228" t="str">
        <f ca="1">INDIRECT("'АКТЫ скрытых работ'!R"&amp;BE3&amp;"C13",0)</f>
        <v>Огрунтовка и окраска сварных соединений</v>
      </c>
      <c r="B91" s="1228"/>
      <c r="C91" s="1228"/>
      <c r="D91" s="1228"/>
      <c r="E91" s="1228"/>
      <c r="F91" s="1228"/>
      <c r="G91" s="1228"/>
      <c r="H91" s="1228"/>
      <c r="I91" s="1228"/>
      <c r="J91" s="1228"/>
      <c r="K91" s="1228"/>
      <c r="L91" s="1228"/>
      <c r="M91" s="1228"/>
      <c r="N91" s="1228"/>
      <c r="O91" s="1228"/>
      <c r="P91" s="1228"/>
      <c r="Q91" s="1228"/>
      <c r="R91" s="1228"/>
      <c r="S91" s="1228"/>
      <c r="T91" s="1228"/>
      <c r="U91" s="1228"/>
      <c r="V91" s="1228"/>
      <c r="W91" s="1228"/>
      <c r="X91" s="1228"/>
      <c r="Y91" s="1228"/>
      <c r="Z91" s="1228"/>
      <c r="AA91" s="1228"/>
      <c r="AB91" s="1228"/>
      <c r="AC91" s="1228"/>
      <c r="AD91" s="1228"/>
      <c r="AE91" s="1228"/>
      <c r="AF91" s="1228"/>
      <c r="AG91" s="1228"/>
      <c r="AH91" s="1228"/>
      <c r="AI91" s="1228"/>
      <c r="AJ91" s="1228"/>
      <c r="AK91" s="1228"/>
      <c r="AL91" s="1228"/>
      <c r="AM91" s="1228"/>
      <c r="AN91" s="1228"/>
      <c r="AO91" s="1228"/>
      <c r="AP91" s="1228"/>
      <c r="AQ91" s="1228"/>
      <c r="AR91" s="1228"/>
      <c r="AS91" s="1228"/>
      <c r="AT91" s="1228"/>
      <c r="AU91" s="1228"/>
      <c r="AV91" s="1228"/>
      <c r="AW91" s="1228"/>
      <c r="AX91" s="1228"/>
      <c r="AY91" s="1228"/>
      <c r="AZ91" s="1228"/>
      <c r="BA91" s="9"/>
    </row>
    <row r="92" spans="1:54" s="127" customFormat="1" ht="8.25" customHeight="1">
      <c r="A92" s="1229" t="s">
        <v>389</v>
      </c>
      <c r="B92" s="1229"/>
      <c r="C92" s="1229"/>
      <c r="D92" s="1229"/>
      <c r="E92" s="1229"/>
      <c r="F92" s="1229"/>
      <c r="G92" s="1229"/>
      <c r="H92" s="1229"/>
      <c r="I92" s="1229"/>
      <c r="J92" s="1229"/>
      <c r="K92" s="1229"/>
      <c r="L92" s="1229"/>
      <c r="M92" s="1229"/>
      <c r="N92" s="1229"/>
      <c r="O92" s="1229"/>
      <c r="P92" s="1229"/>
      <c r="Q92" s="1229"/>
      <c r="R92" s="1229"/>
      <c r="S92" s="1229"/>
      <c r="T92" s="1229"/>
      <c r="U92" s="1229"/>
      <c r="V92" s="1229"/>
      <c r="W92" s="1229"/>
      <c r="X92" s="1229"/>
      <c r="Y92" s="1229"/>
      <c r="Z92" s="1229"/>
      <c r="AA92" s="1229"/>
      <c r="AB92" s="1229"/>
      <c r="AC92" s="1229"/>
      <c r="AD92" s="1229"/>
      <c r="AE92" s="1229"/>
      <c r="AF92" s="1229"/>
      <c r="AG92" s="1229"/>
      <c r="AH92" s="1229"/>
      <c r="AI92" s="1229"/>
      <c r="AJ92" s="1229"/>
      <c r="AK92" s="1229"/>
      <c r="AL92" s="1229"/>
      <c r="AM92" s="1229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37"/>
    </row>
    <row r="93" spans="1:54" s="138" customFormat="1" ht="12" customHeight="1">
      <c r="A93" s="1233" t="s">
        <v>86</v>
      </c>
      <c r="B93" s="1233"/>
      <c r="C93" s="1233"/>
      <c r="D93" s="1233"/>
      <c r="E93" s="1233"/>
      <c r="F93" s="1233"/>
      <c r="G93" s="1233"/>
      <c r="H93" s="1233"/>
      <c r="I93" s="1233"/>
      <c r="J93" s="1233"/>
      <c r="K93" s="1233"/>
      <c r="L93" s="1233"/>
      <c r="M93" s="1233"/>
      <c r="N93" s="1233"/>
      <c r="O93" s="1233"/>
      <c r="P93" s="1234" t="s">
        <v>65</v>
      </c>
      <c r="Q93" s="1234"/>
      <c r="R93" s="1234"/>
      <c r="S93" s="1234"/>
      <c r="T93" s="1234"/>
      <c r="U93" s="1234"/>
      <c r="V93" s="1234"/>
      <c r="W93" s="1234"/>
      <c r="X93" s="1234"/>
      <c r="Y93" s="1234"/>
      <c r="Z93" s="1234"/>
      <c r="AA93" s="1234"/>
      <c r="AB93" s="1234"/>
      <c r="AC93" s="1234"/>
      <c r="AD93" s="1234"/>
      <c r="AE93" s="1234"/>
      <c r="AF93" s="1234"/>
      <c r="AG93" s="1234"/>
      <c r="AH93" s="1234"/>
      <c r="AI93" s="1234"/>
      <c r="AJ93" s="1234"/>
      <c r="AK93" s="1234"/>
      <c r="AL93" s="1234"/>
      <c r="AM93" s="1234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</row>
    <row r="94" spans="1:54" ht="12" customHeight="1">
      <c r="A94" s="416" t="s">
        <v>90</v>
      </c>
      <c r="J94" s="1228">
        <f>ФОРМА!F5</f>
        <v>2</v>
      </c>
      <c r="K94" s="1228"/>
      <c r="L94" s="1228"/>
      <c r="M94" s="419"/>
      <c r="N94" s="416" t="s">
        <v>91</v>
      </c>
      <c r="O94" s="419"/>
      <c r="R94" s="416"/>
    </row>
    <row r="95" spans="1:54" ht="35.25" customHeight="1">
      <c r="A95" s="1235" t="s">
        <v>87</v>
      </c>
      <c r="B95" s="1235"/>
      <c r="C95" s="1235"/>
      <c r="D95" s="1235"/>
      <c r="E95" s="1235"/>
      <c r="F95" s="1235"/>
      <c r="G95" s="1235"/>
      <c r="H95" s="1236" t="str">
        <f ca="1">CONCATENATE(INDIRECT("'АКТЫ скрытых работ'!R"&amp;BE3&amp;"C11",0),", ",INDIRECT("'АКТЫ скрытых работ'!R"&amp;BE3&amp;"C14",0))</f>
        <v>Исполнительная схема №1 Монтаж контура заземления КК-0,4кВ, Сертифика качества №000035072 от 04.06.2023; Электроды сварочные ОК-46, состав C 0,07-0,15%, Mn 0,9-1,2%, Si P ≤0,030%, S ≤0,030%, Ni ≤0,30%, Cr ≤0,20%, Mo ≤0,30%</v>
      </c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</row>
    <row r="96" spans="1:54" ht="24" customHeight="1">
      <c r="A96" s="1227" t="s">
        <v>546</v>
      </c>
      <c r="B96" s="1227"/>
      <c r="C96" s="1227"/>
      <c r="D96" s="1227"/>
      <c r="E96" s="1227"/>
      <c r="F96" s="1227"/>
      <c r="G96" s="1227"/>
      <c r="H96" s="1227"/>
      <c r="I96" s="1227"/>
      <c r="J96" s="1227"/>
      <c r="K96" s="1227"/>
      <c r="L96" s="1227"/>
      <c r="M96" s="1227"/>
      <c r="N96" s="1227"/>
      <c r="O96" s="1227"/>
      <c r="P96" s="1227"/>
      <c r="Q96" s="1227"/>
      <c r="R96" s="1227"/>
      <c r="S96" s="1227"/>
      <c r="T96" s="1227"/>
      <c r="U96" s="1227"/>
      <c r="V96" s="1227"/>
      <c r="W96" s="1227"/>
      <c r="X96" s="1227"/>
      <c r="Y96" s="1227"/>
      <c r="Z96" s="1227"/>
      <c r="AA96" s="1227"/>
      <c r="AB96" s="1227"/>
      <c r="AC96" s="1227"/>
      <c r="AD96" s="1227"/>
      <c r="AE96" s="1227"/>
      <c r="AF96" s="1227"/>
      <c r="AG96" s="1227"/>
      <c r="AH96" s="1227"/>
      <c r="AI96" s="1227"/>
      <c r="AJ96" s="1227"/>
      <c r="AK96" s="1227"/>
      <c r="AL96" s="1227"/>
      <c r="AM96" s="1227"/>
      <c r="AN96" s="1227"/>
      <c r="AO96" s="1227"/>
      <c r="AP96" s="1227"/>
      <c r="AQ96" s="1227"/>
      <c r="AR96" s="1227"/>
      <c r="AS96" s="1227"/>
      <c r="AT96" s="1227"/>
      <c r="AU96" s="1227"/>
      <c r="AV96" s="1227"/>
      <c r="AW96" s="1227"/>
      <c r="AX96" s="1227"/>
      <c r="AY96" s="1227"/>
      <c r="AZ96" s="1227"/>
      <c r="BA96" s="420"/>
      <c r="BB96" s="420"/>
    </row>
    <row r="97" spans="1:54" ht="16.5" customHeight="1">
      <c r="A97" s="1090" t="str">
        <f>ПОДПИСИ!D6</f>
        <v>Чечин Д.М.</v>
      </c>
      <c r="B97" s="1090"/>
      <c r="C97" s="1090"/>
      <c r="D97" s="1090"/>
      <c r="E97" s="1090"/>
      <c r="F97" s="1090"/>
      <c r="G97" s="1090"/>
      <c r="H97" s="1090"/>
      <c r="I97" s="1090"/>
      <c r="J97" s="1090"/>
      <c r="K97" s="1090"/>
      <c r="L97" s="1090"/>
      <c r="M97" s="1090"/>
      <c r="N97" s="1090"/>
      <c r="O97" s="1090"/>
      <c r="P97" s="1090"/>
      <c r="Q97" s="1090"/>
      <c r="R97" s="1090"/>
      <c r="S97" s="1090"/>
      <c r="T97" s="1090"/>
      <c r="U97" s="1090"/>
      <c r="V97" s="109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</row>
    <row r="98" spans="1:54" s="494" customFormat="1" ht="6" customHeight="1">
      <c r="A98" s="1226" t="s">
        <v>799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26" t="s">
        <v>49</v>
      </c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</row>
    <row r="99" spans="1:54" s="494" customFormat="1" ht="23.5" customHeight="1">
      <c r="A99" s="1090" t="str">
        <f>IF(ПОДПИСИ!B10="","",ПОДПИСИ!D10)</f>
        <v>Величко А.А.</v>
      </c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</row>
    <row r="100" spans="1:54" s="494" customFormat="1" ht="6" customHeight="1">
      <c r="A100" s="1226" t="s">
        <v>799</v>
      </c>
      <c r="B100" s="1226"/>
      <c r="C100" s="1226"/>
      <c r="D100" s="1226"/>
      <c r="E100" s="1226"/>
      <c r="F100" s="1226"/>
      <c r="G100" s="1226"/>
      <c r="H100" s="1226"/>
      <c r="I100" s="1226"/>
      <c r="J100" s="1226"/>
      <c r="K100" s="1226"/>
      <c r="L100" s="1226"/>
      <c r="M100" s="1226"/>
      <c r="N100" s="1226"/>
      <c r="O100" s="1226"/>
      <c r="P100" s="1226"/>
      <c r="Q100" s="1226"/>
      <c r="R100" s="1226"/>
      <c r="S100" s="1226"/>
      <c r="T100" s="1226"/>
      <c r="U100" s="1226"/>
      <c r="V100" s="1226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26" t="s">
        <v>49</v>
      </c>
      <c r="AQ100" s="1226"/>
      <c r="AR100" s="1226"/>
      <c r="AS100" s="1226"/>
      <c r="AT100" s="1226"/>
      <c r="AU100" s="1226"/>
      <c r="AV100" s="1226"/>
      <c r="AW100" s="1226"/>
      <c r="AX100" s="1226"/>
      <c r="AY100" s="1226"/>
      <c r="AZ100" s="1226"/>
    </row>
    <row r="101" spans="1:54" ht="15" customHeight="1">
      <c r="A101" s="1227" t="s">
        <v>783</v>
      </c>
      <c r="B101" s="1227"/>
      <c r="C101" s="1227"/>
      <c r="D101" s="1227"/>
      <c r="E101" s="1227"/>
      <c r="F101" s="1227"/>
      <c r="G101" s="1227"/>
      <c r="H101" s="1227"/>
      <c r="I101" s="1227"/>
      <c r="J101" s="1227"/>
      <c r="K101" s="1227"/>
      <c r="L101" s="1227"/>
      <c r="M101" s="1227"/>
      <c r="N101" s="1227"/>
      <c r="O101" s="1227"/>
      <c r="P101" s="1227"/>
      <c r="Q101" s="1227"/>
      <c r="R101" s="1227"/>
      <c r="S101" s="1227"/>
      <c r="T101" s="1227"/>
      <c r="U101" s="1227"/>
      <c r="V101" s="1227"/>
      <c r="W101" s="1227"/>
      <c r="X101" s="1227"/>
      <c r="Y101" s="1227"/>
      <c r="Z101" s="1227"/>
      <c r="AA101" s="1227"/>
      <c r="AB101" s="1227"/>
      <c r="AC101" s="1227"/>
      <c r="AD101" s="1227"/>
      <c r="AE101" s="1227"/>
      <c r="AF101" s="1227"/>
      <c r="AG101" s="1227"/>
      <c r="AH101" s="1227"/>
      <c r="AI101" s="1227"/>
      <c r="AJ101" s="1227"/>
      <c r="AK101" s="1227"/>
      <c r="AL101" s="1227"/>
      <c r="AM101" s="1227"/>
      <c r="AN101" s="1227"/>
      <c r="AO101" s="1227"/>
      <c r="AP101" s="1227"/>
      <c r="AQ101" s="1227"/>
      <c r="AR101" s="1227"/>
      <c r="AS101" s="1227"/>
      <c r="AT101" s="1227"/>
      <c r="AU101" s="1227"/>
      <c r="AV101" s="1227"/>
      <c r="AW101" s="1227"/>
      <c r="AX101" s="1227"/>
      <c r="AY101" s="1227"/>
      <c r="AZ101" s="1227"/>
      <c r="BA101" s="420"/>
      <c r="BB101" s="420"/>
    </row>
    <row r="102" spans="1:54" ht="16.5" customHeight="1">
      <c r="A102" s="1090" t="str">
        <f>ПОДПИСИ!D15</f>
        <v>Матвеев А.С.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  <c r="BA102" s="351"/>
      <c r="BB102" s="351"/>
    </row>
    <row r="103" spans="1:54" s="494" customFormat="1" ht="6" customHeight="1">
      <c r="A103" s="1226" t="s">
        <v>799</v>
      </c>
      <c r="B103" s="1226"/>
      <c r="C103" s="1226"/>
      <c r="D103" s="1226"/>
      <c r="E103" s="1226"/>
      <c r="F103" s="1226"/>
      <c r="G103" s="1226"/>
      <c r="H103" s="1226"/>
      <c r="I103" s="1226"/>
      <c r="J103" s="1226"/>
      <c r="K103" s="1226"/>
      <c r="L103" s="1226"/>
      <c r="M103" s="1226"/>
      <c r="N103" s="1226"/>
      <c r="O103" s="1226"/>
      <c r="P103" s="1226"/>
      <c r="Q103" s="1226"/>
      <c r="R103" s="1226"/>
      <c r="S103" s="1226"/>
      <c r="T103" s="1226"/>
      <c r="U103" s="1226"/>
      <c r="V103" s="1226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26" t="s">
        <v>49</v>
      </c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493"/>
      <c r="BB103" s="493"/>
    </row>
    <row r="104" spans="1:54" ht="25.5" customHeight="1">
      <c r="A104" s="1227" t="s">
        <v>811</v>
      </c>
      <c r="B104" s="1227"/>
      <c r="C104" s="1227"/>
      <c r="D104" s="1227"/>
      <c r="E104" s="1227"/>
      <c r="F104" s="1227"/>
      <c r="G104" s="1227"/>
      <c r="H104" s="1227"/>
      <c r="I104" s="1227"/>
      <c r="J104" s="1227"/>
      <c r="K104" s="1227"/>
      <c r="L104" s="1227"/>
      <c r="M104" s="1227"/>
      <c r="N104" s="1227"/>
      <c r="O104" s="1227"/>
      <c r="P104" s="1227"/>
      <c r="Q104" s="1227"/>
      <c r="R104" s="1227"/>
      <c r="S104" s="1227"/>
      <c r="T104" s="1227"/>
      <c r="U104" s="1227"/>
      <c r="V104" s="1227"/>
      <c r="W104" s="1227"/>
      <c r="X104" s="1227"/>
      <c r="Y104" s="1227"/>
      <c r="Z104" s="1227"/>
      <c r="AA104" s="1227"/>
      <c r="AB104" s="1227"/>
      <c r="AC104" s="1227"/>
      <c r="AD104" s="1227"/>
      <c r="AE104" s="1227"/>
      <c r="AF104" s="1227"/>
      <c r="AG104" s="1227"/>
      <c r="AH104" s="1227"/>
      <c r="AI104" s="1227"/>
      <c r="AJ104" s="1227"/>
      <c r="AK104" s="1227"/>
      <c r="AL104" s="1227"/>
      <c r="AM104" s="1227"/>
      <c r="AN104" s="1227"/>
      <c r="AO104" s="1227"/>
      <c r="AP104" s="1227"/>
      <c r="AQ104" s="1227"/>
      <c r="AR104" s="1227"/>
      <c r="AS104" s="1227"/>
      <c r="AT104" s="1227"/>
      <c r="AU104" s="1227"/>
      <c r="AV104" s="1227"/>
      <c r="AW104" s="1227"/>
      <c r="AX104" s="1227"/>
      <c r="AY104" s="1227"/>
      <c r="AZ104" s="1227"/>
      <c r="BA104" s="420"/>
      <c r="BB104" s="420"/>
    </row>
    <row r="105" spans="1:54" ht="16.5" customHeight="1">
      <c r="A105" s="1090" t="str">
        <f>ПОДПИСИ!D17</f>
        <v>Матвеев А.С.</v>
      </c>
      <c r="B105" s="1090"/>
      <c r="C105" s="1090"/>
      <c r="D105" s="1090"/>
      <c r="E105" s="1090"/>
      <c r="F105" s="1090"/>
      <c r="G105" s="1090"/>
      <c r="H105" s="1090"/>
      <c r="I105" s="1090"/>
      <c r="J105" s="1090"/>
      <c r="K105" s="1090"/>
      <c r="L105" s="1090"/>
      <c r="M105" s="1090"/>
      <c r="N105" s="1090"/>
      <c r="O105" s="1090"/>
      <c r="P105" s="1090"/>
      <c r="Q105" s="1090"/>
      <c r="R105" s="1090"/>
      <c r="S105" s="1090"/>
      <c r="T105" s="1090"/>
      <c r="U105" s="1090"/>
      <c r="V105" s="109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  <c r="BA105" s="351"/>
      <c r="BB105" s="351"/>
    </row>
    <row r="106" spans="1:54" s="494" customFormat="1" ht="6" customHeight="1">
      <c r="A106" s="1226" t="s">
        <v>799</v>
      </c>
      <c r="B106" s="1226"/>
      <c r="C106" s="1226"/>
      <c r="D106" s="1226"/>
      <c r="E106" s="1226"/>
      <c r="F106" s="1226"/>
      <c r="G106" s="1226"/>
      <c r="H106" s="1226"/>
      <c r="I106" s="1226"/>
      <c r="J106" s="1226"/>
      <c r="K106" s="1226"/>
      <c r="L106" s="1226"/>
      <c r="M106" s="1226"/>
      <c r="N106" s="1226"/>
      <c r="O106" s="1226"/>
      <c r="P106" s="1226"/>
      <c r="Q106" s="1226"/>
      <c r="R106" s="1226"/>
      <c r="S106" s="1226"/>
      <c r="T106" s="1226"/>
      <c r="U106" s="1226"/>
      <c r="V106" s="1226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26" t="s">
        <v>49</v>
      </c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493"/>
      <c r="BB106" s="493"/>
    </row>
    <row r="107" spans="1:54" ht="39.75" customHeight="1">
      <c r="A107" s="1227" t="s">
        <v>801</v>
      </c>
      <c r="B107" s="1227"/>
      <c r="C107" s="1227"/>
      <c r="D107" s="1227"/>
      <c r="E107" s="1227"/>
      <c r="F107" s="1227"/>
      <c r="G107" s="1227"/>
      <c r="H107" s="1227"/>
      <c r="I107" s="1227"/>
      <c r="J107" s="1227"/>
      <c r="K107" s="1227"/>
      <c r="L107" s="1227"/>
      <c r="M107" s="1227"/>
      <c r="N107" s="1227"/>
      <c r="O107" s="1227"/>
      <c r="P107" s="1227"/>
      <c r="Q107" s="1227"/>
      <c r="R107" s="1227"/>
      <c r="S107" s="1227"/>
      <c r="T107" s="1227"/>
      <c r="U107" s="1227"/>
      <c r="V107" s="1227"/>
      <c r="W107" s="1227"/>
      <c r="X107" s="1227"/>
      <c r="Y107" s="1227"/>
      <c r="Z107" s="1227"/>
      <c r="AA107" s="1227"/>
      <c r="AB107" s="1227"/>
      <c r="AC107" s="1227"/>
      <c r="AD107" s="1227"/>
      <c r="AE107" s="1227"/>
      <c r="AF107" s="1227"/>
      <c r="AG107" s="1227"/>
      <c r="AH107" s="1227"/>
      <c r="AI107" s="1227"/>
      <c r="AJ107" s="1227"/>
      <c r="AK107" s="1227"/>
      <c r="AL107" s="1227"/>
      <c r="AM107" s="1227"/>
      <c r="AN107" s="1227"/>
      <c r="AO107" s="1227"/>
      <c r="AP107" s="1227"/>
      <c r="AQ107" s="1227"/>
      <c r="AR107" s="1227"/>
      <c r="AS107" s="1227"/>
      <c r="AT107" s="1227"/>
      <c r="AU107" s="1227"/>
      <c r="AV107" s="1227"/>
      <c r="AW107" s="1227"/>
      <c r="AX107" s="1227"/>
      <c r="AY107" s="1227"/>
      <c r="AZ107" s="1227"/>
      <c r="BA107" s="420"/>
      <c r="BB107" s="420"/>
    </row>
    <row r="108" spans="1:54" ht="16.5" customHeight="1">
      <c r="A108" s="1090" t="str">
        <f>ПОДПИСИ!C19</f>
        <v xml:space="preserve"> </v>
      </c>
      <c r="B108" s="1090"/>
      <c r="C108" s="1090"/>
      <c r="D108" s="1090"/>
      <c r="E108" s="1090"/>
      <c r="F108" s="1090"/>
      <c r="G108" s="1090"/>
      <c r="H108" s="1090"/>
      <c r="I108" s="1090"/>
      <c r="J108" s="1090"/>
      <c r="K108" s="1090"/>
      <c r="L108" s="1090"/>
      <c r="M108" s="1090"/>
      <c r="N108" s="1090"/>
      <c r="O108" s="1090"/>
      <c r="P108" s="1090"/>
      <c r="Q108" s="1090"/>
      <c r="R108" s="1090"/>
      <c r="S108" s="1090"/>
      <c r="T108" s="1090"/>
      <c r="U108" s="1090"/>
      <c r="V108" s="109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91"/>
      <c r="AQ108" s="1091"/>
      <c r="AR108" s="1091"/>
      <c r="AS108" s="1091"/>
      <c r="AT108" s="1091"/>
      <c r="AU108" s="1091"/>
      <c r="AV108" s="1091"/>
      <c r="AW108" s="1091"/>
      <c r="AX108" s="1091"/>
      <c r="AY108" s="1091"/>
      <c r="AZ108" s="1091"/>
      <c r="BA108" s="351"/>
      <c r="BB108" s="351"/>
    </row>
    <row r="109" spans="1:54" s="494" customFormat="1" ht="6" customHeight="1">
      <c r="A109" s="1226" t="s">
        <v>799</v>
      </c>
      <c r="B109" s="1226"/>
      <c r="C109" s="1226"/>
      <c r="D109" s="1226"/>
      <c r="E109" s="1226"/>
      <c r="F109" s="1226"/>
      <c r="G109" s="1226"/>
      <c r="H109" s="1226"/>
      <c r="I109" s="1226"/>
      <c r="J109" s="1226"/>
      <c r="K109" s="1226"/>
      <c r="L109" s="1226"/>
      <c r="M109" s="1226"/>
      <c r="N109" s="1226"/>
      <c r="O109" s="1226"/>
      <c r="P109" s="1226"/>
      <c r="Q109" s="1226"/>
      <c r="R109" s="1226"/>
      <c r="S109" s="1226"/>
      <c r="T109" s="1226"/>
      <c r="U109" s="1226"/>
      <c r="V109" s="1226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26" t="s">
        <v>49</v>
      </c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493"/>
      <c r="BB109" s="493"/>
    </row>
    <row r="110" spans="1:54" ht="39.75" customHeight="1">
      <c r="A110" s="1227" t="s">
        <v>972</v>
      </c>
      <c r="B110" s="1227"/>
      <c r="C110" s="1227"/>
      <c r="D110" s="1227"/>
      <c r="E110" s="1227"/>
      <c r="F110" s="1227"/>
      <c r="G110" s="1227"/>
      <c r="H110" s="1227"/>
      <c r="I110" s="1227"/>
      <c r="J110" s="1227"/>
      <c r="K110" s="1227"/>
      <c r="L110" s="1227"/>
      <c r="M110" s="1227"/>
      <c r="N110" s="1227"/>
      <c r="O110" s="1227"/>
      <c r="P110" s="1227"/>
      <c r="Q110" s="1227"/>
      <c r="R110" s="1227"/>
      <c r="S110" s="1227"/>
      <c r="T110" s="1227"/>
      <c r="U110" s="1227"/>
      <c r="V110" s="1227"/>
      <c r="W110" s="1227"/>
      <c r="X110" s="1227"/>
      <c r="Y110" s="1227"/>
      <c r="Z110" s="1227"/>
      <c r="AA110" s="1227"/>
      <c r="AB110" s="1227"/>
      <c r="AC110" s="1227"/>
      <c r="AD110" s="1227"/>
      <c r="AE110" s="1227"/>
      <c r="AF110" s="1227"/>
      <c r="AG110" s="1227"/>
      <c r="AH110" s="1227"/>
      <c r="AI110" s="1227"/>
      <c r="AJ110" s="1227"/>
      <c r="AK110" s="1227"/>
      <c r="AL110" s="1227"/>
      <c r="AM110" s="1227"/>
      <c r="AN110" s="1227"/>
      <c r="AO110" s="1227"/>
      <c r="AP110" s="1227"/>
      <c r="AQ110" s="1227"/>
      <c r="AR110" s="1227"/>
      <c r="AS110" s="1227"/>
      <c r="AT110" s="1227"/>
      <c r="AU110" s="1227"/>
      <c r="AV110" s="1227"/>
      <c r="AW110" s="1227"/>
      <c r="AX110" s="1227"/>
      <c r="AY110" s="1227"/>
      <c r="AZ110" s="1227"/>
      <c r="BA110" s="420"/>
      <c r="BB110" s="420"/>
    </row>
    <row r="111" spans="1:54" ht="16.5" customHeight="1">
      <c r="A111" s="1090" t="str">
        <f>ПОДПИСИ!D12</f>
        <v>Махмадов А.Р.</v>
      </c>
      <c r="B111" s="1090"/>
      <c r="C111" s="1090"/>
      <c r="D111" s="1090"/>
      <c r="E111" s="1090"/>
      <c r="F111" s="1090"/>
      <c r="G111" s="1090"/>
      <c r="H111" s="1090"/>
      <c r="I111" s="1090"/>
      <c r="J111" s="1090"/>
      <c r="K111" s="1090"/>
      <c r="L111" s="1090"/>
      <c r="M111" s="1090"/>
      <c r="N111" s="1090"/>
      <c r="O111" s="1090"/>
      <c r="P111" s="1090"/>
      <c r="Q111" s="1090"/>
      <c r="R111" s="1090"/>
      <c r="S111" s="1090"/>
      <c r="T111" s="1090"/>
      <c r="U111" s="1090"/>
      <c r="V111" s="109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91"/>
      <c r="AQ111" s="1091"/>
      <c r="AR111" s="1091"/>
      <c r="AS111" s="1091"/>
      <c r="AT111" s="1091"/>
      <c r="AU111" s="1091"/>
      <c r="AV111" s="1091"/>
      <c r="AW111" s="1091"/>
      <c r="AX111" s="1091"/>
      <c r="AY111" s="1091"/>
      <c r="AZ111" s="1091"/>
      <c r="BA111" s="351"/>
      <c r="BB111" s="351"/>
    </row>
    <row r="112" spans="1:54" s="494" customFormat="1" ht="6" customHeight="1">
      <c r="A112" s="1226" t="s">
        <v>799</v>
      </c>
      <c r="B112" s="1226"/>
      <c r="C112" s="1226"/>
      <c r="D112" s="1226"/>
      <c r="E112" s="1226"/>
      <c r="F112" s="1226"/>
      <c r="G112" s="1226"/>
      <c r="H112" s="1226"/>
      <c r="I112" s="1226"/>
      <c r="J112" s="1226"/>
      <c r="K112" s="1226"/>
      <c r="L112" s="1226"/>
      <c r="M112" s="1226"/>
      <c r="N112" s="1226"/>
      <c r="O112" s="1226"/>
      <c r="P112" s="1226"/>
      <c r="Q112" s="1226"/>
      <c r="R112" s="1226"/>
      <c r="S112" s="1226"/>
      <c r="T112" s="1226"/>
      <c r="U112" s="1226"/>
      <c r="V112" s="1226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26" t="s">
        <v>49</v>
      </c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493"/>
      <c r="BB112" s="493"/>
    </row>
    <row r="113" spans="1:54" hidden="1">
      <c r="A113" s="1227" t="s">
        <v>530</v>
      </c>
      <c r="B113" s="1227"/>
      <c r="C113" s="1227"/>
      <c r="D113" s="1227"/>
      <c r="E113" s="1227"/>
      <c r="F113" s="1227"/>
      <c r="G113" s="1227"/>
      <c r="H113" s="1227"/>
      <c r="I113" s="1227"/>
      <c r="J113" s="1227"/>
      <c r="K113" s="1227"/>
      <c r="L113" s="1227"/>
      <c r="M113" s="1227"/>
      <c r="N113" s="1227"/>
      <c r="O113" s="1227"/>
      <c r="P113" s="1227"/>
      <c r="Q113" s="1227"/>
      <c r="R113" s="1227"/>
      <c r="S113" s="1227"/>
      <c r="T113" s="1227"/>
      <c r="U113" s="1227"/>
      <c r="V113" s="1227"/>
      <c r="W113" s="1227"/>
      <c r="X113" s="1227"/>
      <c r="Y113" s="1227"/>
      <c r="Z113" s="1227"/>
      <c r="AA113" s="1227"/>
      <c r="AB113" s="1227"/>
      <c r="AC113" s="1227"/>
      <c r="AD113" s="1227"/>
      <c r="AE113" s="1227"/>
      <c r="AF113" s="1227"/>
      <c r="AG113" s="1227"/>
      <c r="AH113" s="1227"/>
      <c r="AI113" s="1227"/>
      <c r="AJ113" s="1227"/>
      <c r="AK113" s="1227"/>
      <c r="AL113" s="1227"/>
      <c r="AM113" s="1227"/>
      <c r="AN113" s="1227"/>
      <c r="AO113" s="1227"/>
      <c r="AP113" s="1227"/>
      <c r="AQ113" s="1227"/>
      <c r="AR113" s="1227"/>
      <c r="AS113" s="1227"/>
      <c r="AT113" s="1227"/>
      <c r="AU113" s="1227"/>
      <c r="AV113" s="1227"/>
      <c r="AW113" s="1227"/>
      <c r="AX113" s="1227"/>
      <c r="AY113" s="1227"/>
      <c r="AZ113" s="1227"/>
      <c r="BA113" s="1227"/>
      <c r="BB113" s="1227"/>
    </row>
    <row r="114" spans="1:54" ht="16.5" hidden="1" customHeight="1">
      <c r="A114" s="1090"/>
      <c r="B114" s="1090"/>
      <c r="C114" s="1090"/>
      <c r="D114" s="1090"/>
      <c r="E114" s="1090"/>
      <c r="F114" s="1090"/>
      <c r="G114" s="1090"/>
      <c r="H114" s="1090"/>
      <c r="I114" s="1090"/>
      <c r="J114" s="1090"/>
      <c r="K114" s="1090"/>
      <c r="L114" s="1090"/>
      <c r="M114" s="1090"/>
      <c r="N114" s="1090"/>
      <c r="O114" s="1090"/>
      <c r="P114" s="1090"/>
      <c r="Q114" s="1090"/>
      <c r="R114" s="1090"/>
      <c r="S114" s="1090"/>
      <c r="T114" s="1090"/>
      <c r="U114" s="1090"/>
      <c r="V114" s="109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91"/>
      <c r="AU114" s="1091"/>
      <c r="AV114" s="1091"/>
      <c r="AW114" s="1091"/>
      <c r="AX114" s="1091"/>
      <c r="AY114" s="1091"/>
      <c r="AZ114" s="1091"/>
      <c r="BA114" s="351"/>
      <c r="BB114" s="351"/>
    </row>
    <row r="115" spans="1:54" s="494" customFormat="1" ht="6" hidden="1" customHeight="1">
      <c r="A115" s="1226" t="s">
        <v>799</v>
      </c>
      <c r="B115" s="1226"/>
      <c r="C115" s="1226"/>
      <c r="D115" s="1226"/>
      <c r="E115" s="1226"/>
      <c r="F115" s="1226"/>
      <c r="G115" s="1226"/>
      <c r="H115" s="1226"/>
      <c r="I115" s="1226"/>
      <c r="J115" s="1226"/>
      <c r="K115" s="1226"/>
      <c r="L115" s="1226"/>
      <c r="M115" s="1226"/>
      <c r="N115" s="1226"/>
      <c r="O115" s="1226"/>
      <c r="P115" s="1226"/>
      <c r="Q115" s="1226"/>
      <c r="R115" s="1226"/>
      <c r="S115" s="1226"/>
      <c r="T115" s="1226"/>
      <c r="U115" s="1226"/>
      <c r="V115" s="1226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26" t="s">
        <v>49</v>
      </c>
      <c r="AU115" s="1226"/>
      <c r="AV115" s="1226"/>
      <c r="AW115" s="1226"/>
      <c r="AX115" s="1226"/>
      <c r="AY115" s="1226"/>
      <c r="AZ115" s="1226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1796875" defaultRowHeight="14"/>
  <cols>
    <col min="1" max="24" width="1.7265625" style="7" customWidth="1"/>
    <col min="25" max="25" width="5.453125" style="7" customWidth="1"/>
    <col min="26" max="39" width="1.7265625" style="7" customWidth="1"/>
    <col min="40" max="40" width="4.453125" style="7" customWidth="1"/>
    <col min="41" max="52" width="1.7265625" style="7" customWidth="1"/>
    <col min="53" max="53" width="0.1796875" style="7" customWidth="1"/>
    <col min="54" max="54" width="9.1796875" style="7"/>
    <col min="55" max="58" width="15.7265625" style="7" customWidth="1"/>
    <col min="59" max="254" width="9.1796875" style="7"/>
    <col min="255" max="307" width="1.7265625" style="7" customWidth="1"/>
    <col min="308" max="308" width="0.1796875" style="7" customWidth="1"/>
    <col min="309" max="510" width="9.1796875" style="7"/>
    <col min="511" max="563" width="1.7265625" style="7" customWidth="1"/>
    <col min="564" max="564" width="0.1796875" style="7" customWidth="1"/>
    <col min="565" max="766" width="9.1796875" style="7"/>
    <col min="767" max="819" width="1.7265625" style="7" customWidth="1"/>
    <col min="820" max="820" width="0.1796875" style="7" customWidth="1"/>
    <col min="821" max="1022" width="9.1796875" style="7"/>
    <col min="1023" max="1075" width="1.7265625" style="7" customWidth="1"/>
    <col min="1076" max="1076" width="0.1796875" style="7" customWidth="1"/>
    <col min="1077" max="1278" width="9.1796875" style="7"/>
    <col min="1279" max="1331" width="1.7265625" style="7" customWidth="1"/>
    <col min="1332" max="1332" width="0.1796875" style="7" customWidth="1"/>
    <col min="1333" max="1534" width="9.1796875" style="7"/>
    <col min="1535" max="1587" width="1.7265625" style="7" customWidth="1"/>
    <col min="1588" max="1588" width="0.1796875" style="7" customWidth="1"/>
    <col min="1589" max="1790" width="9.1796875" style="7"/>
    <col min="1791" max="1843" width="1.7265625" style="7" customWidth="1"/>
    <col min="1844" max="1844" width="0.1796875" style="7" customWidth="1"/>
    <col min="1845" max="2046" width="9.1796875" style="7"/>
    <col min="2047" max="2099" width="1.7265625" style="7" customWidth="1"/>
    <col min="2100" max="2100" width="0.1796875" style="7" customWidth="1"/>
    <col min="2101" max="2302" width="9.1796875" style="7"/>
    <col min="2303" max="2355" width="1.7265625" style="7" customWidth="1"/>
    <col min="2356" max="2356" width="0.1796875" style="7" customWidth="1"/>
    <col min="2357" max="2558" width="9.1796875" style="7"/>
    <col min="2559" max="2611" width="1.7265625" style="7" customWidth="1"/>
    <col min="2612" max="2612" width="0.1796875" style="7" customWidth="1"/>
    <col min="2613" max="2814" width="9.1796875" style="7"/>
    <col min="2815" max="2867" width="1.7265625" style="7" customWidth="1"/>
    <col min="2868" max="2868" width="0.1796875" style="7" customWidth="1"/>
    <col min="2869" max="3070" width="9.1796875" style="7"/>
    <col min="3071" max="3123" width="1.7265625" style="7" customWidth="1"/>
    <col min="3124" max="3124" width="0.1796875" style="7" customWidth="1"/>
    <col min="3125" max="3326" width="9.1796875" style="7"/>
    <col min="3327" max="3379" width="1.7265625" style="7" customWidth="1"/>
    <col min="3380" max="3380" width="0.1796875" style="7" customWidth="1"/>
    <col min="3381" max="3582" width="9.1796875" style="7"/>
    <col min="3583" max="3635" width="1.7265625" style="7" customWidth="1"/>
    <col min="3636" max="3636" width="0.1796875" style="7" customWidth="1"/>
    <col min="3637" max="3838" width="9.1796875" style="7"/>
    <col min="3839" max="3891" width="1.7265625" style="7" customWidth="1"/>
    <col min="3892" max="3892" width="0.1796875" style="7" customWidth="1"/>
    <col min="3893" max="4094" width="9.1796875" style="7"/>
    <col min="4095" max="4147" width="1.7265625" style="7" customWidth="1"/>
    <col min="4148" max="4148" width="0.1796875" style="7" customWidth="1"/>
    <col min="4149" max="4350" width="9.1796875" style="7"/>
    <col min="4351" max="4403" width="1.7265625" style="7" customWidth="1"/>
    <col min="4404" max="4404" width="0.1796875" style="7" customWidth="1"/>
    <col min="4405" max="4606" width="9.1796875" style="7"/>
    <col min="4607" max="4659" width="1.7265625" style="7" customWidth="1"/>
    <col min="4660" max="4660" width="0.1796875" style="7" customWidth="1"/>
    <col min="4661" max="4862" width="9.1796875" style="7"/>
    <col min="4863" max="4915" width="1.7265625" style="7" customWidth="1"/>
    <col min="4916" max="4916" width="0.1796875" style="7" customWidth="1"/>
    <col min="4917" max="5118" width="9.1796875" style="7"/>
    <col min="5119" max="5171" width="1.7265625" style="7" customWidth="1"/>
    <col min="5172" max="5172" width="0.1796875" style="7" customWidth="1"/>
    <col min="5173" max="5374" width="9.1796875" style="7"/>
    <col min="5375" max="5427" width="1.7265625" style="7" customWidth="1"/>
    <col min="5428" max="5428" width="0.1796875" style="7" customWidth="1"/>
    <col min="5429" max="5630" width="9.1796875" style="7"/>
    <col min="5631" max="5683" width="1.7265625" style="7" customWidth="1"/>
    <col min="5684" max="5684" width="0.1796875" style="7" customWidth="1"/>
    <col min="5685" max="5886" width="9.1796875" style="7"/>
    <col min="5887" max="5939" width="1.7265625" style="7" customWidth="1"/>
    <col min="5940" max="5940" width="0.1796875" style="7" customWidth="1"/>
    <col min="5941" max="6142" width="9.1796875" style="7"/>
    <col min="6143" max="6195" width="1.7265625" style="7" customWidth="1"/>
    <col min="6196" max="6196" width="0.1796875" style="7" customWidth="1"/>
    <col min="6197" max="6398" width="9.1796875" style="7"/>
    <col min="6399" max="6451" width="1.7265625" style="7" customWidth="1"/>
    <col min="6452" max="6452" width="0.1796875" style="7" customWidth="1"/>
    <col min="6453" max="6654" width="9.1796875" style="7"/>
    <col min="6655" max="6707" width="1.7265625" style="7" customWidth="1"/>
    <col min="6708" max="6708" width="0.1796875" style="7" customWidth="1"/>
    <col min="6709" max="6910" width="9.1796875" style="7"/>
    <col min="6911" max="6963" width="1.7265625" style="7" customWidth="1"/>
    <col min="6964" max="6964" width="0.1796875" style="7" customWidth="1"/>
    <col min="6965" max="7166" width="9.1796875" style="7"/>
    <col min="7167" max="7219" width="1.7265625" style="7" customWidth="1"/>
    <col min="7220" max="7220" width="0.1796875" style="7" customWidth="1"/>
    <col min="7221" max="7422" width="9.1796875" style="7"/>
    <col min="7423" max="7475" width="1.7265625" style="7" customWidth="1"/>
    <col min="7476" max="7476" width="0.1796875" style="7" customWidth="1"/>
    <col min="7477" max="7678" width="9.1796875" style="7"/>
    <col min="7679" max="7731" width="1.7265625" style="7" customWidth="1"/>
    <col min="7732" max="7732" width="0.1796875" style="7" customWidth="1"/>
    <col min="7733" max="7934" width="9.1796875" style="7"/>
    <col min="7935" max="7987" width="1.7265625" style="7" customWidth="1"/>
    <col min="7988" max="7988" width="0.1796875" style="7" customWidth="1"/>
    <col min="7989" max="8190" width="9.1796875" style="7"/>
    <col min="8191" max="8243" width="1.7265625" style="7" customWidth="1"/>
    <col min="8244" max="8244" width="0.1796875" style="7" customWidth="1"/>
    <col min="8245" max="8446" width="9.1796875" style="7"/>
    <col min="8447" max="8499" width="1.7265625" style="7" customWidth="1"/>
    <col min="8500" max="8500" width="0.1796875" style="7" customWidth="1"/>
    <col min="8501" max="8702" width="9.1796875" style="7"/>
    <col min="8703" max="8755" width="1.7265625" style="7" customWidth="1"/>
    <col min="8756" max="8756" width="0.1796875" style="7" customWidth="1"/>
    <col min="8757" max="8958" width="9.1796875" style="7"/>
    <col min="8959" max="9011" width="1.7265625" style="7" customWidth="1"/>
    <col min="9012" max="9012" width="0.1796875" style="7" customWidth="1"/>
    <col min="9013" max="9214" width="9.1796875" style="7"/>
    <col min="9215" max="9267" width="1.7265625" style="7" customWidth="1"/>
    <col min="9268" max="9268" width="0.1796875" style="7" customWidth="1"/>
    <col min="9269" max="9470" width="9.1796875" style="7"/>
    <col min="9471" max="9523" width="1.7265625" style="7" customWidth="1"/>
    <col min="9524" max="9524" width="0.1796875" style="7" customWidth="1"/>
    <col min="9525" max="9726" width="9.1796875" style="7"/>
    <col min="9727" max="9779" width="1.7265625" style="7" customWidth="1"/>
    <col min="9780" max="9780" width="0.1796875" style="7" customWidth="1"/>
    <col min="9781" max="9982" width="9.1796875" style="7"/>
    <col min="9983" max="10035" width="1.7265625" style="7" customWidth="1"/>
    <col min="10036" max="10036" width="0.1796875" style="7" customWidth="1"/>
    <col min="10037" max="10238" width="9.1796875" style="7"/>
    <col min="10239" max="10291" width="1.7265625" style="7" customWidth="1"/>
    <col min="10292" max="10292" width="0.1796875" style="7" customWidth="1"/>
    <col min="10293" max="10494" width="9.1796875" style="7"/>
    <col min="10495" max="10547" width="1.7265625" style="7" customWidth="1"/>
    <col min="10548" max="10548" width="0.1796875" style="7" customWidth="1"/>
    <col min="10549" max="10750" width="9.1796875" style="7"/>
    <col min="10751" max="10803" width="1.7265625" style="7" customWidth="1"/>
    <col min="10804" max="10804" width="0.1796875" style="7" customWidth="1"/>
    <col min="10805" max="11006" width="9.1796875" style="7"/>
    <col min="11007" max="11059" width="1.7265625" style="7" customWidth="1"/>
    <col min="11060" max="11060" width="0.1796875" style="7" customWidth="1"/>
    <col min="11061" max="11262" width="9.1796875" style="7"/>
    <col min="11263" max="11315" width="1.7265625" style="7" customWidth="1"/>
    <col min="11316" max="11316" width="0.1796875" style="7" customWidth="1"/>
    <col min="11317" max="11518" width="9.1796875" style="7"/>
    <col min="11519" max="11571" width="1.7265625" style="7" customWidth="1"/>
    <col min="11572" max="11572" width="0.1796875" style="7" customWidth="1"/>
    <col min="11573" max="11774" width="9.1796875" style="7"/>
    <col min="11775" max="11827" width="1.7265625" style="7" customWidth="1"/>
    <col min="11828" max="11828" width="0.1796875" style="7" customWidth="1"/>
    <col min="11829" max="12030" width="9.1796875" style="7"/>
    <col min="12031" max="12083" width="1.7265625" style="7" customWidth="1"/>
    <col min="12084" max="12084" width="0.1796875" style="7" customWidth="1"/>
    <col min="12085" max="12286" width="9.1796875" style="7"/>
    <col min="12287" max="12339" width="1.7265625" style="7" customWidth="1"/>
    <col min="12340" max="12340" width="0.1796875" style="7" customWidth="1"/>
    <col min="12341" max="12542" width="9.1796875" style="7"/>
    <col min="12543" max="12595" width="1.7265625" style="7" customWidth="1"/>
    <col min="12596" max="12596" width="0.1796875" style="7" customWidth="1"/>
    <col min="12597" max="12798" width="9.1796875" style="7"/>
    <col min="12799" max="12851" width="1.7265625" style="7" customWidth="1"/>
    <col min="12852" max="12852" width="0.1796875" style="7" customWidth="1"/>
    <col min="12853" max="13054" width="9.1796875" style="7"/>
    <col min="13055" max="13107" width="1.7265625" style="7" customWidth="1"/>
    <col min="13108" max="13108" width="0.1796875" style="7" customWidth="1"/>
    <col min="13109" max="13310" width="9.1796875" style="7"/>
    <col min="13311" max="13363" width="1.7265625" style="7" customWidth="1"/>
    <col min="13364" max="13364" width="0.1796875" style="7" customWidth="1"/>
    <col min="13365" max="13566" width="9.1796875" style="7"/>
    <col min="13567" max="13619" width="1.7265625" style="7" customWidth="1"/>
    <col min="13620" max="13620" width="0.1796875" style="7" customWidth="1"/>
    <col min="13621" max="13822" width="9.1796875" style="7"/>
    <col min="13823" max="13875" width="1.7265625" style="7" customWidth="1"/>
    <col min="13876" max="13876" width="0.1796875" style="7" customWidth="1"/>
    <col min="13877" max="14078" width="9.1796875" style="7"/>
    <col min="14079" max="14131" width="1.7265625" style="7" customWidth="1"/>
    <col min="14132" max="14132" width="0.1796875" style="7" customWidth="1"/>
    <col min="14133" max="14334" width="9.1796875" style="7"/>
    <col min="14335" max="14387" width="1.7265625" style="7" customWidth="1"/>
    <col min="14388" max="14388" width="0.1796875" style="7" customWidth="1"/>
    <col min="14389" max="14590" width="9.1796875" style="7"/>
    <col min="14591" max="14643" width="1.7265625" style="7" customWidth="1"/>
    <col min="14644" max="14644" width="0.1796875" style="7" customWidth="1"/>
    <col min="14645" max="14846" width="9.1796875" style="7"/>
    <col min="14847" max="14899" width="1.7265625" style="7" customWidth="1"/>
    <col min="14900" max="14900" width="0.1796875" style="7" customWidth="1"/>
    <col min="14901" max="15102" width="9.1796875" style="7"/>
    <col min="15103" max="15155" width="1.7265625" style="7" customWidth="1"/>
    <col min="15156" max="15156" width="0.1796875" style="7" customWidth="1"/>
    <col min="15157" max="15358" width="9.1796875" style="7"/>
    <col min="15359" max="15411" width="1.7265625" style="7" customWidth="1"/>
    <col min="15412" max="15412" width="0.1796875" style="7" customWidth="1"/>
    <col min="15413" max="15614" width="9.1796875" style="7"/>
    <col min="15615" max="15667" width="1.7265625" style="7" customWidth="1"/>
    <col min="15668" max="15668" width="0.1796875" style="7" customWidth="1"/>
    <col min="15669" max="15870" width="9.1796875" style="7"/>
    <col min="15871" max="15923" width="1.7265625" style="7" customWidth="1"/>
    <col min="15924" max="15924" width="0.1796875" style="7" customWidth="1"/>
    <col min="15925" max="16126" width="9.1796875" style="7"/>
    <col min="16127" max="16179" width="1.7265625" style="7" customWidth="1"/>
    <col min="16180" max="16180" width="0.1796875" style="7" customWidth="1"/>
    <col min="16181" max="16384" width="9.1796875" style="7"/>
  </cols>
  <sheetData>
    <row r="1" spans="1:63" ht="25.5" hidden="1" customHeight="1">
      <c r="R1" s="16"/>
      <c r="S1" s="16"/>
      <c r="T1" s="16"/>
      <c r="U1" s="1273" t="s">
        <v>516</v>
      </c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273"/>
      <c r="AK1" s="1273"/>
      <c r="AL1" s="1273"/>
      <c r="AM1" s="1273"/>
      <c r="AN1" s="1273"/>
      <c r="AO1" s="1273"/>
      <c r="AP1" s="1273"/>
      <c r="AQ1" s="1273"/>
      <c r="AR1" s="1273"/>
      <c r="AS1" s="1273"/>
      <c r="AT1" s="1273"/>
      <c r="AU1" s="1273"/>
      <c r="AV1" s="1273"/>
      <c r="AW1" s="1273"/>
      <c r="AX1" s="1273"/>
      <c r="AY1" s="1273"/>
      <c r="AZ1" s="1273"/>
    </row>
    <row r="2" spans="1:63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274"/>
      <c r="Y3" s="1274"/>
      <c r="Z3" s="1274"/>
      <c r="AA3" s="1274"/>
      <c r="AB3" s="1274"/>
      <c r="AC3" s="1274"/>
      <c r="AD3" s="1274"/>
      <c r="AE3" s="1274"/>
      <c r="AF3" s="1274"/>
      <c r="AG3" s="1274"/>
      <c r="AH3" s="1274"/>
      <c r="AI3" s="1274"/>
      <c r="AJ3" s="1274"/>
      <c r="AK3" s="1274"/>
      <c r="AL3" s="1274"/>
      <c r="AM3" s="1274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5" customHeight="1">
      <c r="A4" s="1240" t="s">
        <v>515</v>
      </c>
      <c r="B4" s="1240"/>
      <c r="C4" s="1240"/>
      <c r="D4" s="1240"/>
      <c r="E4" s="1240"/>
      <c r="F4" s="1240"/>
      <c r="G4" s="1240"/>
      <c r="H4" s="1240"/>
      <c r="I4" s="1240"/>
      <c r="J4" s="1240"/>
      <c r="K4" s="1240"/>
      <c r="L4" s="1240"/>
      <c r="M4" s="1240"/>
      <c r="N4" s="1240"/>
      <c r="O4" s="1240"/>
      <c r="P4" s="1240"/>
      <c r="Q4" s="1240"/>
      <c r="R4" s="1240"/>
      <c r="S4" s="1240"/>
      <c r="T4" s="1240"/>
      <c r="U4" s="1240"/>
      <c r="V4" s="1240"/>
      <c r="W4" s="1240"/>
      <c r="X4" s="1240"/>
      <c r="Y4" s="1240"/>
      <c r="Z4" s="1240"/>
      <c r="AA4" s="1240"/>
      <c r="AB4" s="1240"/>
      <c r="AC4" s="1240"/>
      <c r="AD4" s="1240"/>
      <c r="AE4" s="1240"/>
      <c r="AF4" s="1240"/>
      <c r="AG4" s="1240"/>
      <c r="AH4" s="1240"/>
      <c r="AI4" s="1240"/>
      <c r="AJ4" s="1240"/>
      <c r="AK4" s="1240"/>
      <c r="AL4" s="1240"/>
      <c r="AM4" s="1240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D4" s="10"/>
      <c r="BF4" s="10"/>
      <c r="BG4" s="10"/>
      <c r="BH4" s="10"/>
      <c r="BI4" s="10"/>
      <c r="BJ4" s="10"/>
      <c r="BK4" s="10"/>
    </row>
    <row r="5" spans="1:63">
      <c r="A5" s="1280" t="s">
        <v>377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9" t="s">
        <v>805</v>
      </c>
      <c r="B7" s="1239"/>
      <c r="C7" s="1239"/>
      <c r="D7" s="1239"/>
      <c r="E7" s="1239"/>
      <c r="F7" s="1239"/>
      <c r="G7" s="1239"/>
      <c r="H7" s="1239"/>
      <c r="I7" s="1239"/>
      <c r="J7" s="1239"/>
      <c r="K7" s="1239"/>
      <c r="L7" s="1239"/>
      <c r="M7" s="1239"/>
      <c r="N7" s="1239"/>
      <c r="O7" s="1239"/>
      <c r="P7" s="1239"/>
      <c r="Q7" s="1239"/>
      <c r="R7" s="1239"/>
      <c r="S7" s="1239"/>
      <c r="T7" s="1239"/>
      <c r="U7" s="1239"/>
      <c r="V7" s="1239"/>
      <c r="W7" s="1239"/>
      <c r="X7" s="1239"/>
      <c r="Y7" s="1239"/>
      <c r="Z7" s="1239"/>
      <c r="AA7" s="1239"/>
      <c r="AB7" s="1239"/>
      <c r="AC7" s="1239"/>
      <c r="AD7" s="1239"/>
      <c r="AE7" s="1239"/>
      <c r="AF7" s="1239"/>
      <c r="AG7" s="1239"/>
      <c r="AH7" s="1239"/>
      <c r="AI7" s="1239"/>
      <c r="AJ7" s="1239"/>
      <c r="AK7" s="1239"/>
      <c r="AL7" s="1239"/>
      <c r="AM7" s="1239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/>
      <c r="AY7" s="1239"/>
      <c r="AZ7" s="12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9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5" t="s">
        <v>73</v>
      </c>
      <c r="B10" s="1235"/>
      <c r="C10" s="1235"/>
      <c r="D10" s="1235"/>
      <c r="E10" s="1235"/>
      <c r="F10" s="1235"/>
      <c r="G10" s="1235"/>
      <c r="H10" s="1235"/>
      <c r="I10" s="1235"/>
      <c r="J10" s="1235"/>
      <c r="K10" s="1235"/>
      <c r="L10" s="1235"/>
      <c r="M10" s="1235"/>
      <c r="N10" s="1235"/>
      <c r="O10" s="1235"/>
      <c r="P10" s="1235"/>
      <c r="Q10" s="1235"/>
      <c r="R10" s="1235"/>
      <c r="S10" s="1235"/>
      <c r="T10" s="1235"/>
      <c r="U10" s="1235"/>
      <c r="V10" s="1235"/>
      <c r="W10" s="1235"/>
      <c r="X10" s="1235"/>
      <c r="Y10" s="1235"/>
      <c r="Z10" s="1235"/>
      <c r="AA10" s="1235"/>
      <c r="AB10" s="1235"/>
      <c r="AC10" s="1235"/>
      <c r="AD10" s="1235"/>
      <c r="AE10" s="1235"/>
      <c r="AF10" s="1235"/>
      <c r="AG10" s="1235"/>
      <c r="AH10" s="1235"/>
      <c r="AI10" s="1235"/>
      <c r="AJ10" s="1235"/>
      <c r="AK10" s="1235"/>
      <c r="AL10" s="1235"/>
      <c r="AM10" s="1235"/>
      <c r="AN10" s="1235"/>
      <c r="AO10" s="1235"/>
      <c r="AP10" s="1235"/>
      <c r="AQ10" s="1235"/>
      <c r="AR10" s="1235"/>
      <c r="AS10" s="1235"/>
      <c r="AT10" s="1235"/>
      <c r="AU10" s="1235"/>
      <c r="AV10" s="1235"/>
      <c r="AW10" s="1235"/>
      <c r="AX10" s="1235"/>
      <c r="AY10" s="1235"/>
      <c r="AZ10" s="123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5" customHeight="1">
      <c r="A12" s="1239" t="s">
        <v>820</v>
      </c>
      <c r="B12" s="1239"/>
      <c r="C12" s="1239"/>
      <c r="D12" s="1239"/>
      <c r="E12" s="1239"/>
      <c r="F12" s="1239"/>
      <c r="G12" s="1239"/>
      <c r="H12" s="1239"/>
      <c r="I12" s="1239"/>
      <c r="J12" s="1239"/>
      <c r="K12" s="1239"/>
      <c r="L12" s="1239"/>
      <c r="M12" s="1239"/>
      <c r="N12" s="1239"/>
      <c r="O12" s="1239"/>
      <c r="P12" s="1239"/>
      <c r="Q12" s="1239"/>
      <c r="R12" s="1239"/>
      <c r="S12" s="1239"/>
      <c r="T12" s="1239"/>
      <c r="U12" s="1239"/>
      <c r="V12" s="1239"/>
      <c r="W12" s="1239"/>
      <c r="X12" s="1239"/>
      <c r="Y12" s="1239"/>
      <c r="Z12" s="1239"/>
      <c r="AA12" s="1239"/>
      <c r="AB12" s="1239"/>
      <c r="AC12" s="1239"/>
      <c r="AD12" s="1239"/>
      <c r="AE12" s="1239"/>
      <c r="AF12" s="1239"/>
      <c r="AG12" s="1239"/>
      <c r="AH12" s="1239"/>
      <c r="AI12" s="1239"/>
      <c r="AJ12" s="1239"/>
      <c r="AK12" s="1239"/>
      <c r="AL12" s="1239"/>
      <c r="AM12" s="1239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</row>
    <row r="13" spans="1:63" ht="24.65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5" customHeight="1">
      <c r="A14" s="1239" t="s">
        <v>821</v>
      </c>
      <c r="B14" s="1239"/>
      <c r="C14" s="1239"/>
      <c r="D14" s="1239"/>
      <c r="E14" s="1239"/>
      <c r="F14" s="1239"/>
      <c r="G14" s="1239"/>
      <c r="H14" s="1239"/>
      <c r="I14" s="1239"/>
      <c r="J14" s="1239"/>
      <c r="K14" s="1239"/>
      <c r="L14" s="1239"/>
      <c r="M14" s="1239"/>
      <c r="N14" s="1239"/>
      <c r="O14" s="1239"/>
      <c r="P14" s="1239"/>
      <c r="Q14" s="1239"/>
      <c r="R14" s="1239"/>
      <c r="S14" s="1239"/>
      <c r="T14" s="1239"/>
      <c r="U14" s="1239"/>
      <c r="V14" s="1239"/>
      <c r="W14" s="1239"/>
      <c r="X14" s="1239"/>
      <c r="Y14" s="1239"/>
      <c r="Z14" s="1239"/>
      <c r="AA14" s="1239"/>
      <c r="AB14" s="1239"/>
      <c r="AC14" s="1239"/>
      <c r="AD14" s="1239"/>
      <c r="AE14" s="1239"/>
      <c r="AF14" s="1239"/>
      <c r="AG14" s="1239"/>
      <c r="AH14" s="1239"/>
      <c r="AI14" s="1239"/>
      <c r="AJ14" s="1239"/>
      <c r="AK14" s="1239"/>
      <c r="AL14" s="1239"/>
      <c r="AM14" s="1239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</row>
    <row r="15" spans="1:63">
      <c r="A15" s="1235" t="s">
        <v>74</v>
      </c>
      <c r="B15" s="1235"/>
      <c r="C15" s="1235"/>
      <c r="D15" s="1235"/>
      <c r="E15" s="1235"/>
      <c r="F15" s="1235"/>
      <c r="G15" s="1235"/>
      <c r="H15" s="1235"/>
      <c r="I15" s="1235"/>
      <c r="J15" s="1235"/>
      <c r="K15" s="1235"/>
      <c r="L15" s="1235"/>
      <c r="M15" s="1235"/>
      <c r="N15" s="1235"/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5"/>
      <c r="AA15" s="1235"/>
      <c r="AB15" s="1235"/>
      <c r="AC15" s="1235"/>
      <c r="AD15" s="1235"/>
      <c r="AE15" s="1235"/>
      <c r="AF15" s="1235"/>
      <c r="AG15" s="1235"/>
      <c r="AH15" s="1235"/>
      <c r="AI15" s="1235"/>
      <c r="AJ15" s="1235"/>
      <c r="AK15" s="1235"/>
      <c r="AL15" s="1235"/>
      <c r="AM15" s="1235"/>
      <c r="AN15" s="1235"/>
      <c r="AO15" s="1235"/>
      <c r="AP15" s="1235"/>
      <c r="AQ15" s="1235"/>
      <c r="AR15" s="1235"/>
      <c r="AS15" s="1235"/>
      <c r="AT15" s="1235"/>
      <c r="AU15" s="1235"/>
      <c r="AV15" s="1235"/>
      <c r="AW15" s="1235"/>
      <c r="AX15" s="1235"/>
      <c r="AY15" s="1235"/>
      <c r="AZ15" s="1235"/>
    </row>
    <row r="16" spans="1:63" ht="15" customHeight="1">
      <c r="A16" s="1276" t="str">
        <f>IF(ФОРМА!B8=0," ",ФОРМА!B8)</f>
        <v>ООО «Строительные энергетические технологии»</v>
      </c>
      <c r="B16" s="1276"/>
      <c r="C16" s="1276"/>
      <c r="D16" s="1276"/>
      <c r="E16" s="1276"/>
      <c r="F16" s="1276"/>
      <c r="G16" s="1276"/>
      <c r="H16" s="1276"/>
      <c r="I16" s="1276"/>
      <c r="J16" s="1276"/>
      <c r="K16" s="1276"/>
      <c r="L16" s="1276"/>
      <c r="M16" s="1276"/>
      <c r="N16" s="1276"/>
      <c r="O16" s="1276"/>
      <c r="P16" s="1276"/>
      <c r="Q16" s="1276"/>
      <c r="R16" s="1276"/>
      <c r="S16" s="1276"/>
      <c r="T16" s="1276"/>
      <c r="U16" s="1276"/>
      <c r="V16" s="1276"/>
      <c r="W16" s="1276"/>
      <c r="X16" s="1276"/>
      <c r="Y16" s="1276"/>
      <c r="Z16" s="1276"/>
      <c r="AA16" s="1276"/>
      <c r="AB16" s="1276"/>
      <c r="AC16" s="1276"/>
      <c r="AD16" s="1276"/>
      <c r="AE16" s="1276"/>
      <c r="AF16" s="1276"/>
      <c r="AG16" s="1276"/>
      <c r="AH16" s="1276"/>
      <c r="AI16" s="1276"/>
      <c r="AJ16" s="1276"/>
      <c r="AK16" s="1276"/>
      <c r="AL16" s="1276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</row>
    <row r="17" spans="1:54" s="127" customFormat="1" ht="9.65" customHeight="1">
      <c r="A17" s="1239" t="s">
        <v>820</v>
      </c>
      <c r="B17" s="1239"/>
      <c r="C17" s="1239"/>
      <c r="D17" s="1239"/>
      <c r="E17" s="1239"/>
      <c r="F17" s="1239"/>
      <c r="G17" s="1239"/>
      <c r="H17" s="1239"/>
      <c r="I17" s="1239"/>
      <c r="J17" s="1239"/>
      <c r="K17" s="1239"/>
      <c r="L17" s="1239"/>
      <c r="M17" s="1239"/>
      <c r="N17" s="1239"/>
      <c r="O17" s="1239"/>
      <c r="P17" s="1239"/>
      <c r="Q17" s="1239"/>
      <c r="R17" s="1239"/>
      <c r="S17" s="1239"/>
      <c r="T17" s="1239"/>
      <c r="U17" s="1239"/>
      <c r="V17" s="1239"/>
      <c r="W17" s="1239"/>
      <c r="X17" s="1239"/>
      <c r="Y17" s="1239"/>
      <c r="Z17" s="1239"/>
      <c r="AA17" s="1239"/>
      <c r="AB17" s="1239"/>
      <c r="AC17" s="1239"/>
      <c r="AD17" s="1239"/>
      <c r="AE17" s="1239"/>
      <c r="AF17" s="1239"/>
      <c r="AG17" s="1239"/>
      <c r="AH17" s="1239"/>
      <c r="AI17" s="1239"/>
      <c r="AJ17" s="1239"/>
      <c r="AK17" s="1239"/>
      <c r="AL17" s="1239"/>
      <c r="AM17" s="1239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</row>
    <row r="18" spans="1:54" ht="24" customHeight="1">
      <c r="A18" s="127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6"/>
      <c r="C18" s="1276"/>
      <c r="D18" s="1276"/>
      <c r="E18" s="1276"/>
      <c r="F18" s="1276"/>
      <c r="G18" s="1276"/>
      <c r="H18" s="1276"/>
      <c r="I18" s="1276"/>
      <c r="J18" s="1276"/>
      <c r="K18" s="1276"/>
      <c r="L18" s="1276"/>
      <c r="M18" s="1276"/>
      <c r="N18" s="1276"/>
      <c r="O18" s="1276"/>
      <c r="P18" s="1276"/>
      <c r="Q18" s="1276"/>
      <c r="R18" s="1276"/>
      <c r="S18" s="1276"/>
      <c r="T18" s="1276"/>
      <c r="U18" s="1276"/>
      <c r="V18" s="1276"/>
      <c r="W18" s="1276"/>
      <c r="X18" s="1276"/>
      <c r="Y18" s="1276"/>
      <c r="Z18" s="1276"/>
      <c r="AA18" s="1276"/>
      <c r="AB18" s="1276"/>
      <c r="AC18" s="1276"/>
      <c r="AD18" s="1276"/>
      <c r="AE18" s="1276"/>
      <c r="AF18" s="1276"/>
      <c r="AG18" s="1276"/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</row>
    <row r="19" spans="1:54" s="127" customFormat="1" ht="9.65" customHeight="1">
      <c r="A19" s="1239" t="s">
        <v>765</v>
      </c>
      <c r="B19" s="1239"/>
      <c r="C19" s="1239"/>
      <c r="D19" s="1239"/>
      <c r="E19" s="1239"/>
      <c r="F19" s="1239"/>
      <c r="G19" s="1239"/>
      <c r="H19" s="1239"/>
      <c r="I19" s="1239"/>
      <c r="J19" s="1239"/>
      <c r="K19" s="1239"/>
      <c r="L19" s="1239"/>
      <c r="M19" s="1239"/>
      <c r="N19" s="1239"/>
      <c r="O19" s="1239"/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A19" s="1239"/>
      <c r="AB19" s="1239"/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39"/>
      <c r="AM19" s="1239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</row>
    <row r="20" spans="1:54" ht="5.25" customHeight="1"/>
    <row r="21" spans="1:54" ht="12.75" customHeight="1">
      <c r="A21" s="1275" t="s">
        <v>67</v>
      </c>
      <c r="B21" s="1275"/>
      <c r="C21" s="1275"/>
      <c r="D21" s="1275"/>
      <c r="E21" s="1275"/>
      <c r="F21" s="1275"/>
      <c r="G21" s="1275"/>
      <c r="H21" s="1275"/>
      <c r="I21" s="1275"/>
      <c r="J21" s="1275"/>
      <c r="K21" s="1275"/>
      <c r="L21" s="1275"/>
      <c r="M21" s="1275"/>
      <c r="N21" s="1275"/>
      <c r="O21" s="1275"/>
      <c r="P21" s="1275"/>
      <c r="Q21" s="1275"/>
      <c r="R21" s="1275"/>
      <c r="S21" s="1275"/>
      <c r="T21" s="1275"/>
      <c r="U21" s="1275"/>
      <c r="V21" s="1275"/>
      <c r="W21" s="1275"/>
      <c r="X21" s="1275"/>
      <c r="Y21" s="1275"/>
      <c r="Z21" s="1275"/>
      <c r="AA21" s="1275"/>
      <c r="AB21" s="1275"/>
      <c r="AC21" s="1275"/>
      <c r="AD21" s="1275"/>
      <c r="AE21" s="1275"/>
      <c r="AF21" s="1275"/>
      <c r="AG21" s="1275"/>
      <c r="AH21" s="1275"/>
      <c r="AI21" s="1275"/>
      <c r="AJ21" s="1275"/>
      <c r="AK21" s="1275"/>
      <c r="AL21" s="1275"/>
      <c r="AM21" s="1275"/>
      <c r="AN21" s="1275"/>
      <c r="AO21" s="1275"/>
      <c r="AP21" s="1275"/>
      <c r="AQ21" s="1275"/>
      <c r="AR21" s="1275"/>
      <c r="AS21" s="1275"/>
      <c r="AT21" s="1275"/>
      <c r="AU21" s="1275"/>
      <c r="AV21" s="1275"/>
      <c r="AW21" s="1275"/>
      <c r="AX21" s="1275"/>
      <c r="AY21" s="1275"/>
      <c r="AZ21" s="1275"/>
    </row>
    <row r="22" spans="1:54" ht="12.75" customHeight="1">
      <c r="A22" s="1275" t="s">
        <v>378</v>
      </c>
      <c r="B22" s="1275"/>
      <c r="C22" s="1275"/>
      <c r="D22" s="1275"/>
      <c r="E22" s="1275"/>
      <c r="F22" s="1275"/>
      <c r="G22" s="1275"/>
      <c r="H22" s="1275"/>
      <c r="I22" s="1275"/>
      <c r="J22" s="1275"/>
      <c r="K22" s="1275"/>
      <c r="L22" s="1275"/>
      <c r="M22" s="1275"/>
      <c r="N22" s="1275"/>
      <c r="O22" s="1275"/>
      <c r="P22" s="1275"/>
      <c r="Q22" s="1275"/>
      <c r="R22" s="1275"/>
      <c r="S22" s="1275"/>
      <c r="T22" s="1275"/>
      <c r="U22" s="1275"/>
      <c r="V22" s="1275"/>
      <c r="W22" s="1275"/>
      <c r="X22" s="1275"/>
      <c r="Y22" s="1275"/>
      <c r="Z22" s="1275"/>
      <c r="AA22" s="1275"/>
      <c r="AB22" s="1275"/>
      <c r="AC22" s="1275"/>
      <c r="AD22" s="1275"/>
      <c r="AE22" s="1275"/>
      <c r="AF22" s="1275"/>
      <c r="AG22" s="1275"/>
      <c r="AH22" s="1275"/>
      <c r="AI22" s="1275"/>
      <c r="AJ22" s="1275"/>
      <c r="AK22" s="1275"/>
      <c r="AL22" s="1275"/>
      <c r="AM22" s="1275"/>
      <c r="AN22" s="1275"/>
      <c r="AO22" s="1275"/>
      <c r="AP22" s="1275"/>
      <c r="AQ22" s="1275"/>
      <c r="AR22" s="1275"/>
      <c r="AS22" s="1275"/>
      <c r="AT22" s="1275"/>
      <c r="AU22" s="1275"/>
      <c r="AV22" s="1275"/>
      <c r="AW22" s="1275"/>
      <c r="AX22" s="1275"/>
      <c r="AY22" s="1275"/>
      <c r="AZ22" s="1275"/>
    </row>
    <row r="23" spans="1:54" ht="6.75" customHeight="1"/>
    <row r="24" spans="1:54" ht="14.25" customHeight="1">
      <c r="A24" s="7" t="s">
        <v>19</v>
      </c>
      <c r="C24" s="1228" t="str">
        <f ca="1">INDIRECT("'АКТЫ скрытых работ'!R"&amp;BE3&amp;"C2",0)</f>
        <v>4-КЗ_КК_5</v>
      </c>
      <c r="D24" s="1228"/>
      <c r="E24" s="1228"/>
      <c r="F24" s="1228"/>
      <c r="G24" s="1228"/>
      <c r="H24" s="1228"/>
      <c r="I24" s="1228"/>
      <c r="J24" s="1228"/>
      <c r="K24" s="1228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2" t="str">
        <f ca="1">INDIRECT("'АКТЫ скрытых работ'!R"&amp;BE3&amp;"C8",0)</f>
        <v>ноября</v>
      </c>
      <c r="AO24" s="1272"/>
      <c r="AP24" s="1272"/>
      <c r="AQ24" s="1272"/>
      <c r="AR24" s="1272"/>
      <c r="AS24" s="1272"/>
      <c r="AT24" s="1272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1500000000000004" customHeight="1"/>
    <row r="26" spans="1:54" ht="27.65" customHeight="1">
      <c r="A26" s="1266" t="s">
        <v>780</v>
      </c>
      <c r="B26" s="1267"/>
      <c r="C26" s="1267"/>
      <c r="D26" s="1267"/>
      <c r="E26" s="1267"/>
      <c r="F26" s="1267"/>
      <c r="G26" s="1267"/>
      <c r="H26" s="1267"/>
      <c r="I26" s="1267"/>
      <c r="J26" s="1267"/>
      <c r="K26" s="1267"/>
      <c r="L26" s="1267"/>
      <c r="M26" s="1267"/>
      <c r="N26" s="1267"/>
      <c r="O26" s="1267"/>
      <c r="P26" s="1267"/>
      <c r="Q26" s="1267"/>
      <c r="R26" s="1267"/>
      <c r="S26" s="1267"/>
      <c r="T26" s="1267"/>
      <c r="U26" s="1267"/>
      <c r="V26" s="1267"/>
      <c r="W26" s="1267"/>
      <c r="X26" s="1267"/>
      <c r="Y26" s="1267"/>
      <c r="Z26" s="1267"/>
      <c r="AA26" s="1267"/>
      <c r="AB26" s="1267"/>
      <c r="AC26" s="1267"/>
      <c r="AD26" s="1267"/>
      <c r="AE26" s="1267"/>
      <c r="AF26" s="1267"/>
      <c r="AG26" s="1267"/>
      <c r="AH26" s="1267"/>
      <c r="AI26" s="1267"/>
      <c r="AJ26" s="1267"/>
      <c r="AK26" s="1267"/>
      <c r="AL26" s="1267"/>
      <c r="AM26" s="1267"/>
      <c r="AN26" s="1267"/>
      <c r="AO26" s="1267"/>
      <c r="AP26" s="1267"/>
      <c r="AQ26" s="1267"/>
      <c r="AR26" s="1267"/>
      <c r="AS26" s="1267"/>
      <c r="AT26" s="1267"/>
      <c r="AU26" s="1267"/>
      <c r="AV26" s="1267"/>
      <c r="AW26" s="1267"/>
      <c r="AX26" s="1267"/>
      <c r="AY26" s="1267"/>
      <c r="AZ26" s="1267"/>
    </row>
    <row r="27" spans="1:54" ht="12" customHeight="1">
      <c r="A27" s="1268" t="str">
        <f>ПОДПИСИ!B6</f>
        <v>Начальник мастерского участка №1 Курортного РЭС ПАО «Россети Ленэнерго» «СЭС»</v>
      </c>
      <c r="B27" s="1268"/>
      <c r="C27" s="1268"/>
      <c r="D27" s="1268"/>
      <c r="E27" s="1268"/>
      <c r="F27" s="1268"/>
      <c r="G27" s="1268"/>
      <c r="H27" s="1268"/>
      <c r="I27" s="1268"/>
      <c r="J27" s="1268"/>
      <c r="K27" s="1268"/>
      <c r="L27" s="1268"/>
      <c r="M27" s="1268"/>
      <c r="N27" s="1268"/>
      <c r="O27" s="1268"/>
      <c r="P27" s="1268"/>
      <c r="Q27" s="1268"/>
      <c r="R27" s="1268"/>
      <c r="S27" s="1268"/>
      <c r="T27" s="1268"/>
      <c r="U27" s="1268"/>
      <c r="V27" s="1268"/>
      <c r="W27" s="1268"/>
      <c r="X27" s="1268"/>
      <c r="Y27" s="1268"/>
      <c r="Z27" s="1268"/>
      <c r="AA27" s="1268"/>
      <c r="AB27" s="1268"/>
      <c r="AC27" s="1268"/>
      <c r="AD27" s="1268"/>
      <c r="AE27" s="1268"/>
      <c r="AF27" s="1268"/>
      <c r="AG27" s="1268"/>
      <c r="AH27" s="1268"/>
      <c r="AI27" s="1268"/>
      <c r="AJ27" s="1268"/>
      <c r="AK27" s="1268"/>
      <c r="AL27" s="1268"/>
      <c r="AM27" s="1268"/>
      <c r="AN27" s="1268"/>
      <c r="AO27" s="1268"/>
      <c r="AP27" s="1268"/>
      <c r="AQ27" s="1268"/>
      <c r="AR27" s="1268"/>
      <c r="AS27" s="1268"/>
      <c r="AT27" s="1268"/>
      <c r="AU27" s="1268"/>
      <c r="AV27" s="1268"/>
      <c r="AW27" s="1268"/>
      <c r="AX27" s="1268"/>
      <c r="AY27" s="1268"/>
      <c r="AZ27" s="1268"/>
    </row>
    <row r="28" spans="1:54" ht="12" customHeight="1">
      <c r="A28" s="1269" t="str">
        <f>CONCATENATE(ПОДПИСИ!C6,ПОДПИСИ!F6)</f>
        <v xml:space="preserve">Чечин Д.М. </v>
      </c>
      <c r="B28" s="1269"/>
      <c r="C28" s="1269"/>
      <c r="D28" s="1269"/>
      <c r="E28" s="1269"/>
      <c r="F28" s="1269"/>
      <c r="G28" s="1269"/>
      <c r="H28" s="1269"/>
      <c r="I28" s="1269"/>
      <c r="J28" s="1269"/>
      <c r="K28" s="1269"/>
      <c r="L28" s="1269"/>
      <c r="M28" s="1269"/>
      <c r="N28" s="1269"/>
      <c r="O28" s="1269"/>
      <c r="P28" s="1269"/>
      <c r="Q28" s="1269"/>
      <c r="R28" s="1269"/>
      <c r="S28" s="1269"/>
      <c r="T28" s="1269"/>
      <c r="U28" s="1269"/>
      <c r="V28" s="1269"/>
      <c r="W28" s="1269"/>
      <c r="X28" s="1269"/>
      <c r="Y28" s="1269"/>
      <c r="Z28" s="1269"/>
      <c r="AA28" s="1269"/>
      <c r="AB28" s="1269"/>
      <c r="AC28" s="1269"/>
      <c r="AD28" s="1269"/>
      <c r="AE28" s="1269"/>
      <c r="AF28" s="1269"/>
      <c r="AG28" s="1269"/>
      <c r="AH28" s="1269"/>
      <c r="AI28" s="1269"/>
      <c r="AJ28" s="1269"/>
      <c r="AK28" s="1269"/>
      <c r="AL28" s="1269"/>
      <c r="AM28" s="1269"/>
      <c r="AN28" s="1269"/>
      <c r="AO28" s="1269"/>
      <c r="AP28" s="1269"/>
      <c r="AQ28" s="1269"/>
      <c r="AR28" s="1269"/>
      <c r="AS28" s="1269"/>
      <c r="AT28" s="1269"/>
      <c r="AU28" s="1269"/>
      <c r="AV28" s="1269"/>
      <c r="AW28" s="1269"/>
      <c r="AX28" s="1269"/>
      <c r="AY28" s="1269"/>
      <c r="AZ28" s="1269"/>
    </row>
    <row r="29" spans="1:54" ht="13.15" customHeight="1">
      <c r="A29" s="1270" t="s">
        <v>823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4" s="284" customFormat="1">
      <c r="A30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02"/>
      <c r="C30" s="1102"/>
      <c r="D30" s="1102"/>
      <c r="E30" s="1102"/>
      <c r="F30" s="1102"/>
      <c r="G30" s="1102"/>
      <c r="H30" s="1102"/>
      <c r="I30" s="1102"/>
      <c r="J30" s="1102"/>
      <c r="K30" s="1102"/>
      <c r="L30" s="1102"/>
      <c r="M30" s="1102"/>
      <c r="N30" s="1102"/>
      <c r="O30" s="1102"/>
      <c r="P30" s="1102"/>
      <c r="Q30" s="1102"/>
      <c r="R30" s="1102"/>
      <c r="S30" s="1102"/>
      <c r="T30" s="1102"/>
      <c r="U30" s="1102"/>
      <c r="V30" s="1102"/>
      <c r="W30" s="1102"/>
      <c r="X30" s="1102"/>
      <c r="Y30" s="1102"/>
      <c r="Z30" s="1102"/>
      <c r="AA30" s="1102"/>
      <c r="AB30" s="1102"/>
      <c r="AC30" s="1102"/>
      <c r="AD30" s="1102"/>
      <c r="AE30" s="1102"/>
      <c r="AF30" s="1102"/>
      <c r="AG30" s="1102"/>
      <c r="AH30" s="1102"/>
      <c r="AI30" s="1102"/>
      <c r="AJ30" s="1102"/>
      <c r="AK30" s="1102"/>
      <c r="AL30" s="1102"/>
      <c r="AM30" s="1102"/>
      <c r="AN30" s="1102"/>
      <c r="AO30" s="1102"/>
      <c r="AP30" s="1102"/>
      <c r="AQ30" s="1102"/>
      <c r="AR30" s="1102"/>
      <c r="AS30" s="1102"/>
      <c r="AT30" s="1102"/>
      <c r="AU30" s="1102"/>
      <c r="AV30" s="1102"/>
      <c r="AW30" s="1102"/>
      <c r="AX30" s="1102"/>
      <c r="AY30" s="1102"/>
      <c r="AZ30" s="1102"/>
      <c r="BA30" s="566"/>
      <c r="BB30" s="567"/>
    </row>
    <row r="31" spans="1:54" s="284" customFormat="1" ht="21" customHeight="1">
      <c r="A31" s="1220" t="s">
        <v>809</v>
      </c>
      <c r="B31" s="1220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0"/>
      <c r="N31" s="1220"/>
      <c r="O31" s="1220"/>
      <c r="P31" s="1220"/>
      <c r="Q31" s="1220"/>
      <c r="R31" s="1220"/>
      <c r="S31" s="1220"/>
      <c r="T31" s="1220"/>
      <c r="U31" s="1220"/>
      <c r="V31" s="1220"/>
      <c r="W31" s="1220"/>
      <c r="X31" s="1220"/>
      <c r="Y31" s="1220"/>
      <c r="Z31" s="1220"/>
      <c r="AA31" s="1220"/>
      <c r="AB31" s="1220"/>
      <c r="AC31" s="1220"/>
      <c r="AD31" s="1220"/>
      <c r="AE31" s="1220"/>
      <c r="AF31" s="1220"/>
      <c r="AG31" s="1220"/>
      <c r="AH31" s="1220"/>
      <c r="AI31" s="1220"/>
      <c r="AJ31" s="1220"/>
      <c r="AK31" s="1220"/>
      <c r="AL31" s="1220"/>
      <c r="AM31" s="1220"/>
      <c r="AN31" s="1220"/>
      <c r="AO31" s="1220"/>
      <c r="AP31" s="1220"/>
      <c r="AQ31" s="1220"/>
      <c r="AR31" s="1220"/>
      <c r="AS31" s="1220"/>
      <c r="AT31" s="1220"/>
      <c r="AU31" s="1220"/>
      <c r="AV31" s="1220"/>
      <c r="AW31" s="1220"/>
      <c r="AX31" s="1220"/>
      <c r="AY31" s="1220"/>
      <c r="AZ31" s="1220"/>
      <c r="BA31" s="565"/>
      <c r="BB31" s="568"/>
    </row>
    <row r="32" spans="1:54" ht="12" customHeight="1">
      <c r="A32" s="1235" t="s">
        <v>766</v>
      </c>
      <c r="B32" s="1235"/>
      <c r="C32" s="1235"/>
      <c r="D32" s="1235"/>
      <c r="E32" s="1235"/>
      <c r="F32" s="1235"/>
      <c r="G32" s="1235"/>
      <c r="H32" s="1235"/>
      <c r="I32" s="1235"/>
      <c r="J32" s="1235"/>
      <c r="K32" s="1235"/>
      <c r="L32" s="1235"/>
      <c r="M32" s="1235"/>
      <c r="N32" s="1235"/>
      <c r="O32" s="1235"/>
      <c r="P32" s="1235"/>
      <c r="Q32" s="1235"/>
      <c r="R32" s="1235"/>
      <c r="S32" s="1235"/>
      <c r="T32" s="1235"/>
      <c r="U32" s="1235"/>
      <c r="V32" s="1235"/>
      <c r="W32" s="1235"/>
      <c r="X32" s="1235"/>
      <c r="Y32" s="1235"/>
      <c r="Z32" s="1235"/>
      <c r="AA32" s="1235"/>
      <c r="AB32" s="1235"/>
      <c r="AC32" s="1235"/>
      <c r="AD32" s="1235"/>
      <c r="AE32" s="1235"/>
      <c r="AF32" s="1235"/>
      <c r="AG32" s="1235"/>
      <c r="AH32" s="1235"/>
      <c r="AI32" s="1235"/>
      <c r="AJ32" s="1235"/>
      <c r="AK32" s="1235"/>
      <c r="AL32" s="1235"/>
      <c r="AM32" s="1235"/>
      <c r="AN32" s="1235"/>
      <c r="AO32" s="1235"/>
      <c r="AP32" s="1235"/>
      <c r="AQ32" s="1235"/>
      <c r="AR32" s="1235"/>
      <c r="AS32" s="1235"/>
      <c r="AT32" s="1235"/>
      <c r="AU32" s="1235"/>
      <c r="AV32" s="1235"/>
      <c r="AW32" s="1235"/>
      <c r="AX32" s="1235"/>
      <c r="AY32" s="1235"/>
      <c r="AZ32" s="1235"/>
    </row>
    <row r="33" spans="1:54" ht="12" customHeight="1">
      <c r="A33" s="1254" t="str">
        <f>ПОДПИСИ!B15</f>
        <v xml:space="preserve">Заместитель генерального директора ООО «БЭСК» </v>
      </c>
      <c r="B33" s="1254"/>
      <c r="C33" s="1254"/>
      <c r="D33" s="1254"/>
      <c r="E33" s="1254"/>
      <c r="F33" s="1254"/>
      <c r="G33" s="1254"/>
      <c r="H33" s="1254"/>
      <c r="I33" s="1254"/>
      <c r="J33" s="1254"/>
      <c r="K33" s="1254"/>
      <c r="L33" s="1254"/>
      <c r="M33" s="1254"/>
      <c r="N33" s="1254"/>
      <c r="O33" s="1254"/>
      <c r="P33" s="1254"/>
      <c r="Q33" s="1254"/>
      <c r="R33" s="1254"/>
      <c r="S33" s="1254"/>
      <c r="T33" s="1254"/>
      <c r="U33" s="1254"/>
      <c r="V33" s="1254"/>
      <c r="W33" s="1254"/>
      <c r="X33" s="1254"/>
      <c r="Y33" s="1254"/>
      <c r="Z33" s="1254"/>
      <c r="AA33" s="1254"/>
      <c r="AB33" s="1254"/>
      <c r="AC33" s="1254"/>
      <c r="AD33" s="1254"/>
      <c r="AE33" s="1254"/>
      <c r="AF33" s="1254"/>
      <c r="AG33" s="1254"/>
      <c r="AH33" s="1254"/>
      <c r="AI33" s="1254"/>
      <c r="AJ33" s="1254"/>
      <c r="AK33" s="1254"/>
      <c r="AL33" s="1254"/>
      <c r="AM33" s="1254"/>
      <c r="AN33" s="1254"/>
      <c r="AO33" s="1254"/>
      <c r="AP33" s="1254"/>
      <c r="AQ33" s="1254"/>
      <c r="AR33" s="1254"/>
      <c r="AS33" s="1254"/>
      <c r="AT33" s="1254"/>
      <c r="AU33" s="1254"/>
      <c r="AV33" s="1254"/>
      <c r="AW33" s="1254"/>
      <c r="AX33" s="1254"/>
      <c r="AY33" s="1254"/>
      <c r="AZ33" s="1254"/>
    </row>
    <row r="34" spans="1:54" ht="12" customHeight="1">
      <c r="A34" s="1237" t="str">
        <f>CONCATENATE(ПОДПИСИ!C15,", ",ПОДПИСИ!F15)</f>
        <v xml:space="preserve">Матвеев А.С., </v>
      </c>
      <c r="B34" s="1237"/>
      <c r="C34" s="1237"/>
      <c r="D34" s="1237"/>
      <c r="E34" s="1237"/>
      <c r="F34" s="1237"/>
      <c r="G34" s="1237"/>
      <c r="H34" s="1237"/>
      <c r="I34" s="1237"/>
      <c r="J34" s="1237"/>
      <c r="K34" s="1237"/>
      <c r="L34" s="1237"/>
      <c r="M34" s="1237"/>
      <c r="N34" s="1237"/>
      <c r="O34" s="1237"/>
      <c r="P34" s="1237"/>
      <c r="Q34" s="1237"/>
      <c r="R34" s="1237"/>
      <c r="S34" s="1237"/>
      <c r="T34" s="1237"/>
      <c r="U34" s="1237"/>
      <c r="V34" s="1237"/>
      <c r="W34" s="1237"/>
      <c r="X34" s="1237"/>
      <c r="Y34" s="1237"/>
      <c r="Z34" s="1237"/>
      <c r="AA34" s="1237"/>
      <c r="AB34" s="1237"/>
      <c r="AC34" s="1237"/>
      <c r="AD34" s="1237"/>
      <c r="AE34" s="1237"/>
      <c r="AF34" s="1237"/>
      <c r="AG34" s="1237"/>
      <c r="AH34" s="1237"/>
      <c r="AI34" s="1237"/>
      <c r="AJ34" s="1237"/>
      <c r="AK34" s="1237"/>
      <c r="AL34" s="1237"/>
      <c r="AM34" s="1237"/>
      <c r="AN34" s="1237"/>
      <c r="AO34" s="1237"/>
      <c r="AP34" s="1237"/>
      <c r="AQ34" s="1237"/>
      <c r="AR34" s="1237"/>
      <c r="AS34" s="1237"/>
      <c r="AT34" s="1237"/>
      <c r="AU34" s="1237"/>
      <c r="AV34" s="1237"/>
      <c r="AW34" s="1237"/>
      <c r="AX34" s="1237"/>
      <c r="AY34" s="1237"/>
      <c r="AZ34" s="1237"/>
    </row>
    <row r="35" spans="1:54" ht="7.15" customHeight="1">
      <c r="A35" s="1240" t="s">
        <v>519</v>
      </c>
      <c r="B35" s="1240"/>
      <c r="C35" s="1240"/>
      <c r="D35" s="1240"/>
      <c r="E35" s="1240"/>
      <c r="F35" s="1240"/>
      <c r="G35" s="1240"/>
      <c r="H35" s="1240"/>
      <c r="I35" s="1240"/>
      <c r="J35" s="1240"/>
      <c r="K35" s="1240"/>
      <c r="L35" s="1240"/>
      <c r="M35" s="1240"/>
      <c r="N35" s="1240"/>
      <c r="O35" s="1240"/>
      <c r="P35" s="1240"/>
      <c r="Q35" s="1240"/>
      <c r="R35" s="1240"/>
      <c r="S35" s="1240"/>
      <c r="T35" s="1240"/>
      <c r="U35" s="1240"/>
      <c r="V35" s="1240"/>
      <c r="W35" s="1240"/>
      <c r="X35" s="1240"/>
      <c r="Y35" s="1240"/>
      <c r="Z35" s="1240"/>
      <c r="AA35" s="1240"/>
      <c r="AB35" s="1240"/>
      <c r="AC35" s="1240"/>
      <c r="AD35" s="1240"/>
      <c r="AE35" s="1240"/>
      <c r="AF35" s="1240"/>
      <c r="AG35" s="1240"/>
      <c r="AH35" s="1240"/>
      <c r="AI35" s="1240"/>
      <c r="AJ35" s="1240"/>
      <c r="AK35" s="1240"/>
      <c r="AL35" s="1240"/>
      <c r="AM35" s="124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</row>
    <row r="36" spans="1:54" ht="12" customHeight="1">
      <c r="A36" s="1260" t="s">
        <v>767</v>
      </c>
      <c r="B36" s="1235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5"/>
      <c r="O36" s="1235"/>
      <c r="P36" s="1235"/>
      <c r="Q36" s="1235"/>
      <c r="R36" s="1235"/>
      <c r="S36" s="1235"/>
      <c r="T36" s="1235"/>
      <c r="U36" s="1235"/>
      <c r="V36" s="1235"/>
      <c r="W36" s="1235"/>
      <c r="X36" s="1235"/>
      <c r="Y36" s="1235"/>
      <c r="Z36" s="1235"/>
      <c r="AA36" s="1235"/>
      <c r="AB36" s="1235"/>
      <c r="AC36" s="1235"/>
      <c r="AD36" s="1235"/>
      <c r="AE36" s="1235"/>
      <c r="AF36" s="1235"/>
      <c r="AG36" s="1235"/>
      <c r="AH36" s="1235"/>
      <c r="AI36" s="1235"/>
      <c r="AJ36" s="1235"/>
      <c r="AK36" s="1235"/>
      <c r="AL36" s="1235"/>
      <c r="AM36" s="1235"/>
      <c r="AN36" s="1235"/>
      <c r="AO36" s="1235"/>
      <c r="AP36" s="1235"/>
      <c r="AQ36" s="1235"/>
      <c r="AR36" s="1235"/>
      <c r="AS36" s="1235"/>
      <c r="AT36" s="1235"/>
      <c r="AU36" s="1235"/>
      <c r="AV36" s="1235"/>
      <c r="AW36" s="1235"/>
      <c r="AX36" s="1235"/>
      <c r="AY36" s="1235"/>
      <c r="AZ36" s="1235"/>
    </row>
    <row r="37" spans="1:54" ht="12" customHeight="1">
      <c r="A37" s="1254" t="str">
        <f>ПОДПИСИ!B17</f>
        <v xml:space="preserve">Заместитель генерального директора ООО «БЭСК» </v>
      </c>
      <c r="B37" s="1254"/>
      <c r="C37" s="1254"/>
      <c r="D37" s="1254"/>
      <c r="E37" s="1254"/>
      <c r="F37" s="1254"/>
      <c r="G37" s="1254"/>
      <c r="H37" s="1254"/>
      <c r="I37" s="1254"/>
      <c r="J37" s="1254"/>
      <c r="K37" s="1254"/>
      <c r="L37" s="1254"/>
      <c r="M37" s="1254"/>
      <c r="N37" s="1254"/>
      <c r="O37" s="1254"/>
      <c r="P37" s="1254"/>
      <c r="Q37" s="1254"/>
      <c r="R37" s="1254"/>
      <c r="S37" s="1254"/>
      <c r="T37" s="1254"/>
      <c r="U37" s="1254"/>
      <c r="V37" s="1254"/>
      <c r="W37" s="1254"/>
      <c r="X37" s="1254"/>
      <c r="Y37" s="1254"/>
      <c r="Z37" s="1254"/>
      <c r="AA37" s="1254"/>
      <c r="AB37" s="1254"/>
      <c r="AC37" s="1254"/>
      <c r="AD37" s="1254"/>
      <c r="AE37" s="1254"/>
      <c r="AF37" s="1254"/>
      <c r="AG37" s="1254"/>
      <c r="AH37" s="1254"/>
      <c r="AI37" s="1254"/>
      <c r="AJ37" s="1254"/>
      <c r="AK37" s="1254"/>
      <c r="AL37" s="1254"/>
      <c r="AM37" s="1254"/>
      <c r="AN37" s="1254"/>
      <c r="AO37" s="1254"/>
      <c r="AP37" s="1254"/>
      <c r="AQ37" s="1254"/>
      <c r="AR37" s="1254"/>
      <c r="AS37" s="1254"/>
      <c r="AT37" s="1254"/>
      <c r="AU37" s="1254"/>
      <c r="AV37" s="1254"/>
      <c r="AW37" s="1254"/>
      <c r="AX37" s="1254"/>
      <c r="AY37" s="1254"/>
      <c r="AZ37" s="1254"/>
    </row>
    <row r="38" spans="1:54" ht="12" customHeight="1">
      <c r="A38" s="1237" t="str">
        <f>CONCATENATE(ПОДПИСИ!C17,", ",ПОДПИСИ!F17)</f>
        <v xml:space="preserve">Матвеев А.С., </v>
      </c>
      <c r="B38" s="1237"/>
      <c r="C38" s="1237"/>
      <c r="D38" s="1237"/>
      <c r="E38" s="1237"/>
      <c r="F38" s="1237"/>
      <c r="G38" s="1237"/>
      <c r="H38" s="1237"/>
      <c r="I38" s="1237"/>
      <c r="J38" s="1237"/>
      <c r="K38" s="1237"/>
      <c r="L38" s="1237"/>
      <c r="M38" s="1237"/>
      <c r="N38" s="1237"/>
      <c r="O38" s="1237"/>
      <c r="P38" s="1237"/>
      <c r="Q38" s="1237"/>
      <c r="R38" s="1237"/>
      <c r="S38" s="1237"/>
      <c r="T38" s="1237"/>
      <c r="U38" s="1237"/>
      <c r="V38" s="1237"/>
      <c r="W38" s="1237"/>
      <c r="X38" s="1237"/>
      <c r="Y38" s="1237"/>
      <c r="Z38" s="1237"/>
      <c r="AA38" s="1237"/>
      <c r="AB38" s="1237"/>
      <c r="AC38" s="1237"/>
      <c r="AD38" s="1237"/>
      <c r="AE38" s="1237"/>
      <c r="AF38" s="1237"/>
      <c r="AG38" s="1237"/>
      <c r="AH38" s="1237"/>
      <c r="AI38" s="1237"/>
      <c r="AJ38" s="1237"/>
      <c r="AK38" s="1237"/>
      <c r="AL38" s="1237"/>
      <c r="AM38" s="1237"/>
      <c r="AN38" s="1237"/>
      <c r="AO38" s="1237"/>
      <c r="AP38" s="1237"/>
      <c r="AQ38" s="1237"/>
      <c r="AR38" s="1237"/>
      <c r="AS38" s="1237"/>
      <c r="AT38" s="1237"/>
      <c r="AU38" s="1237"/>
      <c r="AV38" s="1237"/>
      <c r="AW38" s="1237"/>
      <c r="AX38" s="1237"/>
      <c r="AY38" s="1237"/>
      <c r="AZ38" s="1237"/>
    </row>
    <row r="39" spans="1:54" ht="16.149999999999999" customHeight="1">
      <c r="A39" s="1258" t="s">
        <v>971</v>
      </c>
      <c r="B39" s="1265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5"/>
      <c r="O39" s="1265"/>
      <c r="P39" s="1265"/>
      <c r="Q39" s="1265"/>
      <c r="R39" s="1265"/>
      <c r="S39" s="1265"/>
      <c r="T39" s="1265"/>
      <c r="U39" s="1265"/>
      <c r="V39" s="1265"/>
      <c r="W39" s="1265"/>
      <c r="X39" s="1265"/>
      <c r="Y39" s="1265"/>
      <c r="Z39" s="1265"/>
      <c r="AA39" s="1265"/>
      <c r="AB39" s="1265"/>
      <c r="AC39" s="1265"/>
      <c r="AD39" s="1265"/>
      <c r="AE39" s="1265"/>
      <c r="AF39" s="1265"/>
      <c r="AG39" s="1265"/>
      <c r="AH39" s="1265"/>
      <c r="AI39" s="1265"/>
      <c r="AJ39" s="1265"/>
      <c r="AK39" s="1265"/>
      <c r="AL39" s="1265"/>
      <c r="AM39" s="126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</row>
    <row r="40" spans="1:54" ht="39" customHeight="1">
      <c r="A40" s="1260" t="s">
        <v>826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</row>
    <row r="41" spans="1:54">
      <c r="A41" s="1254" t="str">
        <f>IF(ПОДПИСИ!B19=0," ",ПОДПИСИ!B19)</f>
        <v xml:space="preserve"> </v>
      </c>
      <c r="B41" s="1254"/>
      <c r="C41" s="1254"/>
      <c r="D41" s="1254"/>
      <c r="E41" s="1254"/>
      <c r="F41" s="1254"/>
      <c r="G41" s="1254"/>
      <c r="H41" s="1254"/>
      <c r="I41" s="1254"/>
      <c r="J41" s="1254"/>
      <c r="K41" s="1254"/>
      <c r="L41" s="1254"/>
      <c r="M41" s="1254"/>
      <c r="N41" s="1254"/>
      <c r="O41" s="1254"/>
      <c r="P41" s="1254"/>
      <c r="Q41" s="1254"/>
      <c r="R41" s="1254"/>
      <c r="S41" s="1254"/>
      <c r="T41" s="1254"/>
      <c r="U41" s="1254"/>
      <c r="V41" s="1254"/>
      <c r="W41" s="1254"/>
      <c r="X41" s="1254"/>
      <c r="Y41" s="1254"/>
      <c r="Z41" s="1254"/>
      <c r="AA41" s="1254"/>
      <c r="AB41" s="1254"/>
      <c r="AC41" s="1254"/>
      <c r="AD41" s="1254"/>
      <c r="AE41" s="1254"/>
      <c r="AF41" s="1254"/>
      <c r="AG41" s="1254"/>
      <c r="AH41" s="1254"/>
      <c r="AI41" s="1254"/>
      <c r="AJ41" s="1254"/>
      <c r="AK41" s="1254"/>
      <c r="AL41" s="1254"/>
      <c r="AM41" s="1254"/>
      <c r="AN41" s="1254"/>
      <c r="AO41" s="1254"/>
      <c r="AP41" s="1254"/>
      <c r="AQ41" s="1254"/>
      <c r="AR41" s="1254"/>
      <c r="AS41" s="1254"/>
      <c r="AT41" s="1254"/>
      <c r="AU41" s="1254"/>
      <c r="AV41" s="1254"/>
      <c r="AW41" s="1254"/>
      <c r="AX41" s="1254"/>
      <c r="AY41" s="1254"/>
      <c r="AZ41" s="1254"/>
    </row>
    <row r="42" spans="1:54">
      <c r="A42" s="1237" t="str">
        <f>CONCATENATE(ПОДПИСИ!C19," ",ПОДПИСИ!F19)</f>
        <v xml:space="preserve">  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</row>
    <row r="43" spans="1:54" ht="13.9" customHeight="1">
      <c r="A43" s="1239" t="s">
        <v>1056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</row>
    <row r="44" spans="1:54" ht="12" customHeight="1">
      <c r="A44" s="1260" t="s">
        <v>531</v>
      </c>
      <c r="B44" s="1260"/>
      <c r="C44" s="1260"/>
      <c r="D44" s="1260"/>
      <c r="E44" s="1260"/>
      <c r="F44" s="1260"/>
      <c r="G44" s="1260"/>
      <c r="H44" s="1260"/>
      <c r="I44" s="1260"/>
      <c r="J44" s="1260"/>
      <c r="K44" s="1260"/>
      <c r="L44" s="1260"/>
      <c r="M44" s="1260"/>
      <c r="N44" s="1260"/>
      <c r="O44" s="1260"/>
      <c r="P44" s="1260"/>
      <c r="Q44" s="1260"/>
      <c r="R44" s="1260"/>
      <c r="S44" s="1260"/>
      <c r="T44" s="1260"/>
      <c r="U44" s="1260"/>
      <c r="V44" s="1260"/>
      <c r="W44" s="1260"/>
      <c r="X44" s="1260"/>
      <c r="Y44" s="1260"/>
      <c r="Z44" s="1260"/>
      <c r="AA44" s="1260"/>
      <c r="AB44" s="1260"/>
      <c r="AC44" s="1260"/>
      <c r="AD44" s="1260"/>
      <c r="AE44" s="1260"/>
      <c r="AF44" s="1260"/>
      <c r="AG44" s="1260"/>
      <c r="AH44" s="1260"/>
      <c r="AI44" s="1260"/>
      <c r="AJ44" s="1260"/>
      <c r="AK44" s="1260"/>
      <c r="AL44" s="1260"/>
      <c r="AM44" s="1260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</row>
    <row r="45" spans="1:54" ht="12" customHeight="1">
      <c r="A45" s="1262" t="str">
        <f>ПОДПИСИ!B12</f>
        <v xml:space="preserve">Производитель работ ООО«БЭСК» </v>
      </c>
      <c r="B45" s="1262"/>
      <c r="C45" s="1262"/>
      <c r="D45" s="1262"/>
      <c r="E45" s="1262"/>
      <c r="F45" s="1262"/>
      <c r="G45" s="1262"/>
      <c r="H45" s="1262"/>
      <c r="I45" s="1262"/>
      <c r="J45" s="1262"/>
      <c r="K45" s="1262"/>
      <c r="L45" s="1262"/>
      <c r="M45" s="1262"/>
      <c r="N45" s="1262"/>
      <c r="O45" s="1262"/>
      <c r="P45" s="1262"/>
      <c r="Q45" s="1262"/>
      <c r="R45" s="1262"/>
      <c r="S45" s="1262"/>
      <c r="T45" s="1262"/>
      <c r="U45" s="1262"/>
      <c r="V45" s="1262"/>
      <c r="W45" s="1262"/>
      <c r="X45" s="1262"/>
      <c r="Y45" s="1262"/>
      <c r="Z45" s="1262"/>
      <c r="AA45" s="1262"/>
      <c r="AB45" s="1262"/>
      <c r="AC45" s="1262"/>
      <c r="AD45" s="1262"/>
      <c r="AE45" s="1262"/>
      <c r="AF45" s="1262"/>
      <c r="AG45" s="1262"/>
      <c r="AH45" s="1262"/>
      <c r="AI45" s="1262"/>
      <c r="AJ45" s="1262"/>
      <c r="AK45" s="1262"/>
      <c r="AL45" s="1262"/>
      <c r="AM45" s="1262"/>
      <c r="AN45" s="1262"/>
      <c r="AO45" s="1262"/>
      <c r="AP45" s="1262"/>
      <c r="AQ45" s="1262"/>
      <c r="AR45" s="1262"/>
      <c r="AS45" s="1262"/>
      <c r="AT45" s="1262"/>
      <c r="AU45" s="1262"/>
      <c r="AV45" s="1262"/>
      <c r="AW45" s="1262"/>
      <c r="AX45" s="1262"/>
      <c r="AY45" s="1262"/>
      <c r="AZ45" s="1262"/>
      <c r="BA45" s="31"/>
      <c r="BB45" s="9"/>
    </row>
    <row r="46" spans="1:54" ht="12" customHeight="1">
      <c r="A46" s="1255" t="str">
        <f>CONCATENATE(ПОДПИСИ!C12,ПОДПИСИ!F12)</f>
        <v>Махмадов А.Р.</v>
      </c>
      <c r="B46" s="1255"/>
      <c r="C46" s="1255"/>
      <c r="D46" s="1255"/>
      <c r="E46" s="1255"/>
      <c r="F46" s="1255"/>
      <c r="G46" s="1255"/>
      <c r="H46" s="1255"/>
      <c r="I46" s="1255"/>
      <c r="J46" s="1255"/>
      <c r="K46" s="1255"/>
      <c r="L46" s="1255"/>
      <c r="M46" s="1255"/>
      <c r="N46" s="1255"/>
      <c r="O46" s="1255"/>
      <c r="P46" s="1255"/>
      <c r="Q46" s="1255"/>
      <c r="R46" s="1255"/>
      <c r="S46" s="1255"/>
      <c r="T46" s="1255"/>
      <c r="U46" s="1255"/>
      <c r="V46" s="1255"/>
      <c r="W46" s="1255"/>
      <c r="X46" s="1255"/>
      <c r="Y46" s="1255"/>
      <c r="Z46" s="1255"/>
      <c r="AA46" s="1255"/>
      <c r="AB46" s="1255"/>
      <c r="AC46" s="1255"/>
      <c r="AD46" s="1255"/>
      <c r="AE46" s="1255"/>
      <c r="AF46" s="1255"/>
      <c r="AG46" s="1255"/>
      <c r="AH46" s="1255"/>
      <c r="AI46" s="1255"/>
      <c r="AJ46" s="1255"/>
      <c r="AK46" s="1255"/>
      <c r="AL46" s="1255"/>
      <c r="AM46" s="1255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</row>
    <row r="47" spans="1:54" ht="7.9" customHeight="1">
      <c r="A47" s="1256" t="s">
        <v>518</v>
      </c>
      <c r="B47" s="1257"/>
      <c r="C47" s="1257"/>
      <c r="D47" s="1257"/>
      <c r="E47" s="1257"/>
      <c r="F47" s="1257"/>
      <c r="G47" s="1257"/>
      <c r="H47" s="1257"/>
      <c r="I47" s="1257"/>
      <c r="J47" s="1257"/>
      <c r="K47" s="1257"/>
      <c r="L47" s="1257"/>
      <c r="M47" s="1257"/>
      <c r="N47" s="1257"/>
      <c r="O47" s="1257"/>
      <c r="P47" s="1257"/>
      <c r="Q47" s="1257"/>
      <c r="R47" s="1257"/>
      <c r="S47" s="1257"/>
      <c r="T47" s="1257"/>
      <c r="U47" s="1257"/>
      <c r="V47" s="1257"/>
      <c r="W47" s="1257"/>
      <c r="X47" s="1257"/>
      <c r="Y47" s="1257"/>
      <c r="Z47" s="1257"/>
      <c r="AA47" s="1257"/>
      <c r="AB47" s="1257"/>
      <c r="AC47" s="1257"/>
      <c r="AD47" s="1257"/>
      <c r="AE47" s="1257"/>
      <c r="AF47" s="1257"/>
      <c r="AG47" s="1257"/>
      <c r="AH47" s="1257"/>
      <c r="AI47" s="1257"/>
      <c r="AJ47" s="1257"/>
      <c r="AK47" s="1257"/>
      <c r="AL47" s="1257"/>
      <c r="AM47" s="1257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</row>
    <row r="48" spans="1:54" ht="12" hidden="1" customHeight="1">
      <c r="A48" s="1235" t="s">
        <v>79</v>
      </c>
      <c r="B48" s="1235"/>
      <c r="C48" s="1235"/>
      <c r="D48" s="1235"/>
      <c r="E48" s="1235"/>
      <c r="F48" s="1235"/>
      <c r="G48" s="1235"/>
      <c r="H48" s="1235"/>
      <c r="I48" s="1235"/>
      <c r="J48" s="1235"/>
      <c r="K48" s="1235"/>
      <c r="L48" s="1235"/>
      <c r="M48" s="1235"/>
      <c r="N48" s="1235"/>
      <c r="O48" s="1235"/>
      <c r="P48" s="1235"/>
      <c r="Q48" s="1235"/>
      <c r="R48" s="1235"/>
      <c r="S48" s="1235"/>
      <c r="T48" s="1235"/>
      <c r="U48" s="1235"/>
      <c r="V48" s="1235"/>
      <c r="W48" s="1235"/>
      <c r="X48" s="1235"/>
      <c r="Y48" s="1235"/>
      <c r="Z48" s="1235"/>
      <c r="AA48" s="1235"/>
      <c r="AB48" s="1235"/>
      <c r="AC48" s="1235"/>
      <c r="AD48" s="1235"/>
      <c r="AE48" s="1235"/>
      <c r="AF48" s="1235"/>
      <c r="AG48" s="1235"/>
      <c r="AH48" s="1235"/>
      <c r="AI48" s="1235"/>
      <c r="AJ48" s="1235"/>
      <c r="AK48" s="1235"/>
      <c r="AL48" s="1235"/>
      <c r="AM48" s="1235"/>
      <c r="AN48" s="1235"/>
      <c r="AO48" s="1235"/>
      <c r="AP48" s="1235"/>
      <c r="AQ48" s="1235"/>
      <c r="AR48" s="1235"/>
      <c r="AS48" s="1235"/>
      <c r="AT48" s="1235"/>
      <c r="AU48" s="1235"/>
      <c r="AV48" s="1235"/>
      <c r="AW48" s="1235"/>
      <c r="AX48" s="1235"/>
      <c r="AY48" s="1235"/>
      <c r="AZ48" s="1235"/>
    </row>
    <row r="49" spans="1:56" ht="12" hidden="1" customHeight="1">
      <c r="A49" s="1236"/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</row>
    <row r="50" spans="1:56" ht="12" hidden="1" customHeight="1">
      <c r="A50" s="1254"/>
      <c r="B50" s="1254"/>
      <c r="C50" s="1254"/>
      <c r="D50" s="1254"/>
      <c r="E50" s="1254"/>
      <c r="F50" s="1254"/>
      <c r="G50" s="1254"/>
      <c r="H50" s="1254"/>
      <c r="I50" s="1254"/>
      <c r="J50" s="1254"/>
      <c r="K50" s="1254"/>
      <c r="L50" s="1254"/>
      <c r="M50" s="1254"/>
      <c r="N50" s="1254"/>
      <c r="O50" s="1254"/>
      <c r="P50" s="1254"/>
      <c r="Q50" s="1254"/>
      <c r="R50" s="1254"/>
      <c r="S50" s="1254"/>
      <c r="T50" s="1254"/>
      <c r="U50" s="1254"/>
      <c r="V50" s="1254"/>
      <c r="W50" s="1254"/>
      <c r="X50" s="1254"/>
      <c r="Y50" s="1254"/>
      <c r="Z50" s="1254"/>
      <c r="AA50" s="1254"/>
      <c r="AB50" s="1254"/>
      <c r="AC50" s="1254"/>
      <c r="AD50" s="1254"/>
      <c r="AE50" s="1254"/>
      <c r="AF50" s="1254"/>
      <c r="AG50" s="1254"/>
      <c r="AH50" s="1254"/>
      <c r="AI50" s="1254"/>
      <c r="AJ50" s="1254"/>
      <c r="AK50" s="1254"/>
      <c r="AL50" s="1254"/>
      <c r="AM50" s="1254"/>
      <c r="AN50" s="1254"/>
      <c r="AO50" s="1254"/>
      <c r="AP50" s="1254"/>
      <c r="AQ50" s="1254"/>
      <c r="AR50" s="1254"/>
      <c r="AS50" s="1254"/>
      <c r="AT50" s="1254"/>
      <c r="AU50" s="1254"/>
      <c r="AV50" s="1254"/>
      <c r="AW50" s="1254"/>
      <c r="AX50" s="1254"/>
      <c r="AY50" s="1254"/>
      <c r="AZ50" s="1254"/>
    </row>
    <row r="51" spans="1:56" ht="7.5" hidden="1" customHeight="1">
      <c r="A51" s="1240" t="s">
        <v>523</v>
      </c>
      <c r="B51" s="1240"/>
      <c r="C51" s="1240"/>
      <c r="D51" s="1240"/>
      <c r="E51" s="1240"/>
      <c r="F51" s="1240"/>
      <c r="G51" s="1240"/>
      <c r="H51" s="1240"/>
      <c r="I51" s="1240"/>
      <c r="J51" s="1240"/>
      <c r="K51" s="1240"/>
      <c r="L51" s="1240"/>
      <c r="M51" s="1240"/>
      <c r="N51" s="1240"/>
      <c r="O51" s="1240"/>
      <c r="P51" s="1240"/>
      <c r="Q51" s="1240"/>
      <c r="R51" s="1240"/>
      <c r="S51" s="1240"/>
      <c r="T51" s="1240"/>
      <c r="U51" s="1240"/>
      <c r="V51" s="1240"/>
      <c r="W51" s="1240"/>
      <c r="X51" s="1240"/>
      <c r="Y51" s="1240"/>
      <c r="Z51" s="1240"/>
      <c r="AA51" s="1240"/>
      <c r="AB51" s="1240"/>
      <c r="AC51" s="1240"/>
      <c r="AD51" s="1240"/>
      <c r="AE51" s="1240"/>
      <c r="AF51" s="1240"/>
      <c r="AG51" s="1240"/>
      <c r="AH51" s="1240"/>
      <c r="AI51" s="1240"/>
      <c r="AJ51" s="1240"/>
      <c r="AK51" s="1240"/>
      <c r="AL51" s="1240"/>
      <c r="AM51" s="1240"/>
      <c r="AN51" s="1240"/>
      <c r="AO51" s="1240"/>
      <c r="AP51" s="1240"/>
      <c r="AQ51" s="1240"/>
      <c r="AR51" s="1240"/>
      <c r="AS51" s="1240"/>
      <c r="AT51" s="1240"/>
      <c r="AU51" s="1240"/>
      <c r="AV51" s="1240"/>
      <c r="AW51" s="1240"/>
      <c r="AX51" s="1240"/>
      <c r="AY51" s="1240"/>
      <c r="AZ51" s="1240"/>
    </row>
    <row r="52" spans="1:56" ht="12" customHeight="1">
      <c r="A52" s="1235" t="s">
        <v>379</v>
      </c>
      <c r="B52" s="1235"/>
      <c r="C52" s="1235"/>
      <c r="D52" s="1235"/>
      <c r="E52" s="1235"/>
      <c r="F52" s="1235"/>
      <c r="G52" s="1235"/>
      <c r="H52" s="1235"/>
      <c r="I52" s="1235"/>
      <c r="J52" s="1235"/>
      <c r="K52" s="1235"/>
      <c r="L52" s="1235"/>
      <c r="M52" s="1235"/>
      <c r="N52" s="1235"/>
      <c r="O52" s="1235"/>
      <c r="P52" s="1235"/>
      <c r="Q52" s="1235"/>
      <c r="R52" s="1235"/>
      <c r="S52" s="1235"/>
      <c r="T52" s="1235"/>
      <c r="U52" s="1235"/>
      <c r="V52" s="1235"/>
      <c r="W52" s="1235"/>
      <c r="X52" s="1235"/>
      <c r="Y52" s="1235"/>
      <c r="Z52" s="1235"/>
      <c r="AA52" s="1235"/>
      <c r="AB52" s="1235"/>
      <c r="AC52" s="1235"/>
      <c r="AD52" s="1235"/>
      <c r="AE52" s="1235"/>
      <c r="AF52" s="1235"/>
      <c r="AG52" s="1235"/>
      <c r="AH52" s="1235"/>
      <c r="AI52" s="1235"/>
      <c r="AJ52" s="1235"/>
      <c r="AK52" s="1235"/>
      <c r="AL52" s="1235"/>
      <c r="AM52" s="1235"/>
      <c r="AN52" s="1235"/>
      <c r="AO52" s="1235"/>
      <c r="AP52" s="1235"/>
      <c r="AQ52" s="1235"/>
      <c r="AR52" s="1235"/>
      <c r="AS52" s="1235"/>
      <c r="AT52" s="1235"/>
      <c r="AU52" s="1235"/>
      <c r="AV52" s="1235"/>
      <c r="AW52" s="1235"/>
      <c r="AX52" s="1235"/>
      <c r="AY52" s="1235"/>
      <c r="AZ52" s="1235"/>
    </row>
    <row r="53" spans="1:56" ht="13.5" customHeight="1">
      <c r="A53" s="1228" t="str">
        <f>ФОРМА!B4</f>
        <v>ООО «БЭСК»</v>
      </c>
      <c r="B53" s="1228"/>
      <c r="C53" s="1228"/>
      <c r="D53" s="1228"/>
      <c r="E53" s="1228"/>
      <c r="F53" s="1228"/>
      <c r="G53" s="1228"/>
      <c r="H53" s="1228"/>
      <c r="I53" s="1228"/>
      <c r="J53" s="1228"/>
      <c r="K53" s="1228"/>
      <c r="L53" s="1228"/>
      <c r="M53" s="1228"/>
      <c r="N53" s="1228"/>
      <c r="O53" s="1228"/>
      <c r="P53" s="1228"/>
      <c r="Q53" s="1228"/>
      <c r="R53" s="1228"/>
      <c r="S53" s="1228"/>
      <c r="T53" s="1228"/>
      <c r="U53" s="1228"/>
      <c r="V53" s="1228"/>
      <c r="W53" s="1228"/>
      <c r="X53" s="1228"/>
      <c r="Y53" s="1228"/>
      <c r="Z53" s="1228"/>
      <c r="AA53" s="1228"/>
      <c r="AB53" s="1228"/>
      <c r="AC53" s="1228"/>
      <c r="AD53" s="1228"/>
      <c r="AE53" s="1228"/>
      <c r="AF53" s="1228"/>
      <c r="AG53" s="1228"/>
      <c r="AH53" s="1228"/>
      <c r="AI53" s="1228"/>
      <c r="AJ53" s="1228"/>
      <c r="AK53" s="1228"/>
      <c r="AL53" s="1228"/>
      <c r="AM53" s="1228"/>
      <c r="AN53" s="1228"/>
      <c r="AO53" s="1228"/>
      <c r="AP53" s="1228"/>
      <c r="AQ53" s="1228"/>
      <c r="AR53" s="1228"/>
      <c r="AS53" s="1228"/>
      <c r="AT53" s="1228"/>
      <c r="AU53" s="1228"/>
      <c r="AV53" s="1228"/>
      <c r="AW53" s="1228"/>
      <c r="AX53" s="1228"/>
      <c r="AY53" s="1228"/>
      <c r="AZ53" s="1228"/>
    </row>
    <row r="54" spans="1:56" s="127" customFormat="1" ht="7.15" customHeight="1">
      <c r="A54" s="1256" t="s">
        <v>828</v>
      </c>
      <c r="B54" s="1258"/>
      <c r="C54" s="1258"/>
      <c r="D54" s="1258"/>
      <c r="E54" s="1258"/>
      <c r="F54" s="1258"/>
      <c r="G54" s="1258"/>
      <c r="H54" s="1258"/>
      <c r="I54" s="1258"/>
      <c r="J54" s="1258"/>
      <c r="K54" s="1258"/>
      <c r="L54" s="1258"/>
      <c r="M54" s="1258"/>
      <c r="N54" s="1258"/>
      <c r="O54" s="1258"/>
      <c r="P54" s="1258"/>
      <c r="Q54" s="1258"/>
      <c r="R54" s="1258"/>
      <c r="S54" s="1258"/>
      <c r="T54" s="1258"/>
      <c r="U54" s="1258"/>
      <c r="V54" s="1258"/>
      <c r="W54" s="1258"/>
      <c r="X54" s="1258"/>
      <c r="Y54" s="1258"/>
      <c r="Z54" s="1258"/>
      <c r="AA54" s="1258"/>
      <c r="AB54" s="1258"/>
      <c r="AC54" s="1258"/>
      <c r="AD54" s="1258"/>
      <c r="AE54" s="1258"/>
      <c r="AF54" s="1258"/>
      <c r="AG54" s="1258"/>
      <c r="AH54" s="1258"/>
      <c r="AI54" s="1258"/>
      <c r="AJ54" s="1258"/>
      <c r="AK54" s="1258"/>
      <c r="AL54" s="1258"/>
      <c r="AM54" s="1258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</row>
    <row r="55" spans="1:56" ht="12" customHeight="1">
      <c r="A55" s="1235" t="s">
        <v>9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35"/>
      <c r="V55" s="1235"/>
      <c r="W55" s="1235"/>
      <c r="X55" s="1235"/>
      <c r="Y55" s="1235"/>
      <c r="Z55" s="1235"/>
      <c r="AA55" s="1235"/>
      <c r="AB55" s="1235"/>
      <c r="AC55" s="1235"/>
      <c r="AD55" s="1235"/>
      <c r="AE55" s="1235"/>
      <c r="AF55" s="1235"/>
      <c r="AG55" s="1235"/>
      <c r="AH55" s="1235"/>
      <c r="AI55" s="1235"/>
      <c r="AJ55" s="1235"/>
      <c r="AK55" s="1235"/>
      <c r="AL55" s="1235"/>
      <c r="AM55" s="1235"/>
      <c r="AN55" s="1235"/>
      <c r="AO55" s="1235"/>
      <c r="AP55" s="1235"/>
      <c r="AQ55" s="1235"/>
      <c r="AR55" s="1235"/>
      <c r="AS55" s="1235"/>
      <c r="AT55" s="1235"/>
      <c r="AU55" s="1235"/>
      <c r="AV55" s="1235"/>
      <c r="AW55" s="1235"/>
      <c r="AX55" s="1235"/>
      <c r="AY55" s="1235"/>
      <c r="AZ55" s="1235"/>
    </row>
    <row r="56" spans="1:56" ht="12" customHeight="1">
      <c r="A56" s="1235" t="s">
        <v>390</v>
      </c>
      <c r="B56" s="1235"/>
      <c r="C56" s="1235"/>
      <c r="D56" s="1235"/>
      <c r="E56" s="1235"/>
      <c r="F56" s="1235"/>
      <c r="G56" s="1235"/>
      <c r="H56" s="1235"/>
      <c r="I56" s="1235"/>
      <c r="J56" s="1235"/>
      <c r="K56" s="1235"/>
      <c r="L56" s="1235"/>
      <c r="M56" s="1235"/>
      <c r="N56" s="1235"/>
      <c r="O56" s="1235"/>
      <c r="P56" s="1235"/>
      <c r="Q56" s="1235"/>
      <c r="R56" s="1235"/>
      <c r="S56" s="1235"/>
      <c r="T56" s="1235"/>
      <c r="U56" s="1235"/>
      <c r="V56" s="1235"/>
      <c r="W56" s="1235"/>
      <c r="X56" s="1235"/>
      <c r="Y56" s="1235"/>
      <c r="Z56" s="1235"/>
      <c r="AA56" s="1235"/>
      <c r="AB56" s="1235"/>
      <c r="AC56" s="1235"/>
      <c r="AD56" s="1235"/>
      <c r="AE56" s="1235"/>
      <c r="AF56" s="1235"/>
      <c r="AG56" s="1235"/>
      <c r="AH56" s="1235"/>
      <c r="AI56" s="1235"/>
      <c r="AJ56" s="1235"/>
      <c r="AK56" s="1235"/>
      <c r="AL56" s="1235"/>
      <c r="AM56" s="1235"/>
      <c r="AN56" s="1235"/>
      <c r="AO56" s="1235"/>
      <c r="AP56" s="1235"/>
      <c r="AQ56" s="1235"/>
      <c r="AR56" s="1235"/>
      <c r="AS56" s="1235"/>
      <c r="AT56" s="1235"/>
      <c r="AU56" s="1235"/>
      <c r="AV56" s="1235"/>
      <c r="AW56" s="1235"/>
      <c r="AX56" s="1235"/>
      <c r="AY56" s="1235"/>
      <c r="AZ56" s="1235"/>
    </row>
    <row r="57" spans="1:56" ht="14.25" customHeight="1">
      <c r="A57" s="1246" t="str">
        <f ca="1">INDIRECT("'АКТЫ скрытых работ'!R"&amp;BE3&amp;"C3",0)</f>
        <v>Огрунтовка и окраска сварных соединений</v>
      </c>
      <c r="B57" s="1246"/>
      <c r="C57" s="1246"/>
      <c r="D57" s="1246"/>
      <c r="E57" s="1246"/>
      <c r="F57" s="1246"/>
      <c r="G57" s="1246"/>
      <c r="H57" s="1246"/>
      <c r="I57" s="1246"/>
      <c r="J57" s="1246"/>
      <c r="K57" s="1246"/>
      <c r="L57" s="1246"/>
      <c r="M57" s="1246"/>
      <c r="N57" s="1246"/>
      <c r="O57" s="1246"/>
      <c r="P57" s="1246"/>
      <c r="Q57" s="1246"/>
      <c r="R57" s="1246"/>
      <c r="S57" s="1246"/>
      <c r="T57" s="1246"/>
      <c r="U57" s="1246"/>
      <c r="V57" s="1246"/>
      <c r="W57" s="1246"/>
      <c r="X57" s="1246"/>
      <c r="Y57" s="1246"/>
      <c r="Z57" s="1246"/>
      <c r="AA57" s="1246"/>
      <c r="AB57" s="1246"/>
      <c r="AC57" s="1246"/>
      <c r="AD57" s="1246"/>
      <c r="AE57" s="1246"/>
      <c r="AF57" s="1246"/>
      <c r="AG57" s="1246"/>
      <c r="AH57" s="1246"/>
      <c r="AI57" s="1246"/>
      <c r="AJ57" s="1246"/>
      <c r="AK57" s="1246"/>
      <c r="AL57" s="1246"/>
      <c r="AM57" s="1246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</row>
    <row r="58" spans="1:56" ht="10.5" customHeight="1">
      <c r="A58" s="1242" t="s">
        <v>532</v>
      </c>
      <c r="B58" s="1242"/>
      <c r="C58" s="1242"/>
      <c r="D58" s="1242"/>
      <c r="E58" s="1242"/>
      <c r="F58" s="1242"/>
      <c r="G58" s="1242"/>
      <c r="H58" s="1242"/>
      <c r="I58" s="1242"/>
      <c r="J58" s="1242"/>
      <c r="K58" s="1242"/>
      <c r="L58" s="1242"/>
      <c r="M58" s="1242"/>
      <c r="N58" s="1242"/>
      <c r="O58" s="1242"/>
      <c r="P58" s="1242"/>
      <c r="Q58" s="1242"/>
      <c r="R58" s="1242"/>
      <c r="S58" s="1242"/>
      <c r="T58" s="1242"/>
      <c r="U58" s="1242"/>
      <c r="V58" s="1242"/>
      <c r="W58" s="1242"/>
      <c r="X58" s="1242"/>
      <c r="Y58" s="1242"/>
      <c r="Z58" s="1242"/>
      <c r="AA58" s="1242"/>
      <c r="AB58" s="1242"/>
      <c r="AC58" s="1242"/>
      <c r="AD58" s="1242"/>
      <c r="AE58" s="1242"/>
      <c r="AF58" s="1242"/>
      <c r="AG58" s="1242"/>
      <c r="AH58" s="1242"/>
      <c r="AI58" s="1242"/>
      <c r="AJ58" s="1242"/>
      <c r="AK58" s="1242"/>
      <c r="AL58" s="1242"/>
      <c r="AM58" s="1242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</row>
    <row r="59" spans="1:56" ht="12" customHeight="1">
      <c r="A59" s="416" t="s">
        <v>391</v>
      </c>
      <c r="Z59" s="9"/>
      <c r="AA59" s="9"/>
      <c r="AB59" s="9"/>
      <c r="AC59" s="9"/>
      <c r="AD59" s="1246" t="str">
        <f>IF(ФОРМА!B8=0," ",ФОРМА!B8)</f>
        <v>ООО «Строительные энергетические технологии»</v>
      </c>
      <c r="AE59" s="1246"/>
      <c r="AF59" s="1246"/>
      <c r="AG59" s="1246"/>
      <c r="AH59" s="1246"/>
      <c r="AI59" s="1246"/>
      <c r="AJ59" s="1246"/>
      <c r="AK59" s="1246"/>
      <c r="AL59" s="1246"/>
      <c r="AM59" s="1246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</row>
    <row r="60" spans="1:56" ht="8.25" customHeight="1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40" t="s">
        <v>83</v>
      </c>
      <c r="AE60" s="1240"/>
      <c r="AF60" s="1240"/>
      <c r="AG60" s="1240"/>
      <c r="AH60" s="1240"/>
      <c r="AI60" s="1240"/>
      <c r="AJ60" s="1240"/>
      <c r="AK60" s="1240"/>
      <c r="AL60" s="1240"/>
      <c r="AM60" s="124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</row>
    <row r="61" spans="1:56" ht="12" customHeight="1">
      <c r="A61" s="1237" t="str">
        <f>IF(ФОРМА!B9=0," ",CONCATENATE("Проект Шифр ",ФОРМА!B9))</f>
        <v>Проект Шифр СЭС-23-32939-ЭС-ТКР2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</row>
    <row r="62" spans="1:56" ht="7.15" customHeight="1">
      <c r="A62" s="1240" t="s">
        <v>533</v>
      </c>
      <c r="B62" s="1240"/>
      <c r="C62" s="1240"/>
      <c r="D62" s="1240"/>
      <c r="E62" s="1240"/>
      <c r="F62" s="1240"/>
      <c r="G62" s="1240"/>
      <c r="H62" s="1240"/>
      <c r="I62" s="1240"/>
      <c r="J62" s="1240"/>
      <c r="K62" s="1240"/>
      <c r="L62" s="1240"/>
      <c r="M62" s="1240"/>
      <c r="N62" s="1240"/>
      <c r="O62" s="1240"/>
      <c r="P62" s="1240"/>
      <c r="Q62" s="1240"/>
      <c r="R62" s="1240"/>
      <c r="S62" s="1240"/>
      <c r="T62" s="1240"/>
      <c r="U62" s="1240"/>
      <c r="V62" s="1240"/>
      <c r="W62" s="1240"/>
      <c r="X62" s="1240"/>
      <c r="Y62" s="1240"/>
      <c r="Z62" s="1240"/>
      <c r="AA62" s="1240"/>
      <c r="AB62" s="1240"/>
      <c r="AC62" s="1240"/>
      <c r="AD62" s="1240"/>
      <c r="AE62" s="1240"/>
      <c r="AF62" s="1240"/>
      <c r="AG62" s="1240"/>
      <c r="AH62" s="1240"/>
      <c r="AI62" s="1240"/>
      <c r="AJ62" s="1240"/>
      <c r="AK62" s="1240"/>
      <c r="AL62" s="1240"/>
      <c r="AM62" s="1240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</row>
    <row r="63" spans="1:56" ht="12" customHeight="1">
      <c r="A63" s="1235" t="s">
        <v>534</v>
      </c>
      <c r="B63" s="1235"/>
      <c r="C63" s="1235"/>
      <c r="D63" s="1235"/>
      <c r="E63" s="1235"/>
      <c r="F63" s="1235"/>
      <c r="G63" s="1235"/>
      <c r="H63" s="1235"/>
      <c r="I63" s="1235"/>
      <c r="J63" s="1235"/>
      <c r="K63" s="1235"/>
      <c r="L63" s="1235"/>
      <c r="M63" s="1235"/>
      <c r="N63" s="1235"/>
      <c r="O63" s="1235"/>
      <c r="P63" s="1235"/>
      <c r="Q63" s="1235"/>
      <c r="R63" s="1235"/>
      <c r="S63" s="1235"/>
      <c r="T63" s="1235"/>
      <c r="U63" s="1235"/>
      <c r="V63" s="1235"/>
      <c r="W63" s="1235"/>
      <c r="X63" s="1235"/>
      <c r="Y63" s="1235"/>
      <c r="Z63" s="1235"/>
      <c r="AA63" s="1235"/>
      <c r="AB63" s="1235"/>
      <c r="AC63" s="1235"/>
      <c r="AD63" s="1235"/>
      <c r="AE63" s="1235"/>
      <c r="AF63" s="1235"/>
      <c r="AG63" s="1235"/>
      <c r="AH63" s="1235"/>
      <c r="AI63" s="1235"/>
      <c r="AJ63" s="1235"/>
      <c r="AK63" s="1235"/>
      <c r="AL63" s="1235"/>
      <c r="AM63" s="1235"/>
      <c r="AN63" s="1235"/>
      <c r="AO63" s="1235"/>
      <c r="AP63" s="1235"/>
      <c r="AQ63" s="1235"/>
      <c r="AR63" s="1235"/>
      <c r="AS63" s="1235"/>
      <c r="AT63" s="1235"/>
      <c r="AU63" s="1235"/>
      <c r="AV63" s="1235"/>
      <c r="AW63" s="1235"/>
      <c r="AX63" s="1235"/>
      <c r="AY63" s="1235"/>
      <c r="AZ63" s="1235"/>
      <c r="BD63" s="11"/>
    </row>
    <row r="64" spans="1:56" ht="24" customHeight="1">
      <c r="A64" s="1238" t="str">
        <f>'АКТЫ скрытых работ'!P2</f>
        <v>Акт освидетельствования скрытых работ №1-ОП от 02 ноября 2024г. Разработка котлована для установки стоек</v>
      </c>
      <c r="B64" s="1236"/>
      <c r="C64" s="1236"/>
      <c r="D64" s="1236"/>
      <c r="E64" s="1236"/>
      <c r="F64" s="1236"/>
      <c r="G64" s="1236"/>
      <c r="H64" s="1236"/>
      <c r="I64" s="1236"/>
      <c r="J64" s="1236"/>
      <c r="K64" s="1236"/>
      <c r="L64" s="1236"/>
      <c r="M64" s="1236"/>
      <c r="N64" s="1236"/>
      <c r="O64" s="1236"/>
      <c r="P64" s="1236"/>
      <c r="Q64" s="1236"/>
      <c r="R64" s="1236"/>
      <c r="S64" s="1236"/>
      <c r="T64" s="1236"/>
      <c r="U64" s="1236"/>
      <c r="V64" s="1236"/>
      <c r="W64" s="1236"/>
      <c r="X64" s="1236"/>
      <c r="Y64" s="1236"/>
      <c r="Z64" s="1236"/>
      <c r="AA64" s="1236"/>
      <c r="AB64" s="1236"/>
      <c r="AC64" s="1236"/>
      <c r="AD64" s="1236"/>
      <c r="AE64" s="1236"/>
      <c r="AF64" s="1236"/>
      <c r="AG64" s="1236"/>
      <c r="AH64" s="1236"/>
      <c r="AI64" s="1236"/>
      <c r="AJ64" s="1236"/>
      <c r="AK64" s="1236"/>
      <c r="AL64" s="1236"/>
      <c r="AM64" s="1236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D64" s="15"/>
    </row>
    <row r="65" spans="1:56" ht="7.9" customHeight="1">
      <c r="A65" s="1239" t="s">
        <v>380</v>
      </c>
      <c r="B65" s="1239"/>
      <c r="C65" s="1239"/>
      <c r="D65" s="1239"/>
      <c r="E65" s="1239"/>
      <c r="F65" s="1239"/>
      <c r="G65" s="1239"/>
      <c r="H65" s="1239"/>
      <c r="I65" s="1239"/>
      <c r="J65" s="1239"/>
      <c r="K65" s="1239"/>
      <c r="L65" s="1239"/>
      <c r="M65" s="1239"/>
      <c r="N65" s="1239"/>
      <c r="O65" s="1239"/>
      <c r="P65" s="1239"/>
      <c r="Q65" s="1239"/>
      <c r="R65" s="1239"/>
      <c r="S65" s="1239"/>
      <c r="T65" s="1239"/>
      <c r="U65" s="1239"/>
      <c r="V65" s="1239"/>
      <c r="W65" s="1239"/>
      <c r="X65" s="1239"/>
      <c r="Y65" s="1239"/>
      <c r="Z65" s="1239"/>
      <c r="AA65" s="1239"/>
      <c r="AB65" s="1239"/>
      <c r="AC65" s="1239"/>
      <c r="AD65" s="1239"/>
      <c r="AE65" s="1239"/>
      <c r="AF65" s="1239"/>
      <c r="AG65" s="1239"/>
      <c r="AH65" s="1239"/>
      <c r="AI65" s="1239"/>
      <c r="AJ65" s="1239"/>
      <c r="AK65" s="1239"/>
      <c r="AL65" s="1239"/>
      <c r="AM65" s="1239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</row>
    <row r="66" spans="1:56" ht="12" customHeight="1">
      <c r="A66" s="1235" t="s">
        <v>536</v>
      </c>
      <c r="B66" s="1235"/>
      <c r="C66" s="1235"/>
      <c r="D66" s="1235"/>
      <c r="E66" s="1235"/>
      <c r="F66" s="1235"/>
      <c r="G66" s="1235"/>
      <c r="H66" s="1235"/>
      <c r="I66" s="1235"/>
      <c r="J66" s="1235"/>
      <c r="K66" s="1235"/>
      <c r="L66" s="1235"/>
      <c r="M66" s="1235"/>
      <c r="N66" s="1235"/>
      <c r="O66" s="1235"/>
      <c r="P66" s="1235"/>
      <c r="Q66" s="1235"/>
      <c r="R66" s="1235"/>
      <c r="S66" s="1235"/>
      <c r="T66" s="1235"/>
      <c r="U66" s="1235"/>
      <c r="V66" s="1235"/>
      <c r="W66" s="1235"/>
      <c r="X66" s="1235"/>
      <c r="Y66" s="1235"/>
      <c r="Z66" s="1235"/>
      <c r="AA66" s="1235"/>
      <c r="AB66" s="1235"/>
      <c r="AC66" s="1235"/>
      <c r="AD66" s="1235"/>
      <c r="AE66" s="1235"/>
      <c r="AF66" s="1235"/>
      <c r="AG66" s="1235"/>
      <c r="AH66" s="1235"/>
      <c r="AI66" s="1235"/>
      <c r="AJ66" s="1235"/>
      <c r="AK66" s="1235"/>
      <c r="AL66" s="1235"/>
      <c r="AM66" s="1235"/>
      <c r="AN66" s="1235"/>
      <c r="AO66" s="1235"/>
      <c r="AP66" s="1235"/>
      <c r="AQ66" s="1235"/>
      <c r="AR66" s="1235"/>
      <c r="AS66" s="1235"/>
      <c r="AT66" s="1235"/>
      <c r="AU66" s="1235"/>
      <c r="AV66" s="1235"/>
      <c r="AW66" s="1235"/>
      <c r="AX66" s="1235"/>
      <c r="AY66" s="1235"/>
      <c r="AZ66" s="1235"/>
    </row>
    <row r="67" spans="1:56" ht="25.15" customHeight="1">
      <c r="A67" s="1241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7" s="1241"/>
      <c r="C67" s="1241"/>
      <c r="D67" s="1241"/>
      <c r="E67" s="1241"/>
      <c r="F67" s="1241"/>
      <c r="G67" s="1241"/>
      <c r="H67" s="1241"/>
      <c r="I67" s="1241"/>
      <c r="J67" s="1241"/>
      <c r="K67" s="1241"/>
      <c r="L67" s="1241"/>
      <c r="M67" s="1241"/>
      <c r="N67" s="1241"/>
      <c r="O67" s="1241"/>
      <c r="P67" s="1241"/>
      <c r="Q67" s="1241"/>
      <c r="R67" s="1241"/>
      <c r="S67" s="1241"/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1241"/>
      <c r="AG67" s="1241"/>
      <c r="AH67" s="1241"/>
      <c r="AI67" s="1241"/>
      <c r="AJ67" s="1241"/>
      <c r="AK67" s="1241"/>
      <c r="AL67" s="1241"/>
      <c r="AM67" s="1241"/>
      <c r="AN67" s="1241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D67" s="11"/>
    </row>
    <row r="68" spans="1:56" s="127" customFormat="1" ht="8.25" customHeight="1">
      <c r="A68" s="1240" t="s">
        <v>535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1242"/>
      <c r="AA68" s="1242"/>
      <c r="AB68" s="1242"/>
      <c r="AC68" s="1242"/>
      <c r="AD68" s="1242"/>
      <c r="AE68" s="1242"/>
      <c r="AF68" s="1242"/>
      <c r="AG68" s="1242"/>
      <c r="AH68" s="1242"/>
      <c r="AI68" s="1242"/>
      <c r="AJ68" s="1242"/>
      <c r="AK68" s="1242"/>
      <c r="AL68" s="1242"/>
      <c r="AM68" s="124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D68" s="129"/>
    </row>
    <row r="69" spans="1:56" ht="12" customHeight="1">
      <c r="A69" s="1260" t="s">
        <v>537</v>
      </c>
      <c r="B69" s="1260"/>
      <c r="C69" s="1260"/>
      <c r="D69" s="1260"/>
      <c r="E69" s="1260"/>
      <c r="F69" s="1260"/>
      <c r="G69" s="1260"/>
      <c r="H69" s="1260"/>
      <c r="I69" s="1260"/>
      <c r="J69" s="1260"/>
      <c r="K69" s="1260"/>
      <c r="L69" s="1260"/>
      <c r="M69" s="1260"/>
      <c r="N69" s="1260"/>
      <c r="O69" s="1260"/>
      <c r="P69" s="1260"/>
      <c r="Q69" s="1260"/>
      <c r="R69" s="1260"/>
      <c r="S69" s="1260"/>
      <c r="T69" s="1260"/>
      <c r="U69" s="1260"/>
      <c r="V69" s="1260"/>
      <c r="W69" s="1260"/>
      <c r="X69" s="1260"/>
      <c r="Y69" s="1260"/>
      <c r="Z69" s="1260"/>
      <c r="AA69" s="1260"/>
      <c r="AB69" s="1260"/>
      <c r="AC69" s="1260"/>
      <c r="AD69" s="1260"/>
      <c r="AE69" s="1260"/>
      <c r="AF69" s="1260"/>
      <c r="AG69" s="1260"/>
      <c r="AH69" s="1260"/>
      <c r="AI69" s="1260"/>
      <c r="AJ69" s="1260"/>
      <c r="AK69" s="1260"/>
      <c r="AL69" s="1260"/>
      <c r="AM69" s="1260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</row>
    <row r="70" spans="1:56" ht="12" customHeight="1">
      <c r="A70" s="1235" t="s">
        <v>381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</row>
    <row r="71" spans="1:56" ht="24" customHeight="1">
      <c r="A71" s="1236" t="str">
        <f ca="1">INDIRECT("'АКТЫ скрытых работ'!R"&amp;BE3&amp;"C11",0)</f>
        <v>Исполнительная схема №1 Монтаж контура заземления КК-0,4кВ</v>
      </c>
      <c r="B71" s="1236"/>
      <c r="C71" s="1236"/>
      <c r="D71" s="1236"/>
      <c r="E71" s="1236"/>
      <c r="F71" s="1236"/>
      <c r="G71" s="1236"/>
      <c r="H71" s="1236"/>
      <c r="I71" s="1236"/>
      <c r="J71" s="1236"/>
      <c r="K71" s="1236"/>
      <c r="L71" s="1236"/>
      <c r="M71" s="1236"/>
      <c r="N71" s="1236"/>
      <c r="O71" s="1236"/>
      <c r="P71" s="1236"/>
      <c r="Q71" s="1236"/>
      <c r="R71" s="1236"/>
      <c r="S71" s="1236"/>
      <c r="T71" s="1236"/>
      <c r="U71" s="1236"/>
      <c r="V71" s="1236"/>
      <c r="W71" s="1236"/>
      <c r="X71" s="1236"/>
      <c r="Y71" s="1236"/>
      <c r="Z71" s="1236"/>
      <c r="AA71" s="1236"/>
      <c r="AB71" s="1236"/>
      <c r="AC71" s="1236"/>
      <c r="AD71" s="1236"/>
      <c r="AE71" s="1236"/>
      <c r="AF71" s="1236"/>
      <c r="AG71" s="1236"/>
      <c r="AH71" s="1236"/>
      <c r="AI71" s="1236"/>
      <c r="AJ71" s="1236"/>
      <c r="AK71" s="1236"/>
      <c r="AL71" s="1236"/>
      <c r="AM71" s="1236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</row>
    <row r="72" spans="1:56" s="127" customFormat="1" ht="9">
      <c r="A72" s="1261" t="s">
        <v>382</v>
      </c>
      <c r="B72" s="1261"/>
      <c r="C72" s="1261"/>
      <c r="D72" s="1261"/>
      <c r="E72" s="1261"/>
      <c r="F72" s="1261"/>
      <c r="G72" s="1261"/>
      <c r="H72" s="1261"/>
      <c r="I72" s="1261"/>
      <c r="J72" s="1261"/>
      <c r="K72" s="1261"/>
      <c r="L72" s="1261"/>
      <c r="M72" s="1261"/>
      <c r="N72" s="1261"/>
      <c r="O72" s="1261"/>
      <c r="P72" s="1261"/>
      <c r="Q72" s="1261"/>
      <c r="R72" s="1261"/>
      <c r="S72" s="1261"/>
      <c r="T72" s="1261"/>
      <c r="U72" s="1261"/>
      <c r="V72" s="1261"/>
      <c r="W72" s="1261"/>
      <c r="X72" s="1261"/>
      <c r="Y72" s="1261"/>
      <c r="Z72" s="1261"/>
      <c r="AA72" s="1261"/>
      <c r="AB72" s="1261"/>
      <c r="AC72" s="1261"/>
      <c r="AD72" s="1261"/>
      <c r="AE72" s="1261"/>
      <c r="AF72" s="1261"/>
      <c r="AG72" s="1261"/>
      <c r="AH72" s="1261"/>
      <c r="AI72" s="1261"/>
      <c r="AJ72" s="1261"/>
      <c r="AK72" s="1261"/>
      <c r="AL72" s="1261"/>
      <c r="AM72" s="126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</row>
    <row r="73" spans="1:56" ht="24" customHeight="1">
      <c r="A73" s="1260" t="s">
        <v>538</v>
      </c>
      <c r="B73" s="1260"/>
      <c r="C73" s="1260"/>
      <c r="D73" s="1260"/>
      <c r="E73" s="1260"/>
      <c r="F73" s="1260"/>
      <c r="G73" s="1260"/>
      <c r="H73" s="1260"/>
      <c r="I73" s="1260"/>
      <c r="J73" s="1260"/>
      <c r="K73" s="1260"/>
      <c r="L73" s="1260"/>
      <c r="M73" s="1260"/>
      <c r="N73" s="1260"/>
      <c r="O73" s="1260"/>
      <c r="P73" s="1260"/>
      <c r="Q73" s="1260"/>
      <c r="R73" s="1260"/>
      <c r="S73" s="1260"/>
      <c r="T73" s="1260"/>
      <c r="U73" s="1260"/>
      <c r="V73" s="1260"/>
      <c r="W73" s="1260"/>
      <c r="X73" s="1260"/>
      <c r="Y73" s="1260"/>
      <c r="Z73" s="1260"/>
      <c r="AA73" s="1260"/>
      <c r="AB73" s="1260"/>
      <c r="AC73" s="1260"/>
      <c r="AD73" s="1260"/>
      <c r="AE73" s="1260"/>
      <c r="AF73" s="1260"/>
      <c r="AG73" s="1260"/>
      <c r="AH73" s="1260"/>
      <c r="AI73" s="1260"/>
      <c r="AJ73" s="1260"/>
      <c r="AK73" s="1260"/>
      <c r="AL73" s="1260"/>
      <c r="AM73" s="1260"/>
      <c r="AN73" s="1260"/>
      <c r="AO73" s="1260"/>
      <c r="AP73" s="1260"/>
      <c r="AQ73" s="1260"/>
      <c r="AR73" s="1260"/>
      <c r="AS73" s="1260"/>
      <c r="AT73" s="1260"/>
      <c r="AU73" s="1260"/>
      <c r="AV73" s="1260"/>
      <c r="AW73" s="1260"/>
      <c r="AX73" s="1260"/>
      <c r="AY73" s="1260"/>
      <c r="AZ73" s="1260"/>
    </row>
    <row r="74" spans="1:56" ht="15.75" customHeight="1">
      <c r="A74" s="1250"/>
      <c r="B74" s="1250"/>
      <c r="C74" s="1250"/>
      <c r="D74" s="1250"/>
      <c r="E74" s="1250"/>
      <c r="F74" s="1250"/>
      <c r="G74" s="1250"/>
      <c r="H74" s="1250"/>
      <c r="I74" s="1250"/>
      <c r="J74" s="1250"/>
      <c r="K74" s="1250"/>
      <c r="L74" s="1250"/>
      <c r="M74" s="1250"/>
      <c r="N74" s="1250"/>
      <c r="O74" s="1250"/>
      <c r="P74" s="1250"/>
      <c r="Q74" s="1250"/>
      <c r="R74" s="1250"/>
      <c r="S74" s="1250"/>
      <c r="T74" s="1250"/>
      <c r="U74" s="1250"/>
      <c r="V74" s="1250"/>
      <c r="W74" s="1250"/>
      <c r="X74" s="1250"/>
      <c r="Y74" s="1250"/>
      <c r="Z74" s="1250"/>
      <c r="AA74" s="1250"/>
      <c r="AB74" s="1250"/>
      <c r="AC74" s="1250"/>
      <c r="AD74" s="1250"/>
      <c r="AE74" s="1250"/>
      <c r="AF74" s="1250"/>
      <c r="AG74" s="1250"/>
      <c r="AH74" s="1250"/>
      <c r="AI74" s="1250"/>
      <c r="AJ74" s="1250"/>
      <c r="AK74" s="1250"/>
      <c r="AL74" s="1250"/>
      <c r="AM74" s="1250"/>
      <c r="AN74" s="1250"/>
      <c r="AO74" s="1250"/>
      <c r="AP74" s="1250"/>
      <c r="AQ74" s="1250"/>
      <c r="AR74" s="1250"/>
      <c r="AS74" s="1250"/>
      <c r="AT74" s="1250"/>
      <c r="AU74" s="1250"/>
      <c r="AV74" s="1250"/>
      <c r="AW74" s="1250"/>
      <c r="AX74" s="1250"/>
      <c r="AY74" s="1250"/>
      <c r="AZ74" s="1250"/>
    </row>
    <row r="75" spans="1:56" ht="9.75" customHeight="1">
      <c r="A75" s="1251" t="s">
        <v>382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42" t="s">
        <v>382</v>
      </c>
      <c r="AD77" s="1242"/>
      <c r="AE77" s="1242"/>
      <c r="AF77" s="1242"/>
      <c r="AG77" s="1242"/>
      <c r="AH77" s="1242"/>
      <c r="AI77" s="1242"/>
      <c r="AJ77" s="1242"/>
      <c r="AK77" s="1242"/>
      <c r="AL77" s="1242"/>
      <c r="AM77" s="1242"/>
      <c r="AN77" s="1242"/>
      <c r="AO77" s="1242"/>
      <c r="AP77" s="1242"/>
      <c r="AQ77" s="1242"/>
      <c r="AR77" s="1242"/>
      <c r="AS77" s="1242"/>
      <c r="AT77" s="1242"/>
      <c r="AU77" s="1242"/>
      <c r="AV77" s="1242"/>
      <c r="AW77" s="1242"/>
      <c r="AX77" s="1242"/>
      <c r="AY77" s="1242"/>
      <c r="AZ77" s="1242"/>
    </row>
    <row r="78" spans="1:56">
      <c r="A78" s="1235" t="s">
        <v>539</v>
      </c>
      <c r="B78" s="1235"/>
      <c r="C78" s="1235"/>
      <c r="D78" s="1235"/>
      <c r="E78" s="1235"/>
      <c r="G78" s="1248" t="s">
        <v>527</v>
      </c>
      <c r="H78" s="1248"/>
      <c r="I78" s="1248"/>
      <c r="J78" s="1248"/>
      <c r="K78" s="1248"/>
      <c r="L78" s="1248"/>
      <c r="M78" s="1248"/>
      <c r="N78" s="1248"/>
      <c r="O78" s="1248"/>
      <c r="P78" s="1248"/>
      <c r="Q78" s="8"/>
      <c r="R78" s="103" t="s">
        <v>76</v>
      </c>
      <c r="S78" s="1243" t="str">
        <f ca="1">INDIRECT("'АКТЫ скрытых работ'!R"&amp;BE3&amp;"C4",0)</f>
        <v>07</v>
      </c>
      <c r="T78" s="1243"/>
      <c r="U78" s="1243"/>
      <c r="V78" s="103" t="s">
        <v>77</v>
      </c>
      <c r="W78" s="1244" t="str">
        <f ca="1">INDIRECT("'АКТЫ скрытых работ'!R"&amp;BE3&amp;"C5",0)</f>
        <v>ноября</v>
      </c>
      <c r="X78" s="1244"/>
      <c r="Y78" s="1244"/>
      <c r="Z78" s="1244"/>
      <c r="AA78" s="1244"/>
      <c r="AB78" s="1244"/>
      <c r="AC78" s="1244"/>
      <c r="AE78" s="1246">
        <f ca="1">INDIRECT("'АКТЫ скрытых работ'!R"&amp;BE3&amp;"C6",0)</f>
        <v>2024</v>
      </c>
      <c r="AF78" s="1246"/>
      <c r="AG78" s="1246"/>
      <c r="AH78" s="1246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5" t="s">
        <v>89</v>
      </c>
      <c r="H79" s="1235"/>
      <c r="I79" s="1235"/>
      <c r="J79" s="1235"/>
      <c r="K79" s="1235"/>
      <c r="L79" s="1235"/>
      <c r="M79" s="1235"/>
      <c r="N79" s="1235"/>
      <c r="O79" s="1235"/>
      <c r="P79" s="1235"/>
      <c r="Q79" s="8"/>
      <c r="R79" s="103" t="s">
        <v>76</v>
      </c>
      <c r="S79" s="1243" t="str">
        <f ca="1">INDIRECT("'АКТЫ скрытых работ'!R"&amp;BE3&amp;"C7",0)</f>
        <v>07</v>
      </c>
      <c r="T79" s="1243"/>
      <c r="U79" s="1243"/>
      <c r="V79" s="103" t="s">
        <v>77</v>
      </c>
      <c r="W79" s="1245" t="str">
        <f ca="1">INDIRECT("'АКТЫ скрытых работ'!R"&amp;BE3&amp;"C8",0)</f>
        <v>ноября</v>
      </c>
      <c r="X79" s="1245"/>
      <c r="Y79" s="1245"/>
      <c r="Z79" s="1245"/>
      <c r="AA79" s="1245"/>
      <c r="AB79" s="1245"/>
      <c r="AC79" s="1245"/>
      <c r="AE79" s="1247">
        <f ca="1">INDIRECT("'АКТЫ скрытых работ'!R"&amp;BE3&amp;"C9",0)</f>
        <v>2024</v>
      </c>
      <c r="AF79" s="1247"/>
      <c r="AG79" s="1247"/>
      <c r="AH79" s="1247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49" t="s">
        <v>540</v>
      </c>
      <c r="B81" s="1249"/>
      <c r="C81" s="1249"/>
      <c r="D81" s="1249"/>
      <c r="E81" s="1249"/>
      <c r="F81" s="1249"/>
      <c r="G81" s="1249"/>
      <c r="H81" s="1249"/>
      <c r="I81" s="1249"/>
      <c r="J81" s="1249"/>
      <c r="K81" s="1249"/>
      <c r="L81" s="1249"/>
      <c r="M81" s="1249"/>
      <c r="N81" s="1249"/>
      <c r="O81" s="1249"/>
      <c r="P81" s="1249"/>
      <c r="Q81" s="1249"/>
      <c r="R81" s="1249"/>
      <c r="S81" s="1249"/>
      <c r="T81" s="1249"/>
      <c r="U81" s="1249"/>
      <c r="V81" s="1249"/>
      <c r="W81" s="1249"/>
      <c r="X81" s="1249"/>
      <c r="Y81" s="1249"/>
      <c r="Z81" s="1249"/>
      <c r="AA81" s="1249"/>
      <c r="AB81" s="1249"/>
      <c r="AC81" s="1249"/>
      <c r="AD81" s="1249"/>
      <c r="AE81" s="1249"/>
      <c r="AF81" s="1249"/>
      <c r="AG81" s="1249"/>
      <c r="AH81" s="1249"/>
      <c r="AI81" s="1249"/>
      <c r="AJ81" s="1249"/>
      <c r="AK81" s="1249"/>
      <c r="AL81" s="1249"/>
      <c r="AM81" s="1249"/>
      <c r="AN81" s="1249"/>
      <c r="AO81" s="1249"/>
      <c r="AP81" s="1249"/>
      <c r="AQ81" s="1249"/>
      <c r="AR81" s="1249"/>
      <c r="AS81" s="1249"/>
      <c r="AT81" s="1249"/>
      <c r="AU81" s="1249"/>
      <c r="AV81" s="1249"/>
      <c r="AW81" s="1249"/>
      <c r="AX81" s="1249"/>
      <c r="AY81" s="1249"/>
      <c r="AZ81" s="1249"/>
    </row>
    <row r="82" spans="1:54">
      <c r="A82" s="124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41"/>
      <c r="C82" s="1241"/>
      <c r="D82" s="1241"/>
      <c r="E82" s="1241"/>
      <c r="F82" s="1241"/>
      <c r="G82" s="1241"/>
      <c r="H82" s="1241"/>
      <c r="I82" s="1241"/>
      <c r="J82" s="1241"/>
      <c r="K82" s="1241"/>
      <c r="L82" s="1241"/>
      <c r="M82" s="1241"/>
      <c r="N82" s="1241"/>
      <c r="O82" s="1241"/>
      <c r="P82" s="1241"/>
      <c r="Q82" s="1241"/>
      <c r="R82" s="1241"/>
      <c r="S82" s="1241"/>
      <c r="T82" s="1241"/>
      <c r="U82" s="1241"/>
      <c r="V82" s="1241"/>
      <c r="W82" s="1241"/>
      <c r="X82" s="1241"/>
      <c r="Y82" s="1241"/>
      <c r="Z82" s="1241"/>
      <c r="AA82" s="1241"/>
      <c r="AB82" s="1241"/>
      <c r="AC82" s="1241"/>
      <c r="AD82" s="1241"/>
      <c r="AE82" s="1241"/>
      <c r="AF82" s="1241"/>
      <c r="AG82" s="1241"/>
      <c r="AH82" s="1241"/>
      <c r="AI82" s="1241"/>
      <c r="AJ82" s="1241"/>
      <c r="AK82" s="1241"/>
      <c r="AL82" s="1241"/>
      <c r="AM82" s="1241"/>
      <c r="AN82" s="1241"/>
      <c r="AO82" s="1241"/>
      <c r="AP82" s="1241"/>
      <c r="AQ82" s="1241"/>
      <c r="AR82" s="1241"/>
      <c r="AS82" s="1241"/>
      <c r="AT82" s="1241"/>
      <c r="AU82" s="1241"/>
      <c r="AV82" s="1241"/>
      <c r="AW82" s="1241"/>
      <c r="AX82" s="1241"/>
      <c r="AY82" s="1241"/>
      <c r="AZ82" s="1241"/>
    </row>
    <row r="83" spans="1:54" s="127" customFormat="1" ht="10.5" customHeight="1">
      <c r="A83" s="1239" t="s">
        <v>541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39"/>
      <c r="AA83" s="1239"/>
      <c r="AB83" s="1239"/>
      <c r="AC83" s="1239"/>
      <c r="AD83" s="1239"/>
      <c r="AE83" s="1239"/>
      <c r="AF83" s="1239"/>
      <c r="AG83" s="1239"/>
      <c r="AH83" s="1239"/>
      <c r="AI83" s="1239"/>
      <c r="AJ83" s="1239"/>
      <c r="AK83" s="1239"/>
      <c r="AL83" s="1239"/>
      <c r="AM83" s="1239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</row>
    <row r="84" spans="1:54" ht="12" customHeight="1">
      <c r="A84" s="1235" t="s">
        <v>384</v>
      </c>
      <c r="B84" s="1235"/>
      <c r="C84" s="1235"/>
      <c r="D84" s="1235"/>
      <c r="E84" s="1235"/>
      <c r="F84" s="1235"/>
      <c r="G84" s="1235"/>
      <c r="H84" s="1235"/>
      <c r="I84" s="1235"/>
      <c r="J84" s="1235"/>
      <c r="K84" s="1235"/>
      <c r="L84" s="1235"/>
      <c r="M84" s="1235"/>
      <c r="N84" s="1235"/>
      <c r="O84" s="1235"/>
      <c r="P84" s="1235"/>
      <c r="Q84" s="1235"/>
      <c r="R84" s="1235"/>
      <c r="S84" s="1235"/>
      <c r="T84" s="1235"/>
      <c r="U84" s="1235"/>
      <c r="V84" s="1235"/>
      <c r="W84" s="1235"/>
      <c r="X84" s="1235"/>
      <c r="Y84" s="1235"/>
      <c r="Z84" s="1235"/>
      <c r="AA84" s="1235"/>
      <c r="AB84" s="1235"/>
      <c r="AC84" s="1235"/>
      <c r="AD84" s="1235"/>
      <c r="AE84" s="1235"/>
      <c r="AF84" s="1235"/>
      <c r="AG84" s="1235"/>
      <c r="AH84" s="1235"/>
      <c r="AI84" s="1235"/>
      <c r="AJ84" s="1235"/>
      <c r="AK84" s="1235"/>
      <c r="AL84" s="1235"/>
      <c r="AM84" s="1235"/>
      <c r="AN84" s="1235"/>
      <c r="AO84" s="1235"/>
      <c r="AP84" s="1235"/>
      <c r="AQ84" s="1235"/>
      <c r="AR84" s="1235"/>
      <c r="AS84" s="1235"/>
      <c r="AT84" s="1235"/>
      <c r="AU84" s="1235"/>
      <c r="AV84" s="1235"/>
      <c r="AW84" s="1235"/>
      <c r="AX84" s="1235"/>
      <c r="AY84" s="1235"/>
      <c r="AZ84" s="1235"/>
      <c r="BA84" s="31"/>
    </row>
    <row r="85" spans="1:54" ht="12" customHeight="1">
      <c r="A85" s="1235" t="s">
        <v>385</v>
      </c>
      <c r="B85" s="1235"/>
      <c r="C85" s="1235"/>
      <c r="D85" s="1235"/>
      <c r="E85" s="1235"/>
      <c r="F85" s="1235"/>
      <c r="G85" s="1235"/>
      <c r="H85" s="1235"/>
      <c r="I85" s="1235"/>
      <c r="J85" s="1235"/>
      <c r="K85" s="1235"/>
      <c r="L85" s="1235"/>
      <c r="M85" s="1235"/>
      <c r="N85" s="1235"/>
      <c r="O85" s="1235"/>
      <c r="P85" s="1235"/>
      <c r="Q85" s="1235"/>
      <c r="R85" s="1235"/>
      <c r="S85" s="1235"/>
      <c r="T85" s="1235"/>
      <c r="U85" s="1235"/>
      <c r="V85" s="1235"/>
      <c r="W85" s="1235"/>
      <c r="X85" s="1235"/>
      <c r="Y85" s="1235"/>
      <c r="Z85" s="1235"/>
      <c r="AA85" s="1235"/>
      <c r="AB85" s="1235"/>
      <c r="AC85" s="1235"/>
      <c r="AD85" s="1235"/>
      <c r="AE85" s="1235"/>
      <c r="AF85" s="1231" t="s">
        <v>386</v>
      </c>
      <c r="AG85" s="1231"/>
      <c r="AH85" s="1231"/>
      <c r="AI85" s="1231"/>
      <c r="AJ85" s="1231"/>
      <c r="AK85" s="1231"/>
      <c r="AL85" s="1231"/>
      <c r="AM85" s="1231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416" t="s">
        <v>387</v>
      </c>
      <c r="BA85" s="9"/>
    </row>
    <row r="86" spans="1:54" ht="12" customHeight="1">
      <c r="A86" s="1235" t="s">
        <v>542</v>
      </c>
      <c r="B86" s="1235"/>
      <c r="C86" s="1235"/>
      <c r="D86" s="1235"/>
      <c r="E86" s="1235"/>
      <c r="F86" s="1235"/>
      <c r="G86" s="1235"/>
      <c r="H86" s="1235"/>
      <c r="I86" s="1235"/>
      <c r="J86" s="1235"/>
      <c r="K86" s="1235"/>
      <c r="L86" s="1235"/>
      <c r="M86" s="1235"/>
      <c r="N86" s="1235"/>
      <c r="O86" s="1235"/>
      <c r="P86" s="1235"/>
      <c r="Q86" s="1235"/>
      <c r="R86" s="1235"/>
      <c r="S86" s="1235"/>
      <c r="T86" s="1235"/>
      <c r="U86" s="1235"/>
      <c r="V86" s="1235"/>
      <c r="W86" s="1235"/>
      <c r="X86" s="1235"/>
      <c r="Y86" s="1235"/>
      <c r="Z86" s="1235"/>
      <c r="AA86" s="1235"/>
      <c r="AB86" s="1235"/>
      <c r="AC86" s="1235"/>
      <c r="AD86" s="1235"/>
      <c r="AE86" s="1235"/>
      <c r="AF86" s="1235"/>
      <c r="AG86" s="1235"/>
      <c r="AH86" s="1235"/>
      <c r="AI86" s="1235"/>
      <c r="AJ86" s="1235"/>
      <c r="AK86" s="1235"/>
      <c r="AL86" s="1235"/>
      <c r="AM86" s="1235"/>
      <c r="AN86" s="1235"/>
      <c r="AO86" s="1235"/>
      <c r="AP86" s="1235"/>
      <c r="AQ86" s="1235"/>
      <c r="AR86" s="1235"/>
      <c r="AS86" s="1235"/>
      <c r="AT86" s="1230"/>
      <c r="AU86" s="1230"/>
      <c r="AV86" s="1230"/>
      <c r="AW86" s="1230"/>
      <c r="AX86" s="1230"/>
      <c r="AY86" s="418" t="s">
        <v>388</v>
      </c>
      <c r="AZ86" s="418"/>
      <c r="BA86" s="9"/>
    </row>
    <row r="87" spans="1:54" ht="12" customHeight="1">
      <c r="A87" s="1235" t="s">
        <v>543</v>
      </c>
      <c r="B87" s="1235"/>
      <c r="C87" s="1235"/>
      <c r="D87" s="1235"/>
      <c r="E87" s="1235"/>
      <c r="F87" s="1235"/>
      <c r="G87" s="1235"/>
      <c r="H87" s="1235"/>
      <c r="I87" s="1235"/>
      <c r="J87" s="1235"/>
      <c r="K87" s="1235"/>
      <c r="L87" s="1235"/>
      <c r="M87" s="1235"/>
      <c r="N87" s="1235"/>
      <c r="O87" s="1235"/>
      <c r="P87" s="1235"/>
      <c r="Q87" s="1235"/>
      <c r="R87" s="1235"/>
      <c r="S87" s="1235"/>
      <c r="T87" s="1235"/>
      <c r="U87" s="1235"/>
      <c r="V87" s="1235"/>
      <c r="W87" s="1235"/>
      <c r="X87" s="1235"/>
      <c r="Y87" s="1235"/>
      <c r="Z87" s="1235"/>
      <c r="AA87" s="1235"/>
      <c r="AB87" s="1235"/>
      <c r="AC87" s="1235"/>
      <c r="AD87" s="1235"/>
      <c r="AE87" s="1235"/>
      <c r="AF87" s="1235"/>
      <c r="AG87" s="1235"/>
      <c r="AH87" s="1235"/>
      <c r="AI87" s="1235"/>
      <c r="AJ87" s="1235"/>
      <c r="AK87" s="1235"/>
      <c r="AL87" s="1235"/>
      <c r="AM87" s="1235"/>
      <c r="AN87" s="1235"/>
      <c r="AO87" s="1235"/>
      <c r="AP87" s="1235"/>
      <c r="AQ87" s="1235"/>
      <c r="AR87" s="1235"/>
      <c r="AS87" s="1235"/>
      <c r="AT87" s="1235"/>
      <c r="AU87" s="1235"/>
      <c r="AV87" s="1235"/>
      <c r="AW87" s="1235"/>
      <c r="AX87" s="1235"/>
      <c r="AY87" s="1235"/>
      <c r="AZ87" s="1235"/>
      <c r="BA87" s="9"/>
    </row>
    <row r="88" spans="1:54" ht="12" customHeight="1">
      <c r="A88" s="1235" t="s">
        <v>544</v>
      </c>
      <c r="B88" s="1235"/>
      <c r="C88" s="1235"/>
      <c r="D88" s="1235"/>
      <c r="E88" s="1235"/>
      <c r="F88" s="1235"/>
      <c r="G88" s="1235"/>
      <c r="H88" s="1235"/>
      <c r="I88" s="1235"/>
      <c r="J88" s="1235"/>
      <c r="K88" s="1235"/>
      <c r="L88" s="1235"/>
      <c r="M88" s="1235"/>
      <c r="N88" s="1235"/>
      <c r="O88" s="1235"/>
      <c r="P88" s="1235"/>
      <c r="Q88" s="1235"/>
      <c r="R88" s="1235"/>
      <c r="S88" s="1235"/>
      <c r="T88" s="1235"/>
      <c r="U88" s="1235"/>
      <c r="V88" s="1235"/>
      <c r="W88" s="1235"/>
      <c r="X88" s="1235"/>
      <c r="Y88" s="1235"/>
      <c r="Z88" s="1235"/>
      <c r="AA88" s="1235"/>
      <c r="AB88" s="1235"/>
      <c r="AC88" s="1235"/>
      <c r="AD88" s="1235"/>
      <c r="AE88" s="1235"/>
      <c r="AF88" s="1235"/>
      <c r="AG88" s="1235"/>
      <c r="AH88" s="1235"/>
      <c r="AI88" s="1235"/>
      <c r="AJ88" s="1235"/>
      <c r="AK88" s="1235"/>
      <c r="AL88" s="1235"/>
      <c r="AM88" s="1235"/>
      <c r="AN88" s="1235"/>
      <c r="AO88" s="1235"/>
      <c r="AP88" s="1235"/>
      <c r="AQ88" s="1235"/>
      <c r="AR88" s="1235"/>
      <c r="AS88" s="1235"/>
      <c r="AT88" s="1235"/>
      <c r="AU88" s="1235"/>
      <c r="AV88" s="1235"/>
      <c r="AW88" s="1235"/>
      <c r="AX88" s="1235"/>
      <c r="AY88" s="1235"/>
      <c r="AZ88" s="1235"/>
      <c r="BA88" s="9"/>
    </row>
    <row r="89" spans="1:54" ht="12" customHeight="1">
      <c r="A89" s="1231"/>
      <c r="B89" s="1231"/>
      <c r="C89" s="1231"/>
      <c r="D89" s="1231"/>
      <c r="E89" s="1231"/>
      <c r="F89" s="1231"/>
      <c r="G89" s="1231"/>
      <c r="H89" s="1231"/>
      <c r="I89" s="1231"/>
      <c r="J89" s="1231"/>
      <c r="K89" s="1231"/>
      <c r="L89" s="1231"/>
      <c r="M89" s="1231"/>
      <c r="N89" s="1231"/>
      <c r="O89" s="1231"/>
      <c r="P89" s="1231"/>
      <c r="Q89" s="1231"/>
      <c r="R89" s="1231"/>
      <c r="S89" s="1231"/>
      <c r="T89" s="1231"/>
      <c r="U89" s="1231"/>
      <c r="V89" s="1231"/>
      <c r="W89" s="1231"/>
      <c r="X89" s="1231"/>
      <c r="Y89" s="1231"/>
      <c r="Z89" s="1231"/>
      <c r="AA89" s="1231"/>
      <c r="AB89" s="1231"/>
      <c r="AC89" s="1231"/>
      <c r="AD89" s="1231"/>
      <c r="AE89" s="1231"/>
      <c r="AF89" s="1231"/>
      <c r="AG89" s="1231"/>
      <c r="AH89" s="1231"/>
      <c r="AI89" s="1231"/>
      <c r="AJ89" s="1231"/>
      <c r="AK89" s="1231"/>
      <c r="AL89" s="1231"/>
      <c r="AM89" s="1231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9"/>
    </row>
    <row r="90" spans="1:54" ht="12" customHeight="1">
      <c r="A90" s="1232" t="s">
        <v>545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1232"/>
      <c r="AA90" s="1232"/>
      <c r="AB90" s="1232"/>
      <c r="AC90" s="1232"/>
      <c r="AD90" s="1232"/>
      <c r="AE90" s="1232"/>
      <c r="AF90" s="1232"/>
      <c r="AG90" s="1232"/>
      <c r="AH90" s="1232"/>
      <c r="AI90" s="1232"/>
      <c r="AJ90" s="1232"/>
      <c r="AK90" s="1232"/>
      <c r="AL90" s="1232"/>
      <c r="AM90" s="1232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9"/>
    </row>
    <row r="91" spans="1:54" ht="12" customHeight="1">
      <c r="A91" s="1228" t="str">
        <f ca="1">INDIRECT("'АКТЫ скрытых работ'!R"&amp;BE3&amp;"C13",0)</f>
        <v>Обратная засыпка траншеи</v>
      </c>
      <c r="B91" s="1228"/>
      <c r="C91" s="1228"/>
      <c r="D91" s="1228"/>
      <c r="E91" s="1228"/>
      <c r="F91" s="1228"/>
      <c r="G91" s="1228"/>
      <c r="H91" s="1228"/>
      <c r="I91" s="1228"/>
      <c r="J91" s="1228"/>
      <c r="K91" s="1228"/>
      <c r="L91" s="1228"/>
      <c r="M91" s="1228"/>
      <c r="N91" s="1228"/>
      <c r="O91" s="1228"/>
      <c r="P91" s="1228"/>
      <c r="Q91" s="1228"/>
      <c r="R91" s="1228"/>
      <c r="S91" s="1228"/>
      <c r="T91" s="1228"/>
      <c r="U91" s="1228"/>
      <c r="V91" s="1228"/>
      <c r="W91" s="1228"/>
      <c r="X91" s="1228"/>
      <c r="Y91" s="1228"/>
      <c r="Z91" s="1228"/>
      <c r="AA91" s="1228"/>
      <c r="AB91" s="1228"/>
      <c r="AC91" s="1228"/>
      <c r="AD91" s="1228"/>
      <c r="AE91" s="1228"/>
      <c r="AF91" s="1228"/>
      <c r="AG91" s="1228"/>
      <c r="AH91" s="1228"/>
      <c r="AI91" s="1228"/>
      <c r="AJ91" s="1228"/>
      <c r="AK91" s="1228"/>
      <c r="AL91" s="1228"/>
      <c r="AM91" s="1228"/>
      <c r="AN91" s="1228"/>
      <c r="AO91" s="1228"/>
      <c r="AP91" s="1228"/>
      <c r="AQ91" s="1228"/>
      <c r="AR91" s="1228"/>
      <c r="AS91" s="1228"/>
      <c r="AT91" s="1228"/>
      <c r="AU91" s="1228"/>
      <c r="AV91" s="1228"/>
      <c r="AW91" s="1228"/>
      <c r="AX91" s="1228"/>
      <c r="AY91" s="1228"/>
      <c r="AZ91" s="1228"/>
      <c r="BA91" s="9"/>
    </row>
    <row r="92" spans="1:54" s="127" customFormat="1" ht="8.25" customHeight="1">
      <c r="A92" s="1229" t="s">
        <v>389</v>
      </c>
      <c r="B92" s="1229"/>
      <c r="C92" s="1229"/>
      <c r="D92" s="1229"/>
      <c r="E92" s="1229"/>
      <c r="F92" s="1229"/>
      <c r="G92" s="1229"/>
      <c r="H92" s="1229"/>
      <c r="I92" s="1229"/>
      <c r="J92" s="1229"/>
      <c r="K92" s="1229"/>
      <c r="L92" s="1229"/>
      <c r="M92" s="1229"/>
      <c r="N92" s="1229"/>
      <c r="O92" s="1229"/>
      <c r="P92" s="1229"/>
      <c r="Q92" s="1229"/>
      <c r="R92" s="1229"/>
      <c r="S92" s="1229"/>
      <c r="T92" s="1229"/>
      <c r="U92" s="1229"/>
      <c r="V92" s="1229"/>
      <c r="W92" s="1229"/>
      <c r="X92" s="1229"/>
      <c r="Y92" s="1229"/>
      <c r="Z92" s="1229"/>
      <c r="AA92" s="1229"/>
      <c r="AB92" s="1229"/>
      <c r="AC92" s="1229"/>
      <c r="AD92" s="1229"/>
      <c r="AE92" s="1229"/>
      <c r="AF92" s="1229"/>
      <c r="AG92" s="1229"/>
      <c r="AH92" s="1229"/>
      <c r="AI92" s="1229"/>
      <c r="AJ92" s="1229"/>
      <c r="AK92" s="1229"/>
      <c r="AL92" s="1229"/>
      <c r="AM92" s="1229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37"/>
    </row>
    <row r="93" spans="1:54" s="138" customFormat="1" ht="12" customHeight="1">
      <c r="A93" s="1233" t="s">
        <v>86</v>
      </c>
      <c r="B93" s="1233"/>
      <c r="C93" s="1233"/>
      <c r="D93" s="1233"/>
      <c r="E93" s="1233"/>
      <c r="F93" s="1233"/>
      <c r="G93" s="1233"/>
      <c r="H93" s="1233"/>
      <c r="I93" s="1233"/>
      <c r="J93" s="1233"/>
      <c r="K93" s="1233"/>
      <c r="L93" s="1233"/>
      <c r="M93" s="1233"/>
      <c r="N93" s="1233"/>
      <c r="O93" s="1233"/>
      <c r="P93" s="1234" t="s">
        <v>65</v>
      </c>
      <c r="Q93" s="1234"/>
      <c r="R93" s="1234"/>
      <c r="S93" s="1234"/>
      <c r="T93" s="1234"/>
      <c r="U93" s="1234"/>
      <c r="V93" s="1234"/>
      <c r="W93" s="1234"/>
      <c r="X93" s="1234"/>
      <c r="Y93" s="1234"/>
      <c r="Z93" s="1234"/>
      <c r="AA93" s="1234"/>
      <c r="AB93" s="1234"/>
      <c r="AC93" s="1234"/>
      <c r="AD93" s="1234"/>
      <c r="AE93" s="1234"/>
      <c r="AF93" s="1234"/>
      <c r="AG93" s="1234"/>
      <c r="AH93" s="1234"/>
      <c r="AI93" s="1234"/>
      <c r="AJ93" s="1234"/>
      <c r="AK93" s="1234"/>
      <c r="AL93" s="1234"/>
      <c r="AM93" s="1234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</row>
    <row r="94" spans="1:54" ht="12" customHeight="1">
      <c r="A94" s="416" t="s">
        <v>90</v>
      </c>
      <c r="J94" s="1228">
        <f>ФОРМА!F5</f>
        <v>2</v>
      </c>
      <c r="K94" s="1228"/>
      <c r="L94" s="1228"/>
      <c r="M94" s="419"/>
      <c r="N94" s="416" t="s">
        <v>91</v>
      </c>
      <c r="O94" s="419"/>
      <c r="R94" s="416"/>
    </row>
    <row r="95" spans="1:54" ht="35.25" customHeight="1">
      <c r="A95" s="1235" t="s">
        <v>87</v>
      </c>
      <c r="B95" s="1235"/>
      <c r="C95" s="1235"/>
      <c r="D95" s="1235"/>
      <c r="E95" s="1235"/>
      <c r="F95" s="1235"/>
      <c r="G95" s="1235"/>
      <c r="H95" s="1236" t="str">
        <f ca="1">CONCATENATE(INDIRECT("'АКТЫ скрытых работ'!R"&amp;BE3&amp;"C11",0),", ",INDIRECT("'АКТЫ скрытых работ'!R"&amp;BE3&amp;"C14",0))</f>
        <v>Исполнительная схема №1 Монтаж контура заземления КК-0,4кВ, Отказное письмо исх. №60-12/2020 от 12.05.2020 ООО "Биквест-Центр"</v>
      </c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</row>
    <row r="96" spans="1:54" ht="24" customHeight="1">
      <c r="A96" s="1227" t="s">
        <v>546</v>
      </c>
      <c r="B96" s="1227"/>
      <c r="C96" s="1227"/>
      <c r="D96" s="1227"/>
      <c r="E96" s="1227"/>
      <c r="F96" s="1227"/>
      <c r="G96" s="1227"/>
      <c r="H96" s="1227"/>
      <c r="I96" s="1227"/>
      <c r="J96" s="1227"/>
      <c r="K96" s="1227"/>
      <c r="L96" s="1227"/>
      <c r="M96" s="1227"/>
      <c r="N96" s="1227"/>
      <c r="O96" s="1227"/>
      <c r="P96" s="1227"/>
      <c r="Q96" s="1227"/>
      <c r="R96" s="1227"/>
      <c r="S96" s="1227"/>
      <c r="T96" s="1227"/>
      <c r="U96" s="1227"/>
      <c r="V96" s="1227"/>
      <c r="W96" s="1227"/>
      <c r="X96" s="1227"/>
      <c r="Y96" s="1227"/>
      <c r="Z96" s="1227"/>
      <c r="AA96" s="1227"/>
      <c r="AB96" s="1227"/>
      <c r="AC96" s="1227"/>
      <c r="AD96" s="1227"/>
      <c r="AE96" s="1227"/>
      <c r="AF96" s="1227"/>
      <c r="AG96" s="1227"/>
      <c r="AH96" s="1227"/>
      <c r="AI96" s="1227"/>
      <c r="AJ96" s="1227"/>
      <c r="AK96" s="1227"/>
      <c r="AL96" s="1227"/>
      <c r="AM96" s="1227"/>
      <c r="AN96" s="1227"/>
      <c r="AO96" s="1227"/>
      <c r="AP96" s="1227"/>
      <c r="AQ96" s="1227"/>
      <c r="AR96" s="1227"/>
      <c r="AS96" s="1227"/>
      <c r="AT96" s="1227"/>
      <c r="AU96" s="1227"/>
      <c r="AV96" s="1227"/>
      <c r="AW96" s="1227"/>
      <c r="AX96" s="1227"/>
      <c r="AY96" s="1227"/>
      <c r="AZ96" s="1227"/>
      <c r="BA96" s="420"/>
      <c r="BB96" s="420"/>
    </row>
    <row r="97" spans="1:54" ht="16.5" customHeight="1">
      <c r="A97" s="1090" t="str">
        <f>ПОДПИСИ!D6</f>
        <v>Чечин Д.М.</v>
      </c>
      <c r="B97" s="1090"/>
      <c r="C97" s="1090"/>
      <c r="D97" s="1090"/>
      <c r="E97" s="1090"/>
      <c r="F97" s="1090"/>
      <c r="G97" s="1090"/>
      <c r="H97" s="1090"/>
      <c r="I97" s="1090"/>
      <c r="J97" s="1090"/>
      <c r="K97" s="1090"/>
      <c r="L97" s="1090"/>
      <c r="M97" s="1090"/>
      <c r="N97" s="1090"/>
      <c r="O97" s="1090"/>
      <c r="P97" s="1090"/>
      <c r="Q97" s="1090"/>
      <c r="R97" s="1090"/>
      <c r="S97" s="1090"/>
      <c r="T97" s="1090"/>
      <c r="U97" s="1090"/>
      <c r="V97" s="109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</row>
    <row r="98" spans="1:54" s="494" customFormat="1" ht="6" customHeight="1">
      <c r="A98" s="1226" t="s">
        <v>799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26" t="s">
        <v>49</v>
      </c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</row>
    <row r="99" spans="1:54" s="494" customFormat="1" ht="23.5" customHeight="1">
      <c r="A99" s="1090" t="str">
        <f>IF(ПОДПИСИ!B10="","",ПОДПИСИ!D10)</f>
        <v>Величко А.А.</v>
      </c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</row>
    <row r="100" spans="1:54" s="494" customFormat="1" ht="6" customHeight="1">
      <c r="A100" s="1226" t="s">
        <v>799</v>
      </c>
      <c r="B100" s="1226"/>
      <c r="C100" s="1226"/>
      <c r="D100" s="1226"/>
      <c r="E100" s="1226"/>
      <c r="F100" s="1226"/>
      <c r="G100" s="1226"/>
      <c r="H100" s="1226"/>
      <c r="I100" s="1226"/>
      <c r="J100" s="1226"/>
      <c r="K100" s="1226"/>
      <c r="L100" s="1226"/>
      <c r="M100" s="1226"/>
      <c r="N100" s="1226"/>
      <c r="O100" s="1226"/>
      <c r="P100" s="1226"/>
      <c r="Q100" s="1226"/>
      <c r="R100" s="1226"/>
      <c r="S100" s="1226"/>
      <c r="T100" s="1226"/>
      <c r="U100" s="1226"/>
      <c r="V100" s="1226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26" t="s">
        <v>49</v>
      </c>
      <c r="AQ100" s="1226"/>
      <c r="AR100" s="1226"/>
      <c r="AS100" s="1226"/>
      <c r="AT100" s="1226"/>
      <c r="AU100" s="1226"/>
      <c r="AV100" s="1226"/>
      <c r="AW100" s="1226"/>
      <c r="AX100" s="1226"/>
      <c r="AY100" s="1226"/>
      <c r="AZ100" s="1226"/>
    </row>
    <row r="101" spans="1:54" ht="15" customHeight="1">
      <c r="A101" s="1227" t="s">
        <v>783</v>
      </c>
      <c r="B101" s="1227"/>
      <c r="C101" s="1227"/>
      <c r="D101" s="1227"/>
      <c r="E101" s="1227"/>
      <c r="F101" s="1227"/>
      <c r="G101" s="1227"/>
      <c r="H101" s="1227"/>
      <c r="I101" s="1227"/>
      <c r="J101" s="1227"/>
      <c r="K101" s="1227"/>
      <c r="L101" s="1227"/>
      <c r="M101" s="1227"/>
      <c r="N101" s="1227"/>
      <c r="O101" s="1227"/>
      <c r="P101" s="1227"/>
      <c r="Q101" s="1227"/>
      <c r="R101" s="1227"/>
      <c r="S101" s="1227"/>
      <c r="T101" s="1227"/>
      <c r="U101" s="1227"/>
      <c r="V101" s="1227"/>
      <c r="W101" s="1227"/>
      <c r="X101" s="1227"/>
      <c r="Y101" s="1227"/>
      <c r="Z101" s="1227"/>
      <c r="AA101" s="1227"/>
      <c r="AB101" s="1227"/>
      <c r="AC101" s="1227"/>
      <c r="AD101" s="1227"/>
      <c r="AE101" s="1227"/>
      <c r="AF101" s="1227"/>
      <c r="AG101" s="1227"/>
      <c r="AH101" s="1227"/>
      <c r="AI101" s="1227"/>
      <c r="AJ101" s="1227"/>
      <c r="AK101" s="1227"/>
      <c r="AL101" s="1227"/>
      <c r="AM101" s="1227"/>
      <c r="AN101" s="1227"/>
      <c r="AO101" s="1227"/>
      <c r="AP101" s="1227"/>
      <c r="AQ101" s="1227"/>
      <c r="AR101" s="1227"/>
      <c r="AS101" s="1227"/>
      <c r="AT101" s="1227"/>
      <c r="AU101" s="1227"/>
      <c r="AV101" s="1227"/>
      <c r="AW101" s="1227"/>
      <c r="AX101" s="1227"/>
      <c r="AY101" s="1227"/>
      <c r="AZ101" s="1227"/>
      <c r="BA101" s="420"/>
      <c r="BB101" s="420"/>
    </row>
    <row r="102" spans="1:54" ht="16.5" customHeight="1">
      <c r="A102" s="1090" t="str">
        <f>ПОДПИСИ!D15</f>
        <v>Матвеев А.С.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  <c r="BA102" s="351"/>
      <c r="BB102" s="351"/>
    </row>
    <row r="103" spans="1:54" s="494" customFormat="1" ht="6" customHeight="1">
      <c r="A103" s="1226" t="s">
        <v>799</v>
      </c>
      <c r="B103" s="1226"/>
      <c r="C103" s="1226"/>
      <c r="D103" s="1226"/>
      <c r="E103" s="1226"/>
      <c r="F103" s="1226"/>
      <c r="G103" s="1226"/>
      <c r="H103" s="1226"/>
      <c r="I103" s="1226"/>
      <c r="J103" s="1226"/>
      <c r="K103" s="1226"/>
      <c r="L103" s="1226"/>
      <c r="M103" s="1226"/>
      <c r="N103" s="1226"/>
      <c r="O103" s="1226"/>
      <c r="P103" s="1226"/>
      <c r="Q103" s="1226"/>
      <c r="R103" s="1226"/>
      <c r="S103" s="1226"/>
      <c r="T103" s="1226"/>
      <c r="U103" s="1226"/>
      <c r="V103" s="1226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26" t="s">
        <v>49</v>
      </c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493"/>
      <c r="BB103" s="493"/>
    </row>
    <row r="104" spans="1:54" ht="25.5" customHeight="1">
      <c r="A104" s="1227" t="s">
        <v>811</v>
      </c>
      <c r="B104" s="1227"/>
      <c r="C104" s="1227"/>
      <c r="D104" s="1227"/>
      <c r="E104" s="1227"/>
      <c r="F104" s="1227"/>
      <c r="G104" s="1227"/>
      <c r="H104" s="1227"/>
      <c r="I104" s="1227"/>
      <c r="J104" s="1227"/>
      <c r="K104" s="1227"/>
      <c r="L104" s="1227"/>
      <c r="M104" s="1227"/>
      <c r="N104" s="1227"/>
      <c r="O104" s="1227"/>
      <c r="P104" s="1227"/>
      <c r="Q104" s="1227"/>
      <c r="R104" s="1227"/>
      <c r="S104" s="1227"/>
      <c r="T104" s="1227"/>
      <c r="U104" s="1227"/>
      <c r="V104" s="1227"/>
      <c r="W104" s="1227"/>
      <c r="X104" s="1227"/>
      <c r="Y104" s="1227"/>
      <c r="Z104" s="1227"/>
      <c r="AA104" s="1227"/>
      <c r="AB104" s="1227"/>
      <c r="AC104" s="1227"/>
      <c r="AD104" s="1227"/>
      <c r="AE104" s="1227"/>
      <c r="AF104" s="1227"/>
      <c r="AG104" s="1227"/>
      <c r="AH104" s="1227"/>
      <c r="AI104" s="1227"/>
      <c r="AJ104" s="1227"/>
      <c r="AK104" s="1227"/>
      <c r="AL104" s="1227"/>
      <c r="AM104" s="1227"/>
      <c r="AN104" s="1227"/>
      <c r="AO104" s="1227"/>
      <c r="AP104" s="1227"/>
      <c r="AQ104" s="1227"/>
      <c r="AR104" s="1227"/>
      <c r="AS104" s="1227"/>
      <c r="AT104" s="1227"/>
      <c r="AU104" s="1227"/>
      <c r="AV104" s="1227"/>
      <c r="AW104" s="1227"/>
      <c r="AX104" s="1227"/>
      <c r="AY104" s="1227"/>
      <c r="AZ104" s="1227"/>
      <c r="BA104" s="420"/>
      <c r="BB104" s="420"/>
    </row>
    <row r="105" spans="1:54" ht="16.5" customHeight="1">
      <c r="A105" s="1090" t="str">
        <f>ПОДПИСИ!D17</f>
        <v>Матвеев А.С.</v>
      </c>
      <c r="B105" s="1090"/>
      <c r="C105" s="1090"/>
      <c r="D105" s="1090"/>
      <c r="E105" s="1090"/>
      <c r="F105" s="1090"/>
      <c r="G105" s="1090"/>
      <c r="H105" s="1090"/>
      <c r="I105" s="1090"/>
      <c r="J105" s="1090"/>
      <c r="K105" s="1090"/>
      <c r="L105" s="1090"/>
      <c r="M105" s="1090"/>
      <c r="N105" s="1090"/>
      <c r="O105" s="1090"/>
      <c r="P105" s="1090"/>
      <c r="Q105" s="1090"/>
      <c r="R105" s="1090"/>
      <c r="S105" s="1090"/>
      <c r="T105" s="1090"/>
      <c r="U105" s="1090"/>
      <c r="V105" s="109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  <c r="BA105" s="351"/>
      <c r="BB105" s="351"/>
    </row>
    <row r="106" spans="1:54" s="494" customFormat="1" ht="6" customHeight="1">
      <c r="A106" s="1226" t="s">
        <v>799</v>
      </c>
      <c r="B106" s="1226"/>
      <c r="C106" s="1226"/>
      <c r="D106" s="1226"/>
      <c r="E106" s="1226"/>
      <c r="F106" s="1226"/>
      <c r="G106" s="1226"/>
      <c r="H106" s="1226"/>
      <c r="I106" s="1226"/>
      <c r="J106" s="1226"/>
      <c r="K106" s="1226"/>
      <c r="L106" s="1226"/>
      <c r="M106" s="1226"/>
      <c r="N106" s="1226"/>
      <c r="O106" s="1226"/>
      <c r="P106" s="1226"/>
      <c r="Q106" s="1226"/>
      <c r="R106" s="1226"/>
      <c r="S106" s="1226"/>
      <c r="T106" s="1226"/>
      <c r="U106" s="1226"/>
      <c r="V106" s="1226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26" t="s">
        <v>49</v>
      </c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493"/>
      <c r="BB106" s="493"/>
    </row>
    <row r="107" spans="1:54" ht="39.75" customHeight="1">
      <c r="A107" s="1227" t="s">
        <v>801</v>
      </c>
      <c r="B107" s="1227"/>
      <c r="C107" s="1227"/>
      <c r="D107" s="1227"/>
      <c r="E107" s="1227"/>
      <c r="F107" s="1227"/>
      <c r="G107" s="1227"/>
      <c r="H107" s="1227"/>
      <c r="I107" s="1227"/>
      <c r="J107" s="1227"/>
      <c r="K107" s="1227"/>
      <c r="L107" s="1227"/>
      <c r="M107" s="1227"/>
      <c r="N107" s="1227"/>
      <c r="O107" s="1227"/>
      <c r="P107" s="1227"/>
      <c r="Q107" s="1227"/>
      <c r="R107" s="1227"/>
      <c r="S107" s="1227"/>
      <c r="T107" s="1227"/>
      <c r="U107" s="1227"/>
      <c r="V107" s="1227"/>
      <c r="W107" s="1227"/>
      <c r="X107" s="1227"/>
      <c r="Y107" s="1227"/>
      <c r="Z107" s="1227"/>
      <c r="AA107" s="1227"/>
      <c r="AB107" s="1227"/>
      <c r="AC107" s="1227"/>
      <c r="AD107" s="1227"/>
      <c r="AE107" s="1227"/>
      <c r="AF107" s="1227"/>
      <c r="AG107" s="1227"/>
      <c r="AH107" s="1227"/>
      <c r="AI107" s="1227"/>
      <c r="AJ107" s="1227"/>
      <c r="AK107" s="1227"/>
      <c r="AL107" s="1227"/>
      <c r="AM107" s="1227"/>
      <c r="AN107" s="1227"/>
      <c r="AO107" s="1227"/>
      <c r="AP107" s="1227"/>
      <c r="AQ107" s="1227"/>
      <c r="AR107" s="1227"/>
      <c r="AS107" s="1227"/>
      <c r="AT107" s="1227"/>
      <c r="AU107" s="1227"/>
      <c r="AV107" s="1227"/>
      <c r="AW107" s="1227"/>
      <c r="AX107" s="1227"/>
      <c r="AY107" s="1227"/>
      <c r="AZ107" s="1227"/>
      <c r="BA107" s="420"/>
      <c r="BB107" s="420"/>
    </row>
    <row r="108" spans="1:54" ht="16.5" customHeight="1">
      <c r="A108" s="1090" t="str">
        <f>ПОДПИСИ!C19</f>
        <v xml:space="preserve"> </v>
      </c>
      <c r="B108" s="1090"/>
      <c r="C108" s="1090"/>
      <c r="D108" s="1090"/>
      <c r="E108" s="1090"/>
      <c r="F108" s="1090"/>
      <c r="G108" s="1090"/>
      <c r="H108" s="1090"/>
      <c r="I108" s="1090"/>
      <c r="J108" s="1090"/>
      <c r="K108" s="1090"/>
      <c r="L108" s="1090"/>
      <c r="M108" s="1090"/>
      <c r="N108" s="1090"/>
      <c r="O108" s="1090"/>
      <c r="P108" s="1090"/>
      <c r="Q108" s="1090"/>
      <c r="R108" s="1090"/>
      <c r="S108" s="1090"/>
      <c r="T108" s="1090"/>
      <c r="U108" s="1090"/>
      <c r="V108" s="109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91"/>
      <c r="AQ108" s="1091"/>
      <c r="AR108" s="1091"/>
      <c r="AS108" s="1091"/>
      <c r="AT108" s="1091"/>
      <c r="AU108" s="1091"/>
      <c r="AV108" s="1091"/>
      <c r="AW108" s="1091"/>
      <c r="AX108" s="1091"/>
      <c r="AY108" s="1091"/>
      <c r="AZ108" s="1091"/>
      <c r="BA108" s="351"/>
      <c r="BB108" s="351"/>
    </row>
    <row r="109" spans="1:54" s="494" customFormat="1" ht="6" customHeight="1">
      <c r="A109" s="1226" t="s">
        <v>799</v>
      </c>
      <c r="B109" s="1226"/>
      <c r="C109" s="1226"/>
      <c r="D109" s="1226"/>
      <c r="E109" s="1226"/>
      <c r="F109" s="1226"/>
      <c r="G109" s="1226"/>
      <c r="H109" s="1226"/>
      <c r="I109" s="1226"/>
      <c r="J109" s="1226"/>
      <c r="K109" s="1226"/>
      <c r="L109" s="1226"/>
      <c r="M109" s="1226"/>
      <c r="N109" s="1226"/>
      <c r="O109" s="1226"/>
      <c r="P109" s="1226"/>
      <c r="Q109" s="1226"/>
      <c r="R109" s="1226"/>
      <c r="S109" s="1226"/>
      <c r="T109" s="1226"/>
      <c r="U109" s="1226"/>
      <c r="V109" s="1226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26" t="s">
        <v>49</v>
      </c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493"/>
      <c r="BB109" s="493"/>
    </row>
    <row r="110" spans="1:54" ht="39.75" customHeight="1">
      <c r="A110" s="1227" t="s">
        <v>972</v>
      </c>
      <c r="B110" s="1227"/>
      <c r="C110" s="1227"/>
      <c r="D110" s="1227"/>
      <c r="E110" s="1227"/>
      <c r="F110" s="1227"/>
      <c r="G110" s="1227"/>
      <c r="H110" s="1227"/>
      <c r="I110" s="1227"/>
      <c r="J110" s="1227"/>
      <c r="K110" s="1227"/>
      <c r="L110" s="1227"/>
      <c r="M110" s="1227"/>
      <c r="N110" s="1227"/>
      <c r="O110" s="1227"/>
      <c r="P110" s="1227"/>
      <c r="Q110" s="1227"/>
      <c r="R110" s="1227"/>
      <c r="S110" s="1227"/>
      <c r="T110" s="1227"/>
      <c r="U110" s="1227"/>
      <c r="V110" s="1227"/>
      <c r="W110" s="1227"/>
      <c r="X110" s="1227"/>
      <c r="Y110" s="1227"/>
      <c r="Z110" s="1227"/>
      <c r="AA110" s="1227"/>
      <c r="AB110" s="1227"/>
      <c r="AC110" s="1227"/>
      <c r="AD110" s="1227"/>
      <c r="AE110" s="1227"/>
      <c r="AF110" s="1227"/>
      <c r="AG110" s="1227"/>
      <c r="AH110" s="1227"/>
      <c r="AI110" s="1227"/>
      <c r="AJ110" s="1227"/>
      <c r="AK110" s="1227"/>
      <c r="AL110" s="1227"/>
      <c r="AM110" s="1227"/>
      <c r="AN110" s="1227"/>
      <c r="AO110" s="1227"/>
      <c r="AP110" s="1227"/>
      <c r="AQ110" s="1227"/>
      <c r="AR110" s="1227"/>
      <c r="AS110" s="1227"/>
      <c r="AT110" s="1227"/>
      <c r="AU110" s="1227"/>
      <c r="AV110" s="1227"/>
      <c r="AW110" s="1227"/>
      <c r="AX110" s="1227"/>
      <c r="AY110" s="1227"/>
      <c r="AZ110" s="1227"/>
      <c r="BA110" s="420"/>
      <c r="BB110" s="420"/>
    </row>
    <row r="111" spans="1:54" ht="16.5" customHeight="1">
      <c r="A111" s="1090" t="str">
        <f>ПОДПИСИ!D12</f>
        <v>Махмадов А.Р.</v>
      </c>
      <c r="B111" s="1090"/>
      <c r="C111" s="1090"/>
      <c r="D111" s="1090"/>
      <c r="E111" s="1090"/>
      <c r="F111" s="1090"/>
      <c r="G111" s="1090"/>
      <c r="H111" s="1090"/>
      <c r="I111" s="1090"/>
      <c r="J111" s="1090"/>
      <c r="K111" s="1090"/>
      <c r="L111" s="1090"/>
      <c r="M111" s="1090"/>
      <c r="N111" s="1090"/>
      <c r="O111" s="1090"/>
      <c r="P111" s="1090"/>
      <c r="Q111" s="1090"/>
      <c r="R111" s="1090"/>
      <c r="S111" s="1090"/>
      <c r="T111" s="1090"/>
      <c r="U111" s="1090"/>
      <c r="V111" s="109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91"/>
      <c r="AQ111" s="1091"/>
      <c r="AR111" s="1091"/>
      <c r="AS111" s="1091"/>
      <c r="AT111" s="1091"/>
      <c r="AU111" s="1091"/>
      <c r="AV111" s="1091"/>
      <c r="AW111" s="1091"/>
      <c r="AX111" s="1091"/>
      <c r="AY111" s="1091"/>
      <c r="AZ111" s="1091"/>
      <c r="BA111" s="351"/>
      <c r="BB111" s="351"/>
    </row>
    <row r="112" spans="1:54" s="494" customFormat="1" ht="6" customHeight="1">
      <c r="A112" s="1226" t="s">
        <v>799</v>
      </c>
      <c r="B112" s="1226"/>
      <c r="C112" s="1226"/>
      <c r="D112" s="1226"/>
      <c r="E112" s="1226"/>
      <c r="F112" s="1226"/>
      <c r="G112" s="1226"/>
      <c r="H112" s="1226"/>
      <c r="I112" s="1226"/>
      <c r="J112" s="1226"/>
      <c r="K112" s="1226"/>
      <c r="L112" s="1226"/>
      <c r="M112" s="1226"/>
      <c r="N112" s="1226"/>
      <c r="O112" s="1226"/>
      <c r="P112" s="1226"/>
      <c r="Q112" s="1226"/>
      <c r="R112" s="1226"/>
      <c r="S112" s="1226"/>
      <c r="T112" s="1226"/>
      <c r="U112" s="1226"/>
      <c r="V112" s="1226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26" t="s">
        <v>49</v>
      </c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493"/>
      <c r="BB112" s="493"/>
    </row>
    <row r="113" spans="1:54" hidden="1">
      <c r="A113" s="1227" t="s">
        <v>530</v>
      </c>
      <c r="B113" s="1227"/>
      <c r="C113" s="1227"/>
      <c r="D113" s="1227"/>
      <c r="E113" s="1227"/>
      <c r="F113" s="1227"/>
      <c r="G113" s="1227"/>
      <c r="H113" s="1227"/>
      <c r="I113" s="1227"/>
      <c r="J113" s="1227"/>
      <c r="K113" s="1227"/>
      <c r="L113" s="1227"/>
      <c r="M113" s="1227"/>
      <c r="N113" s="1227"/>
      <c r="O113" s="1227"/>
      <c r="P113" s="1227"/>
      <c r="Q113" s="1227"/>
      <c r="R113" s="1227"/>
      <c r="S113" s="1227"/>
      <c r="T113" s="1227"/>
      <c r="U113" s="1227"/>
      <c r="V113" s="1227"/>
      <c r="W113" s="1227"/>
      <c r="X113" s="1227"/>
      <c r="Y113" s="1227"/>
      <c r="Z113" s="1227"/>
      <c r="AA113" s="1227"/>
      <c r="AB113" s="1227"/>
      <c r="AC113" s="1227"/>
      <c r="AD113" s="1227"/>
      <c r="AE113" s="1227"/>
      <c r="AF113" s="1227"/>
      <c r="AG113" s="1227"/>
      <c r="AH113" s="1227"/>
      <c r="AI113" s="1227"/>
      <c r="AJ113" s="1227"/>
      <c r="AK113" s="1227"/>
      <c r="AL113" s="1227"/>
      <c r="AM113" s="1227"/>
      <c r="AN113" s="1227"/>
      <c r="AO113" s="1227"/>
      <c r="AP113" s="1227"/>
      <c r="AQ113" s="1227"/>
      <c r="AR113" s="1227"/>
      <c r="AS113" s="1227"/>
      <c r="AT113" s="1227"/>
      <c r="AU113" s="1227"/>
      <c r="AV113" s="1227"/>
      <c r="AW113" s="1227"/>
      <c r="AX113" s="1227"/>
      <c r="AY113" s="1227"/>
      <c r="AZ113" s="1227"/>
      <c r="BA113" s="1227"/>
      <c r="BB113" s="1227"/>
    </row>
    <row r="114" spans="1:54" ht="16.5" hidden="1" customHeight="1">
      <c r="A114" s="1090"/>
      <c r="B114" s="1090"/>
      <c r="C114" s="1090"/>
      <c r="D114" s="1090"/>
      <c r="E114" s="1090"/>
      <c r="F114" s="1090"/>
      <c r="G114" s="1090"/>
      <c r="H114" s="1090"/>
      <c r="I114" s="1090"/>
      <c r="J114" s="1090"/>
      <c r="K114" s="1090"/>
      <c r="L114" s="1090"/>
      <c r="M114" s="1090"/>
      <c r="N114" s="1090"/>
      <c r="O114" s="1090"/>
      <c r="P114" s="1090"/>
      <c r="Q114" s="1090"/>
      <c r="R114" s="1090"/>
      <c r="S114" s="1090"/>
      <c r="T114" s="1090"/>
      <c r="U114" s="1090"/>
      <c r="V114" s="109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91"/>
      <c r="AU114" s="1091"/>
      <c r="AV114" s="1091"/>
      <c r="AW114" s="1091"/>
      <c r="AX114" s="1091"/>
      <c r="AY114" s="1091"/>
      <c r="AZ114" s="1091"/>
      <c r="BA114" s="351"/>
      <c r="BB114" s="351"/>
    </row>
    <row r="115" spans="1:54" s="494" customFormat="1" ht="6" hidden="1" customHeight="1">
      <c r="A115" s="1226" t="s">
        <v>799</v>
      </c>
      <c r="B115" s="1226"/>
      <c r="C115" s="1226"/>
      <c r="D115" s="1226"/>
      <c r="E115" s="1226"/>
      <c r="F115" s="1226"/>
      <c r="G115" s="1226"/>
      <c r="H115" s="1226"/>
      <c r="I115" s="1226"/>
      <c r="J115" s="1226"/>
      <c r="K115" s="1226"/>
      <c r="L115" s="1226"/>
      <c r="M115" s="1226"/>
      <c r="N115" s="1226"/>
      <c r="O115" s="1226"/>
      <c r="P115" s="1226"/>
      <c r="Q115" s="1226"/>
      <c r="R115" s="1226"/>
      <c r="S115" s="1226"/>
      <c r="T115" s="1226"/>
      <c r="U115" s="1226"/>
      <c r="V115" s="1226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26" t="s">
        <v>49</v>
      </c>
      <c r="AU115" s="1226"/>
      <c r="AV115" s="1226"/>
      <c r="AW115" s="1226"/>
      <c r="AX115" s="1226"/>
      <c r="AY115" s="1226"/>
      <c r="AZ115" s="1226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1796875" defaultRowHeight="14"/>
  <cols>
    <col min="1" max="24" width="1.7265625" style="7" customWidth="1"/>
    <col min="25" max="25" width="5.453125" style="7" customWidth="1"/>
    <col min="26" max="39" width="1.7265625" style="7" customWidth="1"/>
    <col min="40" max="40" width="4.453125" style="7" customWidth="1"/>
    <col min="41" max="52" width="1.7265625" style="7" customWidth="1"/>
    <col min="53" max="53" width="0.1796875" style="7" customWidth="1"/>
    <col min="54" max="54" width="9.1796875" style="7"/>
    <col min="55" max="58" width="15.7265625" style="7" customWidth="1"/>
    <col min="59" max="254" width="9.1796875" style="7"/>
    <col min="255" max="307" width="1.7265625" style="7" customWidth="1"/>
    <col min="308" max="308" width="0.1796875" style="7" customWidth="1"/>
    <col min="309" max="510" width="9.1796875" style="7"/>
    <col min="511" max="563" width="1.7265625" style="7" customWidth="1"/>
    <col min="564" max="564" width="0.1796875" style="7" customWidth="1"/>
    <col min="565" max="766" width="9.1796875" style="7"/>
    <col min="767" max="819" width="1.7265625" style="7" customWidth="1"/>
    <col min="820" max="820" width="0.1796875" style="7" customWidth="1"/>
    <col min="821" max="1022" width="9.1796875" style="7"/>
    <col min="1023" max="1075" width="1.7265625" style="7" customWidth="1"/>
    <col min="1076" max="1076" width="0.1796875" style="7" customWidth="1"/>
    <col min="1077" max="1278" width="9.1796875" style="7"/>
    <col min="1279" max="1331" width="1.7265625" style="7" customWidth="1"/>
    <col min="1332" max="1332" width="0.1796875" style="7" customWidth="1"/>
    <col min="1333" max="1534" width="9.1796875" style="7"/>
    <col min="1535" max="1587" width="1.7265625" style="7" customWidth="1"/>
    <col min="1588" max="1588" width="0.1796875" style="7" customWidth="1"/>
    <col min="1589" max="1790" width="9.1796875" style="7"/>
    <col min="1791" max="1843" width="1.7265625" style="7" customWidth="1"/>
    <col min="1844" max="1844" width="0.1796875" style="7" customWidth="1"/>
    <col min="1845" max="2046" width="9.1796875" style="7"/>
    <col min="2047" max="2099" width="1.7265625" style="7" customWidth="1"/>
    <col min="2100" max="2100" width="0.1796875" style="7" customWidth="1"/>
    <col min="2101" max="2302" width="9.1796875" style="7"/>
    <col min="2303" max="2355" width="1.7265625" style="7" customWidth="1"/>
    <col min="2356" max="2356" width="0.1796875" style="7" customWidth="1"/>
    <col min="2357" max="2558" width="9.1796875" style="7"/>
    <col min="2559" max="2611" width="1.7265625" style="7" customWidth="1"/>
    <col min="2612" max="2612" width="0.1796875" style="7" customWidth="1"/>
    <col min="2613" max="2814" width="9.1796875" style="7"/>
    <col min="2815" max="2867" width="1.7265625" style="7" customWidth="1"/>
    <col min="2868" max="2868" width="0.1796875" style="7" customWidth="1"/>
    <col min="2869" max="3070" width="9.1796875" style="7"/>
    <col min="3071" max="3123" width="1.7265625" style="7" customWidth="1"/>
    <col min="3124" max="3124" width="0.1796875" style="7" customWidth="1"/>
    <col min="3125" max="3326" width="9.1796875" style="7"/>
    <col min="3327" max="3379" width="1.7265625" style="7" customWidth="1"/>
    <col min="3380" max="3380" width="0.1796875" style="7" customWidth="1"/>
    <col min="3381" max="3582" width="9.1796875" style="7"/>
    <col min="3583" max="3635" width="1.7265625" style="7" customWidth="1"/>
    <col min="3636" max="3636" width="0.1796875" style="7" customWidth="1"/>
    <col min="3637" max="3838" width="9.1796875" style="7"/>
    <col min="3839" max="3891" width="1.7265625" style="7" customWidth="1"/>
    <col min="3892" max="3892" width="0.1796875" style="7" customWidth="1"/>
    <col min="3893" max="4094" width="9.1796875" style="7"/>
    <col min="4095" max="4147" width="1.7265625" style="7" customWidth="1"/>
    <col min="4148" max="4148" width="0.1796875" style="7" customWidth="1"/>
    <col min="4149" max="4350" width="9.1796875" style="7"/>
    <col min="4351" max="4403" width="1.7265625" style="7" customWidth="1"/>
    <col min="4404" max="4404" width="0.1796875" style="7" customWidth="1"/>
    <col min="4405" max="4606" width="9.1796875" style="7"/>
    <col min="4607" max="4659" width="1.7265625" style="7" customWidth="1"/>
    <col min="4660" max="4660" width="0.1796875" style="7" customWidth="1"/>
    <col min="4661" max="4862" width="9.1796875" style="7"/>
    <col min="4863" max="4915" width="1.7265625" style="7" customWidth="1"/>
    <col min="4916" max="4916" width="0.1796875" style="7" customWidth="1"/>
    <col min="4917" max="5118" width="9.1796875" style="7"/>
    <col min="5119" max="5171" width="1.7265625" style="7" customWidth="1"/>
    <col min="5172" max="5172" width="0.1796875" style="7" customWidth="1"/>
    <col min="5173" max="5374" width="9.1796875" style="7"/>
    <col min="5375" max="5427" width="1.7265625" style="7" customWidth="1"/>
    <col min="5428" max="5428" width="0.1796875" style="7" customWidth="1"/>
    <col min="5429" max="5630" width="9.1796875" style="7"/>
    <col min="5631" max="5683" width="1.7265625" style="7" customWidth="1"/>
    <col min="5684" max="5684" width="0.1796875" style="7" customWidth="1"/>
    <col min="5685" max="5886" width="9.1796875" style="7"/>
    <col min="5887" max="5939" width="1.7265625" style="7" customWidth="1"/>
    <col min="5940" max="5940" width="0.1796875" style="7" customWidth="1"/>
    <col min="5941" max="6142" width="9.1796875" style="7"/>
    <col min="6143" max="6195" width="1.7265625" style="7" customWidth="1"/>
    <col min="6196" max="6196" width="0.1796875" style="7" customWidth="1"/>
    <col min="6197" max="6398" width="9.1796875" style="7"/>
    <col min="6399" max="6451" width="1.7265625" style="7" customWidth="1"/>
    <col min="6452" max="6452" width="0.1796875" style="7" customWidth="1"/>
    <col min="6453" max="6654" width="9.1796875" style="7"/>
    <col min="6655" max="6707" width="1.7265625" style="7" customWidth="1"/>
    <col min="6708" max="6708" width="0.1796875" style="7" customWidth="1"/>
    <col min="6709" max="6910" width="9.1796875" style="7"/>
    <col min="6911" max="6963" width="1.7265625" style="7" customWidth="1"/>
    <col min="6964" max="6964" width="0.1796875" style="7" customWidth="1"/>
    <col min="6965" max="7166" width="9.1796875" style="7"/>
    <col min="7167" max="7219" width="1.7265625" style="7" customWidth="1"/>
    <col min="7220" max="7220" width="0.1796875" style="7" customWidth="1"/>
    <col min="7221" max="7422" width="9.1796875" style="7"/>
    <col min="7423" max="7475" width="1.7265625" style="7" customWidth="1"/>
    <col min="7476" max="7476" width="0.1796875" style="7" customWidth="1"/>
    <col min="7477" max="7678" width="9.1796875" style="7"/>
    <col min="7679" max="7731" width="1.7265625" style="7" customWidth="1"/>
    <col min="7732" max="7732" width="0.1796875" style="7" customWidth="1"/>
    <col min="7733" max="7934" width="9.1796875" style="7"/>
    <col min="7935" max="7987" width="1.7265625" style="7" customWidth="1"/>
    <col min="7988" max="7988" width="0.1796875" style="7" customWidth="1"/>
    <col min="7989" max="8190" width="9.1796875" style="7"/>
    <col min="8191" max="8243" width="1.7265625" style="7" customWidth="1"/>
    <col min="8244" max="8244" width="0.1796875" style="7" customWidth="1"/>
    <col min="8245" max="8446" width="9.1796875" style="7"/>
    <col min="8447" max="8499" width="1.7265625" style="7" customWidth="1"/>
    <col min="8500" max="8500" width="0.1796875" style="7" customWidth="1"/>
    <col min="8501" max="8702" width="9.1796875" style="7"/>
    <col min="8703" max="8755" width="1.7265625" style="7" customWidth="1"/>
    <col min="8756" max="8756" width="0.1796875" style="7" customWidth="1"/>
    <col min="8757" max="8958" width="9.1796875" style="7"/>
    <col min="8959" max="9011" width="1.7265625" style="7" customWidth="1"/>
    <col min="9012" max="9012" width="0.1796875" style="7" customWidth="1"/>
    <col min="9013" max="9214" width="9.1796875" style="7"/>
    <col min="9215" max="9267" width="1.7265625" style="7" customWidth="1"/>
    <col min="9268" max="9268" width="0.1796875" style="7" customWidth="1"/>
    <col min="9269" max="9470" width="9.1796875" style="7"/>
    <col min="9471" max="9523" width="1.7265625" style="7" customWidth="1"/>
    <col min="9524" max="9524" width="0.1796875" style="7" customWidth="1"/>
    <col min="9525" max="9726" width="9.1796875" style="7"/>
    <col min="9727" max="9779" width="1.7265625" style="7" customWidth="1"/>
    <col min="9780" max="9780" width="0.1796875" style="7" customWidth="1"/>
    <col min="9781" max="9982" width="9.1796875" style="7"/>
    <col min="9983" max="10035" width="1.7265625" style="7" customWidth="1"/>
    <col min="10036" max="10036" width="0.1796875" style="7" customWidth="1"/>
    <col min="10037" max="10238" width="9.1796875" style="7"/>
    <col min="10239" max="10291" width="1.7265625" style="7" customWidth="1"/>
    <col min="10292" max="10292" width="0.1796875" style="7" customWidth="1"/>
    <col min="10293" max="10494" width="9.1796875" style="7"/>
    <col min="10495" max="10547" width="1.7265625" style="7" customWidth="1"/>
    <col min="10548" max="10548" width="0.1796875" style="7" customWidth="1"/>
    <col min="10549" max="10750" width="9.1796875" style="7"/>
    <col min="10751" max="10803" width="1.7265625" style="7" customWidth="1"/>
    <col min="10804" max="10804" width="0.1796875" style="7" customWidth="1"/>
    <col min="10805" max="11006" width="9.1796875" style="7"/>
    <col min="11007" max="11059" width="1.7265625" style="7" customWidth="1"/>
    <col min="11060" max="11060" width="0.1796875" style="7" customWidth="1"/>
    <col min="11061" max="11262" width="9.1796875" style="7"/>
    <col min="11263" max="11315" width="1.7265625" style="7" customWidth="1"/>
    <col min="11316" max="11316" width="0.1796875" style="7" customWidth="1"/>
    <col min="11317" max="11518" width="9.1796875" style="7"/>
    <col min="11519" max="11571" width="1.7265625" style="7" customWidth="1"/>
    <col min="11572" max="11572" width="0.1796875" style="7" customWidth="1"/>
    <col min="11573" max="11774" width="9.1796875" style="7"/>
    <col min="11775" max="11827" width="1.7265625" style="7" customWidth="1"/>
    <col min="11828" max="11828" width="0.1796875" style="7" customWidth="1"/>
    <col min="11829" max="12030" width="9.1796875" style="7"/>
    <col min="12031" max="12083" width="1.7265625" style="7" customWidth="1"/>
    <col min="12084" max="12084" width="0.1796875" style="7" customWidth="1"/>
    <col min="12085" max="12286" width="9.1796875" style="7"/>
    <col min="12287" max="12339" width="1.7265625" style="7" customWidth="1"/>
    <col min="12340" max="12340" width="0.1796875" style="7" customWidth="1"/>
    <col min="12341" max="12542" width="9.1796875" style="7"/>
    <col min="12543" max="12595" width="1.7265625" style="7" customWidth="1"/>
    <col min="12596" max="12596" width="0.1796875" style="7" customWidth="1"/>
    <col min="12597" max="12798" width="9.1796875" style="7"/>
    <col min="12799" max="12851" width="1.7265625" style="7" customWidth="1"/>
    <col min="12852" max="12852" width="0.1796875" style="7" customWidth="1"/>
    <col min="12853" max="13054" width="9.1796875" style="7"/>
    <col min="13055" max="13107" width="1.7265625" style="7" customWidth="1"/>
    <col min="13108" max="13108" width="0.1796875" style="7" customWidth="1"/>
    <col min="13109" max="13310" width="9.1796875" style="7"/>
    <col min="13311" max="13363" width="1.7265625" style="7" customWidth="1"/>
    <col min="13364" max="13364" width="0.1796875" style="7" customWidth="1"/>
    <col min="13365" max="13566" width="9.1796875" style="7"/>
    <col min="13567" max="13619" width="1.7265625" style="7" customWidth="1"/>
    <col min="13620" max="13620" width="0.1796875" style="7" customWidth="1"/>
    <col min="13621" max="13822" width="9.1796875" style="7"/>
    <col min="13823" max="13875" width="1.7265625" style="7" customWidth="1"/>
    <col min="13876" max="13876" width="0.1796875" style="7" customWidth="1"/>
    <col min="13877" max="14078" width="9.1796875" style="7"/>
    <col min="14079" max="14131" width="1.7265625" style="7" customWidth="1"/>
    <col min="14132" max="14132" width="0.1796875" style="7" customWidth="1"/>
    <col min="14133" max="14334" width="9.1796875" style="7"/>
    <col min="14335" max="14387" width="1.7265625" style="7" customWidth="1"/>
    <col min="14388" max="14388" width="0.1796875" style="7" customWidth="1"/>
    <col min="14389" max="14590" width="9.1796875" style="7"/>
    <col min="14591" max="14643" width="1.7265625" style="7" customWidth="1"/>
    <col min="14644" max="14644" width="0.1796875" style="7" customWidth="1"/>
    <col min="14645" max="14846" width="9.1796875" style="7"/>
    <col min="14847" max="14899" width="1.7265625" style="7" customWidth="1"/>
    <col min="14900" max="14900" width="0.1796875" style="7" customWidth="1"/>
    <col min="14901" max="15102" width="9.1796875" style="7"/>
    <col min="15103" max="15155" width="1.7265625" style="7" customWidth="1"/>
    <col min="15156" max="15156" width="0.1796875" style="7" customWidth="1"/>
    <col min="15157" max="15358" width="9.1796875" style="7"/>
    <col min="15359" max="15411" width="1.7265625" style="7" customWidth="1"/>
    <col min="15412" max="15412" width="0.1796875" style="7" customWidth="1"/>
    <col min="15413" max="15614" width="9.1796875" style="7"/>
    <col min="15615" max="15667" width="1.7265625" style="7" customWidth="1"/>
    <col min="15668" max="15668" width="0.1796875" style="7" customWidth="1"/>
    <col min="15669" max="15870" width="9.1796875" style="7"/>
    <col min="15871" max="15923" width="1.7265625" style="7" customWidth="1"/>
    <col min="15924" max="15924" width="0.1796875" style="7" customWidth="1"/>
    <col min="15925" max="16126" width="9.1796875" style="7"/>
    <col min="16127" max="16179" width="1.7265625" style="7" customWidth="1"/>
    <col min="16180" max="16180" width="0.1796875" style="7" customWidth="1"/>
    <col min="16181" max="16384" width="9.1796875" style="7"/>
  </cols>
  <sheetData>
    <row r="1" spans="1:63" ht="25.5" hidden="1" customHeight="1">
      <c r="R1" s="16"/>
      <c r="S1" s="16"/>
      <c r="T1" s="16"/>
      <c r="U1" s="1273" t="s">
        <v>516</v>
      </c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273"/>
      <c r="AK1" s="1273"/>
      <c r="AL1" s="1273"/>
      <c r="AM1" s="1273"/>
      <c r="AN1" s="1273"/>
      <c r="AO1" s="1273"/>
      <c r="AP1" s="1273"/>
      <c r="AQ1" s="1273"/>
      <c r="AR1" s="1273"/>
      <c r="AS1" s="1273"/>
      <c r="AT1" s="1273"/>
      <c r="AU1" s="1273"/>
      <c r="AV1" s="1273"/>
      <c r="AW1" s="1273"/>
      <c r="AX1" s="1273"/>
      <c r="AY1" s="1273"/>
      <c r="AZ1" s="1273"/>
    </row>
    <row r="2" spans="1:63">
      <c r="A2" s="1279" t="s">
        <v>72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274"/>
      <c r="Y3" s="1274"/>
      <c r="Z3" s="1274"/>
      <c r="AA3" s="1274"/>
      <c r="AB3" s="1274"/>
      <c r="AC3" s="1274"/>
      <c r="AD3" s="1274"/>
      <c r="AE3" s="1274"/>
      <c r="AF3" s="1274"/>
      <c r="AG3" s="1274"/>
      <c r="AH3" s="1274"/>
      <c r="AI3" s="1274"/>
      <c r="AJ3" s="1274"/>
      <c r="AK3" s="1274"/>
      <c r="AL3" s="1274"/>
      <c r="AM3" s="1274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5" customHeight="1">
      <c r="A4" s="1240" t="s">
        <v>515</v>
      </c>
      <c r="B4" s="1240"/>
      <c r="C4" s="1240"/>
      <c r="D4" s="1240"/>
      <c r="E4" s="1240"/>
      <c r="F4" s="1240"/>
      <c r="G4" s="1240"/>
      <c r="H4" s="1240"/>
      <c r="I4" s="1240"/>
      <c r="J4" s="1240"/>
      <c r="K4" s="1240"/>
      <c r="L4" s="1240"/>
      <c r="M4" s="1240"/>
      <c r="N4" s="1240"/>
      <c r="O4" s="1240"/>
      <c r="P4" s="1240"/>
      <c r="Q4" s="1240"/>
      <c r="R4" s="1240"/>
      <c r="S4" s="1240"/>
      <c r="T4" s="1240"/>
      <c r="U4" s="1240"/>
      <c r="V4" s="1240"/>
      <c r="W4" s="1240"/>
      <c r="X4" s="1240"/>
      <c r="Y4" s="1240"/>
      <c r="Z4" s="1240"/>
      <c r="AA4" s="1240"/>
      <c r="AB4" s="1240"/>
      <c r="AC4" s="1240"/>
      <c r="AD4" s="1240"/>
      <c r="AE4" s="1240"/>
      <c r="AF4" s="1240"/>
      <c r="AG4" s="1240"/>
      <c r="AH4" s="1240"/>
      <c r="AI4" s="1240"/>
      <c r="AJ4" s="1240"/>
      <c r="AK4" s="1240"/>
      <c r="AL4" s="1240"/>
      <c r="AM4" s="1240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D4" s="10"/>
      <c r="BF4" s="10"/>
      <c r="BG4" s="10"/>
      <c r="BH4" s="10"/>
      <c r="BI4" s="10"/>
      <c r="BJ4" s="10"/>
      <c r="BK4" s="10"/>
    </row>
    <row r="5" spans="1:63">
      <c r="A5" s="1280" t="s">
        <v>377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9" t="s">
        <v>805</v>
      </c>
      <c r="B7" s="1239"/>
      <c r="C7" s="1239"/>
      <c r="D7" s="1239"/>
      <c r="E7" s="1239"/>
      <c r="F7" s="1239"/>
      <c r="G7" s="1239"/>
      <c r="H7" s="1239"/>
      <c r="I7" s="1239"/>
      <c r="J7" s="1239"/>
      <c r="K7" s="1239"/>
      <c r="L7" s="1239"/>
      <c r="M7" s="1239"/>
      <c r="N7" s="1239"/>
      <c r="O7" s="1239"/>
      <c r="P7" s="1239"/>
      <c r="Q7" s="1239"/>
      <c r="R7" s="1239"/>
      <c r="S7" s="1239"/>
      <c r="T7" s="1239"/>
      <c r="U7" s="1239"/>
      <c r="V7" s="1239"/>
      <c r="W7" s="1239"/>
      <c r="X7" s="1239"/>
      <c r="Y7" s="1239"/>
      <c r="Z7" s="1239"/>
      <c r="AA7" s="1239"/>
      <c r="AB7" s="1239"/>
      <c r="AC7" s="1239"/>
      <c r="AD7" s="1239"/>
      <c r="AE7" s="1239"/>
      <c r="AF7" s="1239"/>
      <c r="AG7" s="1239"/>
      <c r="AH7" s="1239"/>
      <c r="AI7" s="1239"/>
      <c r="AJ7" s="1239"/>
      <c r="AK7" s="1239"/>
      <c r="AL7" s="1239"/>
      <c r="AM7" s="1239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/>
      <c r="AY7" s="1239"/>
      <c r="AZ7" s="1239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9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5" t="s">
        <v>73</v>
      </c>
      <c r="B10" s="1235"/>
      <c r="C10" s="1235"/>
      <c r="D10" s="1235"/>
      <c r="E10" s="1235"/>
      <c r="F10" s="1235"/>
      <c r="G10" s="1235"/>
      <c r="H10" s="1235"/>
      <c r="I10" s="1235"/>
      <c r="J10" s="1235"/>
      <c r="K10" s="1235"/>
      <c r="L10" s="1235"/>
      <c r="M10" s="1235"/>
      <c r="N10" s="1235"/>
      <c r="O10" s="1235"/>
      <c r="P10" s="1235"/>
      <c r="Q10" s="1235"/>
      <c r="R10" s="1235"/>
      <c r="S10" s="1235"/>
      <c r="T10" s="1235"/>
      <c r="U10" s="1235"/>
      <c r="V10" s="1235"/>
      <c r="W10" s="1235"/>
      <c r="X10" s="1235"/>
      <c r="Y10" s="1235"/>
      <c r="Z10" s="1235"/>
      <c r="AA10" s="1235"/>
      <c r="AB10" s="1235"/>
      <c r="AC10" s="1235"/>
      <c r="AD10" s="1235"/>
      <c r="AE10" s="1235"/>
      <c r="AF10" s="1235"/>
      <c r="AG10" s="1235"/>
      <c r="AH10" s="1235"/>
      <c r="AI10" s="1235"/>
      <c r="AJ10" s="1235"/>
      <c r="AK10" s="1235"/>
      <c r="AL10" s="1235"/>
      <c r="AM10" s="1235"/>
      <c r="AN10" s="1235"/>
      <c r="AO10" s="1235"/>
      <c r="AP10" s="1235"/>
      <c r="AQ10" s="1235"/>
      <c r="AR10" s="1235"/>
      <c r="AS10" s="1235"/>
      <c r="AT10" s="1235"/>
      <c r="AU10" s="1235"/>
      <c r="AV10" s="1235"/>
      <c r="AW10" s="1235"/>
      <c r="AX10" s="1235"/>
      <c r="AY10" s="1235"/>
      <c r="AZ10" s="123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5" customHeight="1">
      <c r="A12" s="1239" t="s">
        <v>820</v>
      </c>
      <c r="B12" s="1239"/>
      <c r="C12" s="1239"/>
      <c r="D12" s="1239"/>
      <c r="E12" s="1239"/>
      <c r="F12" s="1239"/>
      <c r="G12" s="1239"/>
      <c r="H12" s="1239"/>
      <c r="I12" s="1239"/>
      <c r="J12" s="1239"/>
      <c r="K12" s="1239"/>
      <c r="L12" s="1239"/>
      <c r="M12" s="1239"/>
      <c r="N12" s="1239"/>
      <c r="O12" s="1239"/>
      <c r="P12" s="1239"/>
      <c r="Q12" s="1239"/>
      <c r="R12" s="1239"/>
      <c r="S12" s="1239"/>
      <c r="T12" s="1239"/>
      <c r="U12" s="1239"/>
      <c r="V12" s="1239"/>
      <c r="W12" s="1239"/>
      <c r="X12" s="1239"/>
      <c r="Y12" s="1239"/>
      <c r="Z12" s="1239"/>
      <c r="AA12" s="1239"/>
      <c r="AB12" s="1239"/>
      <c r="AC12" s="1239"/>
      <c r="AD12" s="1239"/>
      <c r="AE12" s="1239"/>
      <c r="AF12" s="1239"/>
      <c r="AG12" s="1239"/>
      <c r="AH12" s="1239"/>
      <c r="AI12" s="1239"/>
      <c r="AJ12" s="1239"/>
      <c r="AK12" s="1239"/>
      <c r="AL12" s="1239"/>
      <c r="AM12" s="1239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</row>
    <row r="13" spans="1:63" ht="24.65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5" customHeight="1">
      <c r="A14" s="1239" t="s">
        <v>821</v>
      </c>
      <c r="B14" s="1239"/>
      <c r="C14" s="1239"/>
      <c r="D14" s="1239"/>
      <c r="E14" s="1239"/>
      <c r="F14" s="1239"/>
      <c r="G14" s="1239"/>
      <c r="H14" s="1239"/>
      <c r="I14" s="1239"/>
      <c r="J14" s="1239"/>
      <c r="K14" s="1239"/>
      <c r="L14" s="1239"/>
      <c r="M14" s="1239"/>
      <c r="N14" s="1239"/>
      <c r="O14" s="1239"/>
      <c r="P14" s="1239"/>
      <c r="Q14" s="1239"/>
      <c r="R14" s="1239"/>
      <c r="S14" s="1239"/>
      <c r="T14" s="1239"/>
      <c r="U14" s="1239"/>
      <c r="V14" s="1239"/>
      <c r="W14" s="1239"/>
      <c r="X14" s="1239"/>
      <c r="Y14" s="1239"/>
      <c r="Z14" s="1239"/>
      <c r="AA14" s="1239"/>
      <c r="AB14" s="1239"/>
      <c r="AC14" s="1239"/>
      <c r="AD14" s="1239"/>
      <c r="AE14" s="1239"/>
      <c r="AF14" s="1239"/>
      <c r="AG14" s="1239"/>
      <c r="AH14" s="1239"/>
      <c r="AI14" s="1239"/>
      <c r="AJ14" s="1239"/>
      <c r="AK14" s="1239"/>
      <c r="AL14" s="1239"/>
      <c r="AM14" s="1239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</row>
    <row r="15" spans="1:63">
      <c r="A15" s="1235" t="s">
        <v>74</v>
      </c>
      <c r="B15" s="1235"/>
      <c r="C15" s="1235"/>
      <c r="D15" s="1235"/>
      <c r="E15" s="1235"/>
      <c r="F15" s="1235"/>
      <c r="G15" s="1235"/>
      <c r="H15" s="1235"/>
      <c r="I15" s="1235"/>
      <c r="J15" s="1235"/>
      <c r="K15" s="1235"/>
      <c r="L15" s="1235"/>
      <c r="M15" s="1235"/>
      <c r="N15" s="1235"/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5"/>
      <c r="AA15" s="1235"/>
      <c r="AB15" s="1235"/>
      <c r="AC15" s="1235"/>
      <c r="AD15" s="1235"/>
      <c r="AE15" s="1235"/>
      <c r="AF15" s="1235"/>
      <c r="AG15" s="1235"/>
      <c r="AH15" s="1235"/>
      <c r="AI15" s="1235"/>
      <c r="AJ15" s="1235"/>
      <c r="AK15" s="1235"/>
      <c r="AL15" s="1235"/>
      <c r="AM15" s="1235"/>
      <c r="AN15" s="1235"/>
      <c r="AO15" s="1235"/>
      <c r="AP15" s="1235"/>
      <c r="AQ15" s="1235"/>
      <c r="AR15" s="1235"/>
      <c r="AS15" s="1235"/>
      <c r="AT15" s="1235"/>
      <c r="AU15" s="1235"/>
      <c r="AV15" s="1235"/>
      <c r="AW15" s="1235"/>
      <c r="AX15" s="1235"/>
      <c r="AY15" s="1235"/>
      <c r="AZ15" s="1235"/>
    </row>
    <row r="16" spans="1:63" ht="15" customHeight="1">
      <c r="A16" s="1276" t="str">
        <f>IF(ФОРМА!B8=0," ",ФОРМА!B8)</f>
        <v>ООО «Строительные энергетические технологии»</v>
      </c>
      <c r="B16" s="1276"/>
      <c r="C16" s="1276"/>
      <c r="D16" s="1276"/>
      <c r="E16" s="1276"/>
      <c r="F16" s="1276"/>
      <c r="G16" s="1276"/>
      <c r="H16" s="1276"/>
      <c r="I16" s="1276"/>
      <c r="J16" s="1276"/>
      <c r="K16" s="1276"/>
      <c r="L16" s="1276"/>
      <c r="M16" s="1276"/>
      <c r="N16" s="1276"/>
      <c r="O16" s="1276"/>
      <c r="P16" s="1276"/>
      <c r="Q16" s="1276"/>
      <c r="R16" s="1276"/>
      <c r="S16" s="1276"/>
      <c r="T16" s="1276"/>
      <c r="U16" s="1276"/>
      <c r="V16" s="1276"/>
      <c r="W16" s="1276"/>
      <c r="X16" s="1276"/>
      <c r="Y16" s="1276"/>
      <c r="Z16" s="1276"/>
      <c r="AA16" s="1276"/>
      <c r="AB16" s="1276"/>
      <c r="AC16" s="1276"/>
      <c r="AD16" s="1276"/>
      <c r="AE16" s="1276"/>
      <c r="AF16" s="1276"/>
      <c r="AG16" s="1276"/>
      <c r="AH16" s="1276"/>
      <c r="AI16" s="1276"/>
      <c r="AJ16" s="1276"/>
      <c r="AK16" s="1276"/>
      <c r="AL16" s="1276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</row>
    <row r="17" spans="1:54" s="127" customFormat="1" ht="9.65" customHeight="1">
      <c r="A17" s="1239" t="s">
        <v>820</v>
      </c>
      <c r="B17" s="1239"/>
      <c r="C17" s="1239"/>
      <c r="D17" s="1239"/>
      <c r="E17" s="1239"/>
      <c r="F17" s="1239"/>
      <c r="G17" s="1239"/>
      <c r="H17" s="1239"/>
      <c r="I17" s="1239"/>
      <c r="J17" s="1239"/>
      <c r="K17" s="1239"/>
      <c r="L17" s="1239"/>
      <c r="M17" s="1239"/>
      <c r="N17" s="1239"/>
      <c r="O17" s="1239"/>
      <c r="P17" s="1239"/>
      <c r="Q17" s="1239"/>
      <c r="R17" s="1239"/>
      <c r="S17" s="1239"/>
      <c r="T17" s="1239"/>
      <c r="U17" s="1239"/>
      <c r="V17" s="1239"/>
      <c r="W17" s="1239"/>
      <c r="X17" s="1239"/>
      <c r="Y17" s="1239"/>
      <c r="Z17" s="1239"/>
      <c r="AA17" s="1239"/>
      <c r="AB17" s="1239"/>
      <c r="AC17" s="1239"/>
      <c r="AD17" s="1239"/>
      <c r="AE17" s="1239"/>
      <c r="AF17" s="1239"/>
      <c r="AG17" s="1239"/>
      <c r="AH17" s="1239"/>
      <c r="AI17" s="1239"/>
      <c r="AJ17" s="1239"/>
      <c r="AK17" s="1239"/>
      <c r="AL17" s="1239"/>
      <c r="AM17" s="1239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</row>
    <row r="18" spans="1:54" ht="24" customHeight="1">
      <c r="A18" s="127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6"/>
      <c r="C18" s="1276"/>
      <c r="D18" s="1276"/>
      <c r="E18" s="1276"/>
      <c r="F18" s="1276"/>
      <c r="G18" s="1276"/>
      <c r="H18" s="1276"/>
      <c r="I18" s="1276"/>
      <c r="J18" s="1276"/>
      <c r="K18" s="1276"/>
      <c r="L18" s="1276"/>
      <c r="M18" s="1276"/>
      <c r="N18" s="1276"/>
      <c r="O18" s="1276"/>
      <c r="P18" s="1276"/>
      <c r="Q18" s="1276"/>
      <c r="R18" s="1276"/>
      <c r="S18" s="1276"/>
      <c r="T18" s="1276"/>
      <c r="U18" s="1276"/>
      <c r="V18" s="1276"/>
      <c r="W18" s="1276"/>
      <c r="X18" s="1276"/>
      <c r="Y18" s="1276"/>
      <c r="Z18" s="1276"/>
      <c r="AA18" s="1276"/>
      <c r="AB18" s="1276"/>
      <c r="AC18" s="1276"/>
      <c r="AD18" s="1276"/>
      <c r="AE18" s="1276"/>
      <c r="AF18" s="1276"/>
      <c r="AG18" s="1276"/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</row>
    <row r="19" spans="1:54" s="127" customFormat="1" ht="9.65" customHeight="1">
      <c r="A19" s="1239" t="s">
        <v>765</v>
      </c>
      <c r="B19" s="1239"/>
      <c r="C19" s="1239"/>
      <c r="D19" s="1239"/>
      <c r="E19" s="1239"/>
      <c r="F19" s="1239"/>
      <c r="G19" s="1239"/>
      <c r="H19" s="1239"/>
      <c r="I19" s="1239"/>
      <c r="J19" s="1239"/>
      <c r="K19" s="1239"/>
      <c r="L19" s="1239"/>
      <c r="M19" s="1239"/>
      <c r="N19" s="1239"/>
      <c r="O19" s="1239"/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A19" s="1239"/>
      <c r="AB19" s="1239"/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39"/>
      <c r="AM19" s="1239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</row>
    <row r="20" spans="1:54" ht="5.25" customHeight="1"/>
    <row r="21" spans="1:54" ht="12.75" customHeight="1">
      <c r="A21" s="1275" t="s">
        <v>67</v>
      </c>
      <c r="B21" s="1275"/>
      <c r="C21" s="1275"/>
      <c r="D21" s="1275"/>
      <c r="E21" s="1275"/>
      <c r="F21" s="1275"/>
      <c r="G21" s="1275"/>
      <c r="H21" s="1275"/>
      <c r="I21" s="1275"/>
      <c r="J21" s="1275"/>
      <c r="K21" s="1275"/>
      <c r="L21" s="1275"/>
      <c r="M21" s="1275"/>
      <c r="N21" s="1275"/>
      <c r="O21" s="1275"/>
      <c r="P21" s="1275"/>
      <c r="Q21" s="1275"/>
      <c r="R21" s="1275"/>
      <c r="S21" s="1275"/>
      <c r="T21" s="1275"/>
      <c r="U21" s="1275"/>
      <c r="V21" s="1275"/>
      <c r="W21" s="1275"/>
      <c r="X21" s="1275"/>
      <c r="Y21" s="1275"/>
      <c r="Z21" s="1275"/>
      <c r="AA21" s="1275"/>
      <c r="AB21" s="1275"/>
      <c r="AC21" s="1275"/>
      <c r="AD21" s="1275"/>
      <c r="AE21" s="1275"/>
      <c r="AF21" s="1275"/>
      <c r="AG21" s="1275"/>
      <c r="AH21" s="1275"/>
      <c r="AI21" s="1275"/>
      <c r="AJ21" s="1275"/>
      <c r="AK21" s="1275"/>
      <c r="AL21" s="1275"/>
      <c r="AM21" s="1275"/>
      <c r="AN21" s="1275"/>
      <c r="AO21" s="1275"/>
      <c r="AP21" s="1275"/>
      <c r="AQ21" s="1275"/>
      <c r="AR21" s="1275"/>
      <c r="AS21" s="1275"/>
      <c r="AT21" s="1275"/>
      <c r="AU21" s="1275"/>
      <c r="AV21" s="1275"/>
      <c r="AW21" s="1275"/>
      <c r="AX21" s="1275"/>
      <c r="AY21" s="1275"/>
      <c r="AZ21" s="1275"/>
    </row>
    <row r="22" spans="1:54" ht="12.75" customHeight="1">
      <c r="A22" s="1275" t="s">
        <v>378</v>
      </c>
      <c r="B22" s="1275"/>
      <c r="C22" s="1275"/>
      <c r="D22" s="1275"/>
      <c r="E22" s="1275"/>
      <c r="F22" s="1275"/>
      <c r="G22" s="1275"/>
      <c r="H22" s="1275"/>
      <c r="I22" s="1275"/>
      <c r="J22" s="1275"/>
      <c r="K22" s="1275"/>
      <c r="L22" s="1275"/>
      <c r="M22" s="1275"/>
      <c r="N22" s="1275"/>
      <c r="O22" s="1275"/>
      <c r="P22" s="1275"/>
      <c r="Q22" s="1275"/>
      <c r="R22" s="1275"/>
      <c r="S22" s="1275"/>
      <c r="T22" s="1275"/>
      <c r="U22" s="1275"/>
      <c r="V22" s="1275"/>
      <c r="W22" s="1275"/>
      <c r="X22" s="1275"/>
      <c r="Y22" s="1275"/>
      <c r="Z22" s="1275"/>
      <c r="AA22" s="1275"/>
      <c r="AB22" s="1275"/>
      <c r="AC22" s="1275"/>
      <c r="AD22" s="1275"/>
      <c r="AE22" s="1275"/>
      <c r="AF22" s="1275"/>
      <c r="AG22" s="1275"/>
      <c r="AH22" s="1275"/>
      <c r="AI22" s="1275"/>
      <c r="AJ22" s="1275"/>
      <c r="AK22" s="1275"/>
      <c r="AL22" s="1275"/>
      <c r="AM22" s="1275"/>
      <c r="AN22" s="1275"/>
      <c r="AO22" s="1275"/>
      <c r="AP22" s="1275"/>
      <c r="AQ22" s="1275"/>
      <c r="AR22" s="1275"/>
      <c r="AS22" s="1275"/>
      <c r="AT22" s="1275"/>
      <c r="AU22" s="1275"/>
      <c r="AV22" s="1275"/>
      <c r="AW22" s="1275"/>
      <c r="AX22" s="1275"/>
      <c r="AY22" s="1275"/>
      <c r="AZ22" s="1275"/>
    </row>
    <row r="23" spans="1:54" ht="6.75" customHeight="1"/>
    <row r="24" spans="1:54" ht="14.25" customHeight="1">
      <c r="A24" s="7" t="s">
        <v>19</v>
      </c>
      <c r="C24" s="1228" t="str">
        <f ca="1">INDIRECT("'АКТЫ скрытых работ'!R"&amp;BE3&amp;"C2",0)</f>
        <v>5-КЗ_КК_5</v>
      </c>
      <c r="D24" s="1228"/>
      <c r="E24" s="1228"/>
      <c r="F24" s="1228"/>
      <c r="G24" s="1228"/>
      <c r="H24" s="1228"/>
      <c r="I24" s="1228"/>
      <c r="J24" s="1228"/>
      <c r="K24" s="1228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2" t="str">
        <f ca="1">INDIRECT("'АКТЫ скрытых работ'!R"&amp;BE3&amp;"C8",0)</f>
        <v>ноября</v>
      </c>
      <c r="AO24" s="1272"/>
      <c r="AP24" s="1272"/>
      <c r="AQ24" s="1272"/>
      <c r="AR24" s="1272"/>
      <c r="AS24" s="1272"/>
      <c r="AT24" s="1272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1500000000000004" customHeight="1"/>
    <row r="26" spans="1:54" ht="27.65" customHeight="1">
      <c r="A26" s="1266" t="s">
        <v>780</v>
      </c>
      <c r="B26" s="1267"/>
      <c r="C26" s="1267"/>
      <c r="D26" s="1267"/>
      <c r="E26" s="1267"/>
      <c r="F26" s="1267"/>
      <c r="G26" s="1267"/>
      <c r="H26" s="1267"/>
      <c r="I26" s="1267"/>
      <c r="J26" s="1267"/>
      <c r="K26" s="1267"/>
      <c r="L26" s="1267"/>
      <c r="M26" s="1267"/>
      <c r="N26" s="1267"/>
      <c r="O26" s="1267"/>
      <c r="P26" s="1267"/>
      <c r="Q26" s="1267"/>
      <c r="R26" s="1267"/>
      <c r="S26" s="1267"/>
      <c r="T26" s="1267"/>
      <c r="U26" s="1267"/>
      <c r="V26" s="1267"/>
      <c r="W26" s="1267"/>
      <c r="X26" s="1267"/>
      <c r="Y26" s="1267"/>
      <c r="Z26" s="1267"/>
      <c r="AA26" s="1267"/>
      <c r="AB26" s="1267"/>
      <c r="AC26" s="1267"/>
      <c r="AD26" s="1267"/>
      <c r="AE26" s="1267"/>
      <c r="AF26" s="1267"/>
      <c r="AG26" s="1267"/>
      <c r="AH26" s="1267"/>
      <c r="AI26" s="1267"/>
      <c r="AJ26" s="1267"/>
      <c r="AK26" s="1267"/>
      <c r="AL26" s="1267"/>
      <c r="AM26" s="1267"/>
      <c r="AN26" s="1267"/>
      <c r="AO26" s="1267"/>
      <c r="AP26" s="1267"/>
      <c r="AQ26" s="1267"/>
      <c r="AR26" s="1267"/>
      <c r="AS26" s="1267"/>
      <c r="AT26" s="1267"/>
      <c r="AU26" s="1267"/>
      <c r="AV26" s="1267"/>
      <c r="AW26" s="1267"/>
      <c r="AX26" s="1267"/>
      <c r="AY26" s="1267"/>
      <c r="AZ26" s="1267"/>
    </row>
    <row r="27" spans="1:54" ht="12" customHeight="1">
      <c r="A27" s="1268" t="str">
        <f>ПОДПИСИ!B6</f>
        <v>Начальник мастерского участка №1 Курортного РЭС ПАО «Россети Ленэнерго» «СЭС»</v>
      </c>
      <c r="B27" s="1268"/>
      <c r="C27" s="1268"/>
      <c r="D27" s="1268"/>
      <c r="E27" s="1268"/>
      <c r="F27" s="1268"/>
      <c r="G27" s="1268"/>
      <c r="H27" s="1268"/>
      <c r="I27" s="1268"/>
      <c r="J27" s="1268"/>
      <c r="K27" s="1268"/>
      <c r="L27" s="1268"/>
      <c r="M27" s="1268"/>
      <c r="N27" s="1268"/>
      <c r="O27" s="1268"/>
      <c r="P27" s="1268"/>
      <c r="Q27" s="1268"/>
      <c r="R27" s="1268"/>
      <c r="S27" s="1268"/>
      <c r="T27" s="1268"/>
      <c r="U27" s="1268"/>
      <c r="V27" s="1268"/>
      <c r="W27" s="1268"/>
      <c r="X27" s="1268"/>
      <c r="Y27" s="1268"/>
      <c r="Z27" s="1268"/>
      <c r="AA27" s="1268"/>
      <c r="AB27" s="1268"/>
      <c r="AC27" s="1268"/>
      <c r="AD27" s="1268"/>
      <c r="AE27" s="1268"/>
      <c r="AF27" s="1268"/>
      <c r="AG27" s="1268"/>
      <c r="AH27" s="1268"/>
      <c r="AI27" s="1268"/>
      <c r="AJ27" s="1268"/>
      <c r="AK27" s="1268"/>
      <c r="AL27" s="1268"/>
      <c r="AM27" s="1268"/>
      <c r="AN27" s="1268"/>
      <c r="AO27" s="1268"/>
      <c r="AP27" s="1268"/>
      <c r="AQ27" s="1268"/>
      <c r="AR27" s="1268"/>
      <c r="AS27" s="1268"/>
      <c r="AT27" s="1268"/>
      <c r="AU27" s="1268"/>
      <c r="AV27" s="1268"/>
      <c r="AW27" s="1268"/>
      <c r="AX27" s="1268"/>
      <c r="AY27" s="1268"/>
      <c r="AZ27" s="1268"/>
    </row>
    <row r="28" spans="1:54" ht="12" customHeight="1">
      <c r="A28" s="1269" t="str">
        <f>CONCATENATE(ПОДПИСИ!C6,ПОДПИСИ!F6)</f>
        <v xml:space="preserve">Чечин Д.М. </v>
      </c>
      <c r="B28" s="1269"/>
      <c r="C28" s="1269"/>
      <c r="D28" s="1269"/>
      <c r="E28" s="1269"/>
      <c r="F28" s="1269"/>
      <c r="G28" s="1269"/>
      <c r="H28" s="1269"/>
      <c r="I28" s="1269"/>
      <c r="J28" s="1269"/>
      <c r="K28" s="1269"/>
      <c r="L28" s="1269"/>
      <c r="M28" s="1269"/>
      <c r="N28" s="1269"/>
      <c r="O28" s="1269"/>
      <c r="P28" s="1269"/>
      <c r="Q28" s="1269"/>
      <c r="R28" s="1269"/>
      <c r="S28" s="1269"/>
      <c r="T28" s="1269"/>
      <c r="U28" s="1269"/>
      <c r="V28" s="1269"/>
      <c r="W28" s="1269"/>
      <c r="X28" s="1269"/>
      <c r="Y28" s="1269"/>
      <c r="Z28" s="1269"/>
      <c r="AA28" s="1269"/>
      <c r="AB28" s="1269"/>
      <c r="AC28" s="1269"/>
      <c r="AD28" s="1269"/>
      <c r="AE28" s="1269"/>
      <c r="AF28" s="1269"/>
      <c r="AG28" s="1269"/>
      <c r="AH28" s="1269"/>
      <c r="AI28" s="1269"/>
      <c r="AJ28" s="1269"/>
      <c r="AK28" s="1269"/>
      <c r="AL28" s="1269"/>
      <c r="AM28" s="1269"/>
      <c r="AN28" s="1269"/>
      <c r="AO28" s="1269"/>
      <c r="AP28" s="1269"/>
      <c r="AQ28" s="1269"/>
      <c r="AR28" s="1269"/>
      <c r="AS28" s="1269"/>
      <c r="AT28" s="1269"/>
      <c r="AU28" s="1269"/>
      <c r="AV28" s="1269"/>
      <c r="AW28" s="1269"/>
      <c r="AX28" s="1269"/>
      <c r="AY28" s="1269"/>
      <c r="AZ28" s="1269"/>
    </row>
    <row r="29" spans="1:54" ht="13.15" customHeight="1">
      <c r="A29" s="1270" t="s">
        <v>823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4" s="284" customFormat="1">
      <c r="A30" s="1102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02"/>
      <c r="C30" s="1102"/>
      <c r="D30" s="1102"/>
      <c r="E30" s="1102"/>
      <c r="F30" s="1102"/>
      <c r="G30" s="1102"/>
      <c r="H30" s="1102"/>
      <c r="I30" s="1102"/>
      <c r="J30" s="1102"/>
      <c r="K30" s="1102"/>
      <c r="L30" s="1102"/>
      <c r="M30" s="1102"/>
      <c r="N30" s="1102"/>
      <c r="O30" s="1102"/>
      <c r="P30" s="1102"/>
      <c r="Q30" s="1102"/>
      <c r="R30" s="1102"/>
      <c r="S30" s="1102"/>
      <c r="T30" s="1102"/>
      <c r="U30" s="1102"/>
      <c r="V30" s="1102"/>
      <c r="W30" s="1102"/>
      <c r="X30" s="1102"/>
      <c r="Y30" s="1102"/>
      <c r="Z30" s="1102"/>
      <c r="AA30" s="1102"/>
      <c r="AB30" s="1102"/>
      <c r="AC30" s="1102"/>
      <c r="AD30" s="1102"/>
      <c r="AE30" s="1102"/>
      <c r="AF30" s="1102"/>
      <c r="AG30" s="1102"/>
      <c r="AH30" s="1102"/>
      <c r="AI30" s="1102"/>
      <c r="AJ30" s="1102"/>
      <c r="AK30" s="1102"/>
      <c r="AL30" s="1102"/>
      <c r="AM30" s="1102"/>
      <c r="AN30" s="1102"/>
      <c r="AO30" s="1102"/>
      <c r="AP30" s="1102"/>
      <c r="AQ30" s="1102"/>
      <c r="AR30" s="1102"/>
      <c r="AS30" s="1102"/>
      <c r="AT30" s="1102"/>
      <c r="AU30" s="1102"/>
      <c r="AV30" s="1102"/>
      <c r="AW30" s="1102"/>
      <c r="AX30" s="1102"/>
      <c r="AY30" s="1102"/>
      <c r="AZ30" s="1102"/>
      <c r="BA30" s="566"/>
      <c r="BB30" s="567"/>
    </row>
    <row r="31" spans="1:54" s="284" customFormat="1" ht="21" customHeight="1">
      <c r="A31" s="1220" t="s">
        <v>809</v>
      </c>
      <c r="B31" s="1220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0"/>
      <c r="N31" s="1220"/>
      <c r="O31" s="1220"/>
      <c r="P31" s="1220"/>
      <c r="Q31" s="1220"/>
      <c r="R31" s="1220"/>
      <c r="S31" s="1220"/>
      <c r="T31" s="1220"/>
      <c r="U31" s="1220"/>
      <c r="V31" s="1220"/>
      <c r="W31" s="1220"/>
      <c r="X31" s="1220"/>
      <c r="Y31" s="1220"/>
      <c r="Z31" s="1220"/>
      <c r="AA31" s="1220"/>
      <c r="AB31" s="1220"/>
      <c r="AC31" s="1220"/>
      <c r="AD31" s="1220"/>
      <c r="AE31" s="1220"/>
      <c r="AF31" s="1220"/>
      <c r="AG31" s="1220"/>
      <c r="AH31" s="1220"/>
      <c r="AI31" s="1220"/>
      <c r="AJ31" s="1220"/>
      <c r="AK31" s="1220"/>
      <c r="AL31" s="1220"/>
      <c r="AM31" s="1220"/>
      <c r="AN31" s="1220"/>
      <c r="AO31" s="1220"/>
      <c r="AP31" s="1220"/>
      <c r="AQ31" s="1220"/>
      <c r="AR31" s="1220"/>
      <c r="AS31" s="1220"/>
      <c r="AT31" s="1220"/>
      <c r="AU31" s="1220"/>
      <c r="AV31" s="1220"/>
      <c r="AW31" s="1220"/>
      <c r="AX31" s="1220"/>
      <c r="AY31" s="1220"/>
      <c r="AZ31" s="1220"/>
      <c r="BA31" s="565"/>
      <c r="BB31" s="568"/>
    </row>
    <row r="32" spans="1:54" ht="12" customHeight="1">
      <c r="A32" s="1235" t="s">
        <v>766</v>
      </c>
      <c r="B32" s="1235"/>
      <c r="C32" s="1235"/>
      <c r="D32" s="1235"/>
      <c r="E32" s="1235"/>
      <c r="F32" s="1235"/>
      <c r="G32" s="1235"/>
      <c r="H32" s="1235"/>
      <c r="I32" s="1235"/>
      <c r="J32" s="1235"/>
      <c r="K32" s="1235"/>
      <c r="L32" s="1235"/>
      <c r="M32" s="1235"/>
      <c r="N32" s="1235"/>
      <c r="O32" s="1235"/>
      <c r="P32" s="1235"/>
      <c r="Q32" s="1235"/>
      <c r="R32" s="1235"/>
      <c r="S32" s="1235"/>
      <c r="T32" s="1235"/>
      <c r="U32" s="1235"/>
      <c r="V32" s="1235"/>
      <c r="W32" s="1235"/>
      <c r="X32" s="1235"/>
      <c r="Y32" s="1235"/>
      <c r="Z32" s="1235"/>
      <c r="AA32" s="1235"/>
      <c r="AB32" s="1235"/>
      <c r="AC32" s="1235"/>
      <c r="AD32" s="1235"/>
      <c r="AE32" s="1235"/>
      <c r="AF32" s="1235"/>
      <c r="AG32" s="1235"/>
      <c r="AH32" s="1235"/>
      <c r="AI32" s="1235"/>
      <c r="AJ32" s="1235"/>
      <c r="AK32" s="1235"/>
      <c r="AL32" s="1235"/>
      <c r="AM32" s="1235"/>
      <c r="AN32" s="1235"/>
      <c r="AO32" s="1235"/>
      <c r="AP32" s="1235"/>
      <c r="AQ32" s="1235"/>
      <c r="AR32" s="1235"/>
      <c r="AS32" s="1235"/>
      <c r="AT32" s="1235"/>
      <c r="AU32" s="1235"/>
      <c r="AV32" s="1235"/>
      <c r="AW32" s="1235"/>
      <c r="AX32" s="1235"/>
      <c r="AY32" s="1235"/>
      <c r="AZ32" s="1235"/>
    </row>
    <row r="33" spans="1:54" ht="12" customHeight="1">
      <c r="A33" s="1254" t="str">
        <f>ПОДПИСИ!B15</f>
        <v xml:space="preserve">Заместитель генерального директора ООО «БЭСК» </v>
      </c>
      <c r="B33" s="1254"/>
      <c r="C33" s="1254"/>
      <c r="D33" s="1254"/>
      <c r="E33" s="1254"/>
      <c r="F33" s="1254"/>
      <c r="G33" s="1254"/>
      <c r="H33" s="1254"/>
      <c r="I33" s="1254"/>
      <c r="J33" s="1254"/>
      <c r="K33" s="1254"/>
      <c r="L33" s="1254"/>
      <c r="M33" s="1254"/>
      <c r="N33" s="1254"/>
      <c r="O33" s="1254"/>
      <c r="P33" s="1254"/>
      <c r="Q33" s="1254"/>
      <c r="R33" s="1254"/>
      <c r="S33" s="1254"/>
      <c r="T33" s="1254"/>
      <c r="U33" s="1254"/>
      <c r="V33" s="1254"/>
      <c r="W33" s="1254"/>
      <c r="X33" s="1254"/>
      <c r="Y33" s="1254"/>
      <c r="Z33" s="1254"/>
      <c r="AA33" s="1254"/>
      <c r="AB33" s="1254"/>
      <c r="AC33" s="1254"/>
      <c r="AD33" s="1254"/>
      <c r="AE33" s="1254"/>
      <c r="AF33" s="1254"/>
      <c r="AG33" s="1254"/>
      <c r="AH33" s="1254"/>
      <c r="AI33" s="1254"/>
      <c r="AJ33" s="1254"/>
      <c r="AK33" s="1254"/>
      <c r="AL33" s="1254"/>
      <c r="AM33" s="1254"/>
      <c r="AN33" s="1254"/>
      <c r="AO33" s="1254"/>
      <c r="AP33" s="1254"/>
      <c r="AQ33" s="1254"/>
      <c r="AR33" s="1254"/>
      <c r="AS33" s="1254"/>
      <c r="AT33" s="1254"/>
      <c r="AU33" s="1254"/>
      <c r="AV33" s="1254"/>
      <c r="AW33" s="1254"/>
      <c r="AX33" s="1254"/>
      <c r="AY33" s="1254"/>
      <c r="AZ33" s="1254"/>
    </row>
    <row r="34" spans="1:54" ht="12" customHeight="1">
      <c r="A34" s="1237" t="str">
        <f>CONCATENATE(ПОДПИСИ!C15,", ",ПОДПИСИ!F15)</f>
        <v xml:space="preserve">Матвеев А.С., </v>
      </c>
      <c r="B34" s="1237"/>
      <c r="C34" s="1237"/>
      <c r="D34" s="1237"/>
      <c r="E34" s="1237"/>
      <c r="F34" s="1237"/>
      <c r="G34" s="1237"/>
      <c r="H34" s="1237"/>
      <c r="I34" s="1237"/>
      <c r="J34" s="1237"/>
      <c r="K34" s="1237"/>
      <c r="L34" s="1237"/>
      <c r="M34" s="1237"/>
      <c r="N34" s="1237"/>
      <c r="O34" s="1237"/>
      <c r="P34" s="1237"/>
      <c r="Q34" s="1237"/>
      <c r="R34" s="1237"/>
      <c r="S34" s="1237"/>
      <c r="T34" s="1237"/>
      <c r="U34" s="1237"/>
      <c r="V34" s="1237"/>
      <c r="W34" s="1237"/>
      <c r="X34" s="1237"/>
      <c r="Y34" s="1237"/>
      <c r="Z34" s="1237"/>
      <c r="AA34" s="1237"/>
      <c r="AB34" s="1237"/>
      <c r="AC34" s="1237"/>
      <c r="AD34" s="1237"/>
      <c r="AE34" s="1237"/>
      <c r="AF34" s="1237"/>
      <c r="AG34" s="1237"/>
      <c r="AH34" s="1237"/>
      <c r="AI34" s="1237"/>
      <c r="AJ34" s="1237"/>
      <c r="AK34" s="1237"/>
      <c r="AL34" s="1237"/>
      <c r="AM34" s="1237"/>
      <c r="AN34" s="1237"/>
      <c r="AO34" s="1237"/>
      <c r="AP34" s="1237"/>
      <c r="AQ34" s="1237"/>
      <c r="AR34" s="1237"/>
      <c r="AS34" s="1237"/>
      <c r="AT34" s="1237"/>
      <c r="AU34" s="1237"/>
      <c r="AV34" s="1237"/>
      <c r="AW34" s="1237"/>
      <c r="AX34" s="1237"/>
      <c r="AY34" s="1237"/>
      <c r="AZ34" s="1237"/>
    </row>
    <row r="35" spans="1:54" ht="7.15" customHeight="1">
      <c r="A35" s="1240" t="s">
        <v>519</v>
      </c>
      <c r="B35" s="1240"/>
      <c r="C35" s="1240"/>
      <c r="D35" s="1240"/>
      <c r="E35" s="1240"/>
      <c r="F35" s="1240"/>
      <c r="G35" s="1240"/>
      <c r="H35" s="1240"/>
      <c r="I35" s="1240"/>
      <c r="J35" s="1240"/>
      <c r="K35" s="1240"/>
      <c r="L35" s="1240"/>
      <c r="M35" s="1240"/>
      <c r="N35" s="1240"/>
      <c r="O35" s="1240"/>
      <c r="P35" s="1240"/>
      <c r="Q35" s="1240"/>
      <c r="R35" s="1240"/>
      <c r="S35" s="1240"/>
      <c r="T35" s="1240"/>
      <c r="U35" s="1240"/>
      <c r="V35" s="1240"/>
      <c r="W35" s="1240"/>
      <c r="X35" s="1240"/>
      <c r="Y35" s="1240"/>
      <c r="Z35" s="1240"/>
      <c r="AA35" s="1240"/>
      <c r="AB35" s="1240"/>
      <c r="AC35" s="1240"/>
      <c r="AD35" s="1240"/>
      <c r="AE35" s="1240"/>
      <c r="AF35" s="1240"/>
      <c r="AG35" s="1240"/>
      <c r="AH35" s="1240"/>
      <c r="AI35" s="1240"/>
      <c r="AJ35" s="1240"/>
      <c r="AK35" s="1240"/>
      <c r="AL35" s="1240"/>
      <c r="AM35" s="124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</row>
    <row r="36" spans="1:54" ht="12" customHeight="1">
      <c r="A36" s="1260" t="s">
        <v>767</v>
      </c>
      <c r="B36" s="1235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5"/>
      <c r="O36" s="1235"/>
      <c r="P36" s="1235"/>
      <c r="Q36" s="1235"/>
      <c r="R36" s="1235"/>
      <c r="S36" s="1235"/>
      <c r="T36" s="1235"/>
      <c r="U36" s="1235"/>
      <c r="V36" s="1235"/>
      <c r="W36" s="1235"/>
      <c r="X36" s="1235"/>
      <c r="Y36" s="1235"/>
      <c r="Z36" s="1235"/>
      <c r="AA36" s="1235"/>
      <c r="AB36" s="1235"/>
      <c r="AC36" s="1235"/>
      <c r="AD36" s="1235"/>
      <c r="AE36" s="1235"/>
      <c r="AF36" s="1235"/>
      <c r="AG36" s="1235"/>
      <c r="AH36" s="1235"/>
      <c r="AI36" s="1235"/>
      <c r="AJ36" s="1235"/>
      <c r="AK36" s="1235"/>
      <c r="AL36" s="1235"/>
      <c r="AM36" s="1235"/>
      <c r="AN36" s="1235"/>
      <c r="AO36" s="1235"/>
      <c r="AP36" s="1235"/>
      <c r="AQ36" s="1235"/>
      <c r="AR36" s="1235"/>
      <c r="AS36" s="1235"/>
      <c r="AT36" s="1235"/>
      <c r="AU36" s="1235"/>
      <c r="AV36" s="1235"/>
      <c r="AW36" s="1235"/>
      <c r="AX36" s="1235"/>
      <c r="AY36" s="1235"/>
      <c r="AZ36" s="1235"/>
    </row>
    <row r="37" spans="1:54" ht="12" customHeight="1">
      <c r="A37" s="1254" t="str">
        <f>ПОДПИСИ!B17</f>
        <v xml:space="preserve">Заместитель генерального директора ООО «БЭСК» </v>
      </c>
      <c r="B37" s="1254"/>
      <c r="C37" s="1254"/>
      <c r="D37" s="1254"/>
      <c r="E37" s="1254"/>
      <c r="F37" s="1254"/>
      <c r="G37" s="1254"/>
      <c r="H37" s="1254"/>
      <c r="I37" s="1254"/>
      <c r="J37" s="1254"/>
      <c r="K37" s="1254"/>
      <c r="L37" s="1254"/>
      <c r="M37" s="1254"/>
      <c r="N37" s="1254"/>
      <c r="O37" s="1254"/>
      <c r="P37" s="1254"/>
      <c r="Q37" s="1254"/>
      <c r="R37" s="1254"/>
      <c r="S37" s="1254"/>
      <c r="T37" s="1254"/>
      <c r="U37" s="1254"/>
      <c r="V37" s="1254"/>
      <c r="W37" s="1254"/>
      <c r="X37" s="1254"/>
      <c r="Y37" s="1254"/>
      <c r="Z37" s="1254"/>
      <c r="AA37" s="1254"/>
      <c r="AB37" s="1254"/>
      <c r="AC37" s="1254"/>
      <c r="AD37" s="1254"/>
      <c r="AE37" s="1254"/>
      <c r="AF37" s="1254"/>
      <c r="AG37" s="1254"/>
      <c r="AH37" s="1254"/>
      <c r="AI37" s="1254"/>
      <c r="AJ37" s="1254"/>
      <c r="AK37" s="1254"/>
      <c r="AL37" s="1254"/>
      <c r="AM37" s="1254"/>
      <c r="AN37" s="1254"/>
      <c r="AO37" s="1254"/>
      <c r="AP37" s="1254"/>
      <c r="AQ37" s="1254"/>
      <c r="AR37" s="1254"/>
      <c r="AS37" s="1254"/>
      <c r="AT37" s="1254"/>
      <c r="AU37" s="1254"/>
      <c r="AV37" s="1254"/>
      <c r="AW37" s="1254"/>
      <c r="AX37" s="1254"/>
      <c r="AY37" s="1254"/>
      <c r="AZ37" s="1254"/>
    </row>
    <row r="38" spans="1:54" ht="12" customHeight="1">
      <c r="A38" s="1237" t="str">
        <f>CONCATENATE(ПОДПИСИ!C17,", ",ПОДПИСИ!F17)</f>
        <v xml:space="preserve">Матвеев А.С., </v>
      </c>
      <c r="B38" s="1237"/>
      <c r="C38" s="1237"/>
      <c r="D38" s="1237"/>
      <c r="E38" s="1237"/>
      <c r="F38" s="1237"/>
      <c r="G38" s="1237"/>
      <c r="H38" s="1237"/>
      <c r="I38" s="1237"/>
      <c r="J38" s="1237"/>
      <c r="K38" s="1237"/>
      <c r="L38" s="1237"/>
      <c r="M38" s="1237"/>
      <c r="N38" s="1237"/>
      <c r="O38" s="1237"/>
      <c r="P38" s="1237"/>
      <c r="Q38" s="1237"/>
      <c r="R38" s="1237"/>
      <c r="S38" s="1237"/>
      <c r="T38" s="1237"/>
      <c r="U38" s="1237"/>
      <c r="V38" s="1237"/>
      <c r="W38" s="1237"/>
      <c r="X38" s="1237"/>
      <c r="Y38" s="1237"/>
      <c r="Z38" s="1237"/>
      <c r="AA38" s="1237"/>
      <c r="AB38" s="1237"/>
      <c r="AC38" s="1237"/>
      <c r="AD38" s="1237"/>
      <c r="AE38" s="1237"/>
      <c r="AF38" s="1237"/>
      <c r="AG38" s="1237"/>
      <c r="AH38" s="1237"/>
      <c r="AI38" s="1237"/>
      <c r="AJ38" s="1237"/>
      <c r="AK38" s="1237"/>
      <c r="AL38" s="1237"/>
      <c r="AM38" s="1237"/>
      <c r="AN38" s="1237"/>
      <c r="AO38" s="1237"/>
      <c r="AP38" s="1237"/>
      <c r="AQ38" s="1237"/>
      <c r="AR38" s="1237"/>
      <c r="AS38" s="1237"/>
      <c r="AT38" s="1237"/>
      <c r="AU38" s="1237"/>
      <c r="AV38" s="1237"/>
      <c r="AW38" s="1237"/>
      <c r="AX38" s="1237"/>
      <c r="AY38" s="1237"/>
      <c r="AZ38" s="1237"/>
    </row>
    <row r="39" spans="1:54" ht="16.149999999999999" customHeight="1">
      <c r="A39" s="1258" t="s">
        <v>971</v>
      </c>
      <c r="B39" s="1265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5"/>
      <c r="O39" s="1265"/>
      <c r="P39" s="1265"/>
      <c r="Q39" s="1265"/>
      <c r="R39" s="1265"/>
      <c r="S39" s="1265"/>
      <c r="T39" s="1265"/>
      <c r="U39" s="1265"/>
      <c r="V39" s="1265"/>
      <c r="W39" s="1265"/>
      <c r="X39" s="1265"/>
      <c r="Y39" s="1265"/>
      <c r="Z39" s="1265"/>
      <c r="AA39" s="1265"/>
      <c r="AB39" s="1265"/>
      <c r="AC39" s="1265"/>
      <c r="AD39" s="1265"/>
      <c r="AE39" s="1265"/>
      <c r="AF39" s="1265"/>
      <c r="AG39" s="1265"/>
      <c r="AH39" s="1265"/>
      <c r="AI39" s="1265"/>
      <c r="AJ39" s="1265"/>
      <c r="AK39" s="1265"/>
      <c r="AL39" s="1265"/>
      <c r="AM39" s="126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</row>
    <row r="40" spans="1:54" ht="39" customHeight="1">
      <c r="A40" s="1260" t="s">
        <v>826</v>
      </c>
      <c r="B40" s="1260"/>
      <c r="C40" s="1260"/>
      <c r="D40" s="1260"/>
      <c r="E40" s="1260"/>
      <c r="F40" s="1260"/>
      <c r="G40" s="1260"/>
      <c r="H40" s="1260"/>
      <c r="I40" s="1260"/>
      <c r="J40" s="1260"/>
      <c r="K40" s="1260"/>
      <c r="L40" s="1260"/>
      <c r="M40" s="1260"/>
      <c r="N40" s="1260"/>
      <c r="O40" s="1260"/>
      <c r="P40" s="1260"/>
      <c r="Q40" s="1260"/>
      <c r="R40" s="1260"/>
      <c r="S40" s="1260"/>
      <c r="T40" s="1260"/>
      <c r="U40" s="1260"/>
      <c r="V40" s="1260"/>
      <c r="W40" s="1260"/>
      <c r="X40" s="1260"/>
      <c r="Y40" s="1260"/>
      <c r="Z40" s="1260"/>
      <c r="AA40" s="1260"/>
      <c r="AB40" s="1260"/>
      <c r="AC40" s="1260"/>
      <c r="AD40" s="1260"/>
      <c r="AE40" s="1260"/>
      <c r="AF40" s="1260"/>
      <c r="AG40" s="1260"/>
      <c r="AH40" s="1260"/>
      <c r="AI40" s="1260"/>
      <c r="AJ40" s="1260"/>
      <c r="AK40" s="1260"/>
      <c r="AL40" s="1260"/>
      <c r="AM40" s="1260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</row>
    <row r="41" spans="1:54">
      <c r="A41" s="1254" t="str">
        <f>IF(ПОДПИСИ!B19=0," ",ПОДПИСИ!B19)</f>
        <v xml:space="preserve"> </v>
      </c>
      <c r="B41" s="1254"/>
      <c r="C41" s="1254"/>
      <c r="D41" s="1254"/>
      <c r="E41" s="1254"/>
      <c r="F41" s="1254"/>
      <c r="G41" s="1254"/>
      <c r="H41" s="1254"/>
      <c r="I41" s="1254"/>
      <c r="J41" s="1254"/>
      <c r="K41" s="1254"/>
      <c r="L41" s="1254"/>
      <c r="M41" s="1254"/>
      <c r="N41" s="1254"/>
      <c r="O41" s="1254"/>
      <c r="P41" s="1254"/>
      <c r="Q41" s="1254"/>
      <c r="R41" s="1254"/>
      <c r="S41" s="1254"/>
      <c r="T41" s="1254"/>
      <c r="U41" s="1254"/>
      <c r="V41" s="1254"/>
      <c r="W41" s="1254"/>
      <c r="X41" s="1254"/>
      <c r="Y41" s="1254"/>
      <c r="Z41" s="1254"/>
      <c r="AA41" s="1254"/>
      <c r="AB41" s="1254"/>
      <c r="AC41" s="1254"/>
      <c r="AD41" s="1254"/>
      <c r="AE41" s="1254"/>
      <c r="AF41" s="1254"/>
      <c r="AG41" s="1254"/>
      <c r="AH41" s="1254"/>
      <c r="AI41" s="1254"/>
      <c r="AJ41" s="1254"/>
      <c r="AK41" s="1254"/>
      <c r="AL41" s="1254"/>
      <c r="AM41" s="1254"/>
      <c r="AN41" s="1254"/>
      <c r="AO41" s="1254"/>
      <c r="AP41" s="1254"/>
      <c r="AQ41" s="1254"/>
      <c r="AR41" s="1254"/>
      <c r="AS41" s="1254"/>
      <c r="AT41" s="1254"/>
      <c r="AU41" s="1254"/>
      <c r="AV41" s="1254"/>
      <c r="AW41" s="1254"/>
      <c r="AX41" s="1254"/>
      <c r="AY41" s="1254"/>
      <c r="AZ41" s="1254"/>
    </row>
    <row r="42" spans="1:54">
      <c r="A42" s="1237" t="str">
        <f>CONCATENATE(ПОДПИСИ!C19," ",ПОДПИСИ!F19)</f>
        <v xml:space="preserve">  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</row>
    <row r="43" spans="1:54" ht="13.9" customHeight="1">
      <c r="A43" s="1239" t="s">
        <v>1056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</row>
    <row r="44" spans="1:54" ht="12" customHeight="1">
      <c r="A44" s="1260" t="s">
        <v>531</v>
      </c>
      <c r="B44" s="1260"/>
      <c r="C44" s="1260"/>
      <c r="D44" s="1260"/>
      <c r="E44" s="1260"/>
      <c r="F44" s="1260"/>
      <c r="G44" s="1260"/>
      <c r="H44" s="1260"/>
      <c r="I44" s="1260"/>
      <c r="J44" s="1260"/>
      <c r="K44" s="1260"/>
      <c r="L44" s="1260"/>
      <c r="M44" s="1260"/>
      <c r="N44" s="1260"/>
      <c r="O44" s="1260"/>
      <c r="P44" s="1260"/>
      <c r="Q44" s="1260"/>
      <c r="R44" s="1260"/>
      <c r="S44" s="1260"/>
      <c r="T44" s="1260"/>
      <c r="U44" s="1260"/>
      <c r="V44" s="1260"/>
      <c r="W44" s="1260"/>
      <c r="X44" s="1260"/>
      <c r="Y44" s="1260"/>
      <c r="Z44" s="1260"/>
      <c r="AA44" s="1260"/>
      <c r="AB44" s="1260"/>
      <c r="AC44" s="1260"/>
      <c r="AD44" s="1260"/>
      <c r="AE44" s="1260"/>
      <c r="AF44" s="1260"/>
      <c r="AG44" s="1260"/>
      <c r="AH44" s="1260"/>
      <c r="AI44" s="1260"/>
      <c r="AJ44" s="1260"/>
      <c r="AK44" s="1260"/>
      <c r="AL44" s="1260"/>
      <c r="AM44" s="1260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</row>
    <row r="45" spans="1:54" ht="12" customHeight="1">
      <c r="A45" s="1262" t="str">
        <f>ПОДПИСИ!B12</f>
        <v xml:space="preserve">Производитель работ ООО«БЭСК» </v>
      </c>
      <c r="B45" s="1262"/>
      <c r="C45" s="1262"/>
      <c r="D45" s="1262"/>
      <c r="E45" s="1262"/>
      <c r="F45" s="1262"/>
      <c r="G45" s="1262"/>
      <c r="H45" s="1262"/>
      <c r="I45" s="1262"/>
      <c r="J45" s="1262"/>
      <c r="K45" s="1262"/>
      <c r="L45" s="1262"/>
      <c r="M45" s="1262"/>
      <c r="N45" s="1262"/>
      <c r="O45" s="1262"/>
      <c r="P45" s="1262"/>
      <c r="Q45" s="1262"/>
      <c r="R45" s="1262"/>
      <c r="S45" s="1262"/>
      <c r="T45" s="1262"/>
      <c r="U45" s="1262"/>
      <c r="V45" s="1262"/>
      <c r="W45" s="1262"/>
      <c r="X45" s="1262"/>
      <c r="Y45" s="1262"/>
      <c r="Z45" s="1262"/>
      <c r="AA45" s="1262"/>
      <c r="AB45" s="1262"/>
      <c r="AC45" s="1262"/>
      <c r="AD45" s="1262"/>
      <c r="AE45" s="1262"/>
      <c r="AF45" s="1262"/>
      <c r="AG45" s="1262"/>
      <c r="AH45" s="1262"/>
      <c r="AI45" s="1262"/>
      <c r="AJ45" s="1262"/>
      <c r="AK45" s="1262"/>
      <c r="AL45" s="1262"/>
      <c r="AM45" s="1262"/>
      <c r="AN45" s="1262"/>
      <c r="AO45" s="1262"/>
      <c r="AP45" s="1262"/>
      <c r="AQ45" s="1262"/>
      <c r="AR45" s="1262"/>
      <c r="AS45" s="1262"/>
      <c r="AT45" s="1262"/>
      <c r="AU45" s="1262"/>
      <c r="AV45" s="1262"/>
      <c r="AW45" s="1262"/>
      <c r="AX45" s="1262"/>
      <c r="AY45" s="1262"/>
      <c r="AZ45" s="1262"/>
      <c r="BA45" s="31"/>
      <c r="BB45" s="9"/>
    </row>
    <row r="46" spans="1:54" ht="12" customHeight="1">
      <c r="A46" s="1255" t="str">
        <f>CONCATENATE(ПОДПИСИ!C12,ПОДПИСИ!F12)</f>
        <v>Махмадов А.Р.</v>
      </c>
      <c r="B46" s="1255"/>
      <c r="C46" s="1255"/>
      <c r="D46" s="1255"/>
      <c r="E46" s="1255"/>
      <c r="F46" s="1255"/>
      <c r="G46" s="1255"/>
      <c r="H46" s="1255"/>
      <c r="I46" s="1255"/>
      <c r="J46" s="1255"/>
      <c r="K46" s="1255"/>
      <c r="L46" s="1255"/>
      <c r="M46" s="1255"/>
      <c r="N46" s="1255"/>
      <c r="O46" s="1255"/>
      <c r="P46" s="1255"/>
      <c r="Q46" s="1255"/>
      <c r="R46" s="1255"/>
      <c r="S46" s="1255"/>
      <c r="T46" s="1255"/>
      <c r="U46" s="1255"/>
      <c r="V46" s="1255"/>
      <c r="W46" s="1255"/>
      <c r="X46" s="1255"/>
      <c r="Y46" s="1255"/>
      <c r="Z46" s="1255"/>
      <c r="AA46" s="1255"/>
      <c r="AB46" s="1255"/>
      <c r="AC46" s="1255"/>
      <c r="AD46" s="1255"/>
      <c r="AE46" s="1255"/>
      <c r="AF46" s="1255"/>
      <c r="AG46" s="1255"/>
      <c r="AH46" s="1255"/>
      <c r="AI46" s="1255"/>
      <c r="AJ46" s="1255"/>
      <c r="AK46" s="1255"/>
      <c r="AL46" s="1255"/>
      <c r="AM46" s="1255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</row>
    <row r="47" spans="1:54" ht="7.9" customHeight="1">
      <c r="A47" s="1256" t="s">
        <v>518</v>
      </c>
      <c r="B47" s="1257"/>
      <c r="C47" s="1257"/>
      <c r="D47" s="1257"/>
      <c r="E47" s="1257"/>
      <c r="F47" s="1257"/>
      <c r="G47" s="1257"/>
      <c r="H47" s="1257"/>
      <c r="I47" s="1257"/>
      <c r="J47" s="1257"/>
      <c r="K47" s="1257"/>
      <c r="L47" s="1257"/>
      <c r="M47" s="1257"/>
      <c r="N47" s="1257"/>
      <c r="O47" s="1257"/>
      <c r="P47" s="1257"/>
      <c r="Q47" s="1257"/>
      <c r="R47" s="1257"/>
      <c r="S47" s="1257"/>
      <c r="T47" s="1257"/>
      <c r="U47" s="1257"/>
      <c r="V47" s="1257"/>
      <c r="W47" s="1257"/>
      <c r="X47" s="1257"/>
      <c r="Y47" s="1257"/>
      <c r="Z47" s="1257"/>
      <c r="AA47" s="1257"/>
      <c r="AB47" s="1257"/>
      <c r="AC47" s="1257"/>
      <c r="AD47" s="1257"/>
      <c r="AE47" s="1257"/>
      <c r="AF47" s="1257"/>
      <c r="AG47" s="1257"/>
      <c r="AH47" s="1257"/>
      <c r="AI47" s="1257"/>
      <c r="AJ47" s="1257"/>
      <c r="AK47" s="1257"/>
      <c r="AL47" s="1257"/>
      <c r="AM47" s="1257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</row>
    <row r="48" spans="1:54" ht="12" hidden="1" customHeight="1">
      <c r="A48" s="1235" t="s">
        <v>79</v>
      </c>
      <c r="B48" s="1235"/>
      <c r="C48" s="1235"/>
      <c r="D48" s="1235"/>
      <c r="E48" s="1235"/>
      <c r="F48" s="1235"/>
      <c r="G48" s="1235"/>
      <c r="H48" s="1235"/>
      <c r="I48" s="1235"/>
      <c r="J48" s="1235"/>
      <c r="K48" s="1235"/>
      <c r="L48" s="1235"/>
      <c r="M48" s="1235"/>
      <c r="N48" s="1235"/>
      <c r="O48" s="1235"/>
      <c r="P48" s="1235"/>
      <c r="Q48" s="1235"/>
      <c r="R48" s="1235"/>
      <c r="S48" s="1235"/>
      <c r="T48" s="1235"/>
      <c r="U48" s="1235"/>
      <c r="V48" s="1235"/>
      <c r="W48" s="1235"/>
      <c r="X48" s="1235"/>
      <c r="Y48" s="1235"/>
      <c r="Z48" s="1235"/>
      <c r="AA48" s="1235"/>
      <c r="AB48" s="1235"/>
      <c r="AC48" s="1235"/>
      <c r="AD48" s="1235"/>
      <c r="AE48" s="1235"/>
      <c r="AF48" s="1235"/>
      <c r="AG48" s="1235"/>
      <c r="AH48" s="1235"/>
      <c r="AI48" s="1235"/>
      <c r="AJ48" s="1235"/>
      <c r="AK48" s="1235"/>
      <c r="AL48" s="1235"/>
      <c r="AM48" s="1235"/>
      <c r="AN48" s="1235"/>
      <c r="AO48" s="1235"/>
      <c r="AP48" s="1235"/>
      <c r="AQ48" s="1235"/>
      <c r="AR48" s="1235"/>
      <c r="AS48" s="1235"/>
      <c r="AT48" s="1235"/>
      <c r="AU48" s="1235"/>
      <c r="AV48" s="1235"/>
      <c r="AW48" s="1235"/>
      <c r="AX48" s="1235"/>
      <c r="AY48" s="1235"/>
      <c r="AZ48" s="1235"/>
    </row>
    <row r="49" spans="1:56" ht="12" hidden="1" customHeight="1">
      <c r="A49" s="1236"/>
      <c r="B49" s="1236"/>
      <c r="C49" s="1236"/>
      <c r="D49" s="1236"/>
      <c r="E49" s="1236"/>
      <c r="F49" s="1236"/>
      <c r="G49" s="1236"/>
      <c r="H49" s="1236"/>
      <c r="I49" s="1236"/>
      <c r="J49" s="1236"/>
      <c r="K49" s="1236"/>
      <c r="L49" s="1236"/>
      <c r="M49" s="1236"/>
      <c r="N49" s="1236"/>
      <c r="O49" s="1236"/>
      <c r="P49" s="1236"/>
      <c r="Q49" s="1236"/>
      <c r="R49" s="1236"/>
      <c r="S49" s="1236"/>
      <c r="T49" s="1236"/>
      <c r="U49" s="1236"/>
      <c r="V49" s="1236"/>
      <c r="W49" s="1236"/>
      <c r="X49" s="1236"/>
      <c r="Y49" s="1236"/>
      <c r="Z49" s="1236"/>
      <c r="AA49" s="1236"/>
      <c r="AB49" s="1236"/>
      <c r="AC49" s="1236"/>
      <c r="AD49" s="1236"/>
      <c r="AE49" s="1236"/>
      <c r="AF49" s="1236"/>
      <c r="AG49" s="1236"/>
      <c r="AH49" s="1236"/>
      <c r="AI49" s="1236"/>
      <c r="AJ49" s="1236"/>
      <c r="AK49" s="1236"/>
      <c r="AL49" s="1236"/>
      <c r="AM49" s="1236"/>
      <c r="AN49" s="1236"/>
      <c r="AO49" s="1236"/>
      <c r="AP49" s="1236"/>
      <c r="AQ49" s="1236"/>
      <c r="AR49" s="1236"/>
      <c r="AS49" s="1236"/>
      <c r="AT49" s="1236"/>
      <c r="AU49" s="1236"/>
      <c r="AV49" s="1236"/>
      <c r="AW49" s="1236"/>
      <c r="AX49" s="1236"/>
      <c r="AY49" s="1236"/>
      <c r="AZ49" s="1236"/>
    </row>
    <row r="50" spans="1:56" ht="12" hidden="1" customHeight="1">
      <c r="A50" s="1254"/>
      <c r="B50" s="1254"/>
      <c r="C50" s="1254"/>
      <c r="D50" s="1254"/>
      <c r="E50" s="1254"/>
      <c r="F50" s="1254"/>
      <c r="G50" s="1254"/>
      <c r="H50" s="1254"/>
      <c r="I50" s="1254"/>
      <c r="J50" s="1254"/>
      <c r="K50" s="1254"/>
      <c r="L50" s="1254"/>
      <c r="M50" s="1254"/>
      <c r="N50" s="1254"/>
      <c r="O50" s="1254"/>
      <c r="P50" s="1254"/>
      <c r="Q50" s="1254"/>
      <c r="R50" s="1254"/>
      <c r="S50" s="1254"/>
      <c r="T50" s="1254"/>
      <c r="U50" s="1254"/>
      <c r="V50" s="1254"/>
      <c r="W50" s="1254"/>
      <c r="X50" s="1254"/>
      <c r="Y50" s="1254"/>
      <c r="Z50" s="1254"/>
      <c r="AA50" s="1254"/>
      <c r="AB50" s="1254"/>
      <c r="AC50" s="1254"/>
      <c r="AD50" s="1254"/>
      <c r="AE50" s="1254"/>
      <c r="AF50" s="1254"/>
      <c r="AG50" s="1254"/>
      <c r="AH50" s="1254"/>
      <c r="AI50" s="1254"/>
      <c r="AJ50" s="1254"/>
      <c r="AK50" s="1254"/>
      <c r="AL50" s="1254"/>
      <c r="AM50" s="1254"/>
      <c r="AN50" s="1254"/>
      <c r="AO50" s="1254"/>
      <c r="AP50" s="1254"/>
      <c r="AQ50" s="1254"/>
      <c r="AR50" s="1254"/>
      <c r="AS50" s="1254"/>
      <c r="AT50" s="1254"/>
      <c r="AU50" s="1254"/>
      <c r="AV50" s="1254"/>
      <c r="AW50" s="1254"/>
      <c r="AX50" s="1254"/>
      <c r="AY50" s="1254"/>
      <c r="AZ50" s="1254"/>
    </row>
    <row r="51" spans="1:56" ht="7.5" hidden="1" customHeight="1">
      <c r="A51" s="1240" t="s">
        <v>523</v>
      </c>
      <c r="B51" s="1240"/>
      <c r="C51" s="1240"/>
      <c r="D51" s="1240"/>
      <c r="E51" s="1240"/>
      <c r="F51" s="1240"/>
      <c r="G51" s="1240"/>
      <c r="H51" s="1240"/>
      <c r="I51" s="1240"/>
      <c r="J51" s="1240"/>
      <c r="K51" s="1240"/>
      <c r="L51" s="1240"/>
      <c r="M51" s="1240"/>
      <c r="N51" s="1240"/>
      <c r="O51" s="1240"/>
      <c r="P51" s="1240"/>
      <c r="Q51" s="1240"/>
      <c r="R51" s="1240"/>
      <c r="S51" s="1240"/>
      <c r="T51" s="1240"/>
      <c r="U51" s="1240"/>
      <c r="V51" s="1240"/>
      <c r="W51" s="1240"/>
      <c r="X51" s="1240"/>
      <c r="Y51" s="1240"/>
      <c r="Z51" s="1240"/>
      <c r="AA51" s="1240"/>
      <c r="AB51" s="1240"/>
      <c r="AC51" s="1240"/>
      <c r="AD51" s="1240"/>
      <c r="AE51" s="1240"/>
      <c r="AF51" s="1240"/>
      <c r="AG51" s="1240"/>
      <c r="AH51" s="1240"/>
      <c r="AI51" s="1240"/>
      <c r="AJ51" s="1240"/>
      <c r="AK51" s="1240"/>
      <c r="AL51" s="1240"/>
      <c r="AM51" s="1240"/>
      <c r="AN51" s="1240"/>
      <c r="AO51" s="1240"/>
      <c r="AP51" s="1240"/>
      <c r="AQ51" s="1240"/>
      <c r="AR51" s="1240"/>
      <c r="AS51" s="1240"/>
      <c r="AT51" s="1240"/>
      <c r="AU51" s="1240"/>
      <c r="AV51" s="1240"/>
      <c r="AW51" s="1240"/>
      <c r="AX51" s="1240"/>
      <c r="AY51" s="1240"/>
      <c r="AZ51" s="1240"/>
    </row>
    <row r="52" spans="1:56" ht="12" customHeight="1">
      <c r="A52" s="1235" t="s">
        <v>379</v>
      </c>
      <c r="B52" s="1235"/>
      <c r="C52" s="1235"/>
      <c r="D52" s="1235"/>
      <c r="E52" s="1235"/>
      <c r="F52" s="1235"/>
      <c r="G52" s="1235"/>
      <c r="H52" s="1235"/>
      <c r="I52" s="1235"/>
      <c r="J52" s="1235"/>
      <c r="K52" s="1235"/>
      <c r="L52" s="1235"/>
      <c r="M52" s="1235"/>
      <c r="N52" s="1235"/>
      <c r="O52" s="1235"/>
      <c r="P52" s="1235"/>
      <c r="Q52" s="1235"/>
      <c r="R52" s="1235"/>
      <c r="S52" s="1235"/>
      <c r="T52" s="1235"/>
      <c r="U52" s="1235"/>
      <c r="V52" s="1235"/>
      <c r="W52" s="1235"/>
      <c r="X52" s="1235"/>
      <c r="Y52" s="1235"/>
      <c r="Z52" s="1235"/>
      <c r="AA52" s="1235"/>
      <c r="AB52" s="1235"/>
      <c r="AC52" s="1235"/>
      <c r="AD52" s="1235"/>
      <c r="AE52" s="1235"/>
      <c r="AF52" s="1235"/>
      <c r="AG52" s="1235"/>
      <c r="AH52" s="1235"/>
      <c r="AI52" s="1235"/>
      <c r="AJ52" s="1235"/>
      <c r="AK52" s="1235"/>
      <c r="AL52" s="1235"/>
      <c r="AM52" s="1235"/>
      <c r="AN52" s="1235"/>
      <c r="AO52" s="1235"/>
      <c r="AP52" s="1235"/>
      <c r="AQ52" s="1235"/>
      <c r="AR52" s="1235"/>
      <c r="AS52" s="1235"/>
      <c r="AT52" s="1235"/>
      <c r="AU52" s="1235"/>
      <c r="AV52" s="1235"/>
      <c r="AW52" s="1235"/>
      <c r="AX52" s="1235"/>
      <c r="AY52" s="1235"/>
      <c r="AZ52" s="1235"/>
    </row>
    <row r="53" spans="1:56" ht="13.5" customHeight="1">
      <c r="A53" s="1228" t="str">
        <f>ФОРМА!B4</f>
        <v>ООО «БЭСК»</v>
      </c>
      <c r="B53" s="1228"/>
      <c r="C53" s="1228"/>
      <c r="D53" s="1228"/>
      <c r="E53" s="1228"/>
      <c r="F53" s="1228"/>
      <c r="G53" s="1228"/>
      <c r="H53" s="1228"/>
      <c r="I53" s="1228"/>
      <c r="J53" s="1228"/>
      <c r="K53" s="1228"/>
      <c r="L53" s="1228"/>
      <c r="M53" s="1228"/>
      <c r="N53" s="1228"/>
      <c r="O53" s="1228"/>
      <c r="P53" s="1228"/>
      <c r="Q53" s="1228"/>
      <c r="R53" s="1228"/>
      <c r="S53" s="1228"/>
      <c r="T53" s="1228"/>
      <c r="U53" s="1228"/>
      <c r="V53" s="1228"/>
      <c r="W53" s="1228"/>
      <c r="X53" s="1228"/>
      <c r="Y53" s="1228"/>
      <c r="Z53" s="1228"/>
      <c r="AA53" s="1228"/>
      <c r="AB53" s="1228"/>
      <c r="AC53" s="1228"/>
      <c r="AD53" s="1228"/>
      <c r="AE53" s="1228"/>
      <c r="AF53" s="1228"/>
      <c r="AG53" s="1228"/>
      <c r="AH53" s="1228"/>
      <c r="AI53" s="1228"/>
      <c r="AJ53" s="1228"/>
      <c r="AK53" s="1228"/>
      <c r="AL53" s="1228"/>
      <c r="AM53" s="1228"/>
      <c r="AN53" s="1228"/>
      <c r="AO53" s="1228"/>
      <c r="AP53" s="1228"/>
      <c r="AQ53" s="1228"/>
      <c r="AR53" s="1228"/>
      <c r="AS53" s="1228"/>
      <c r="AT53" s="1228"/>
      <c r="AU53" s="1228"/>
      <c r="AV53" s="1228"/>
      <c r="AW53" s="1228"/>
      <c r="AX53" s="1228"/>
      <c r="AY53" s="1228"/>
      <c r="AZ53" s="1228"/>
    </row>
    <row r="54" spans="1:56" s="127" customFormat="1" ht="7.15" customHeight="1">
      <c r="A54" s="1256" t="s">
        <v>828</v>
      </c>
      <c r="B54" s="1258"/>
      <c r="C54" s="1258"/>
      <c r="D54" s="1258"/>
      <c r="E54" s="1258"/>
      <c r="F54" s="1258"/>
      <c r="G54" s="1258"/>
      <c r="H54" s="1258"/>
      <c r="I54" s="1258"/>
      <c r="J54" s="1258"/>
      <c r="K54" s="1258"/>
      <c r="L54" s="1258"/>
      <c r="M54" s="1258"/>
      <c r="N54" s="1258"/>
      <c r="O54" s="1258"/>
      <c r="P54" s="1258"/>
      <c r="Q54" s="1258"/>
      <c r="R54" s="1258"/>
      <c r="S54" s="1258"/>
      <c r="T54" s="1258"/>
      <c r="U54" s="1258"/>
      <c r="V54" s="1258"/>
      <c r="W54" s="1258"/>
      <c r="X54" s="1258"/>
      <c r="Y54" s="1258"/>
      <c r="Z54" s="1258"/>
      <c r="AA54" s="1258"/>
      <c r="AB54" s="1258"/>
      <c r="AC54" s="1258"/>
      <c r="AD54" s="1258"/>
      <c r="AE54" s="1258"/>
      <c r="AF54" s="1258"/>
      <c r="AG54" s="1258"/>
      <c r="AH54" s="1258"/>
      <c r="AI54" s="1258"/>
      <c r="AJ54" s="1258"/>
      <c r="AK54" s="1258"/>
      <c r="AL54" s="1258"/>
      <c r="AM54" s="1258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</row>
    <row r="55" spans="1:56" ht="12" customHeight="1">
      <c r="A55" s="1235" t="s">
        <v>9</v>
      </c>
      <c r="B55" s="1235"/>
      <c r="C55" s="1235"/>
      <c r="D55" s="1235"/>
      <c r="E55" s="1235"/>
      <c r="F55" s="1235"/>
      <c r="G55" s="1235"/>
      <c r="H55" s="1235"/>
      <c r="I55" s="1235"/>
      <c r="J55" s="1235"/>
      <c r="K55" s="1235"/>
      <c r="L55" s="1235"/>
      <c r="M55" s="1235"/>
      <c r="N55" s="1235"/>
      <c r="O55" s="1235"/>
      <c r="P55" s="1235"/>
      <c r="Q55" s="1235"/>
      <c r="R55" s="1235"/>
      <c r="S55" s="1235"/>
      <c r="T55" s="1235"/>
      <c r="U55" s="1235"/>
      <c r="V55" s="1235"/>
      <c r="W55" s="1235"/>
      <c r="X55" s="1235"/>
      <c r="Y55" s="1235"/>
      <c r="Z55" s="1235"/>
      <c r="AA55" s="1235"/>
      <c r="AB55" s="1235"/>
      <c r="AC55" s="1235"/>
      <c r="AD55" s="1235"/>
      <c r="AE55" s="1235"/>
      <c r="AF55" s="1235"/>
      <c r="AG55" s="1235"/>
      <c r="AH55" s="1235"/>
      <c r="AI55" s="1235"/>
      <c r="AJ55" s="1235"/>
      <c r="AK55" s="1235"/>
      <c r="AL55" s="1235"/>
      <c r="AM55" s="1235"/>
      <c r="AN55" s="1235"/>
      <c r="AO55" s="1235"/>
      <c r="AP55" s="1235"/>
      <c r="AQ55" s="1235"/>
      <c r="AR55" s="1235"/>
      <c r="AS55" s="1235"/>
      <c r="AT55" s="1235"/>
      <c r="AU55" s="1235"/>
      <c r="AV55" s="1235"/>
      <c r="AW55" s="1235"/>
      <c r="AX55" s="1235"/>
      <c r="AY55" s="1235"/>
      <c r="AZ55" s="1235"/>
    </row>
    <row r="56" spans="1:56" ht="12" customHeight="1">
      <c r="A56" s="1235" t="s">
        <v>390</v>
      </c>
      <c r="B56" s="1235"/>
      <c r="C56" s="1235"/>
      <c r="D56" s="1235"/>
      <c r="E56" s="1235"/>
      <c r="F56" s="1235"/>
      <c r="G56" s="1235"/>
      <c r="H56" s="1235"/>
      <c r="I56" s="1235"/>
      <c r="J56" s="1235"/>
      <c r="K56" s="1235"/>
      <c r="L56" s="1235"/>
      <c r="M56" s="1235"/>
      <c r="N56" s="1235"/>
      <c r="O56" s="1235"/>
      <c r="P56" s="1235"/>
      <c r="Q56" s="1235"/>
      <c r="R56" s="1235"/>
      <c r="S56" s="1235"/>
      <c r="T56" s="1235"/>
      <c r="U56" s="1235"/>
      <c r="V56" s="1235"/>
      <c r="W56" s="1235"/>
      <c r="X56" s="1235"/>
      <c r="Y56" s="1235"/>
      <c r="Z56" s="1235"/>
      <c r="AA56" s="1235"/>
      <c r="AB56" s="1235"/>
      <c r="AC56" s="1235"/>
      <c r="AD56" s="1235"/>
      <c r="AE56" s="1235"/>
      <c r="AF56" s="1235"/>
      <c r="AG56" s="1235"/>
      <c r="AH56" s="1235"/>
      <c r="AI56" s="1235"/>
      <c r="AJ56" s="1235"/>
      <c r="AK56" s="1235"/>
      <c r="AL56" s="1235"/>
      <c r="AM56" s="1235"/>
      <c r="AN56" s="1235"/>
      <c r="AO56" s="1235"/>
      <c r="AP56" s="1235"/>
      <c r="AQ56" s="1235"/>
      <c r="AR56" s="1235"/>
      <c r="AS56" s="1235"/>
      <c r="AT56" s="1235"/>
      <c r="AU56" s="1235"/>
      <c r="AV56" s="1235"/>
      <c r="AW56" s="1235"/>
      <c r="AX56" s="1235"/>
      <c r="AY56" s="1235"/>
      <c r="AZ56" s="1235"/>
    </row>
    <row r="57" spans="1:56" ht="14.25" customHeight="1">
      <c r="A57" s="1246" t="str">
        <f ca="1">INDIRECT("'АКТЫ скрытых работ'!R"&amp;BE3&amp;"C3",0)</f>
        <v>Обратная засыпка траншеи</v>
      </c>
      <c r="B57" s="1246"/>
      <c r="C57" s="1246"/>
      <c r="D57" s="1246"/>
      <c r="E57" s="1246"/>
      <c r="F57" s="1246"/>
      <c r="G57" s="1246"/>
      <c r="H57" s="1246"/>
      <c r="I57" s="1246"/>
      <c r="J57" s="1246"/>
      <c r="K57" s="1246"/>
      <c r="L57" s="1246"/>
      <c r="M57" s="1246"/>
      <c r="N57" s="1246"/>
      <c r="O57" s="1246"/>
      <c r="P57" s="1246"/>
      <c r="Q57" s="1246"/>
      <c r="R57" s="1246"/>
      <c r="S57" s="1246"/>
      <c r="T57" s="1246"/>
      <c r="U57" s="1246"/>
      <c r="V57" s="1246"/>
      <c r="W57" s="1246"/>
      <c r="X57" s="1246"/>
      <c r="Y57" s="1246"/>
      <c r="Z57" s="1246"/>
      <c r="AA57" s="1246"/>
      <c r="AB57" s="1246"/>
      <c r="AC57" s="1246"/>
      <c r="AD57" s="1246"/>
      <c r="AE57" s="1246"/>
      <c r="AF57" s="1246"/>
      <c r="AG57" s="1246"/>
      <c r="AH57" s="1246"/>
      <c r="AI57" s="1246"/>
      <c r="AJ57" s="1246"/>
      <c r="AK57" s="1246"/>
      <c r="AL57" s="1246"/>
      <c r="AM57" s="1246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</row>
    <row r="58" spans="1:56" ht="10.5" customHeight="1">
      <c r="A58" s="1242" t="s">
        <v>532</v>
      </c>
      <c r="B58" s="1242"/>
      <c r="C58" s="1242"/>
      <c r="D58" s="1242"/>
      <c r="E58" s="1242"/>
      <c r="F58" s="1242"/>
      <c r="G58" s="1242"/>
      <c r="H58" s="1242"/>
      <c r="I58" s="1242"/>
      <c r="J58" s="1242"/>
      <c r="K58" s="1242"/>
      <c r="L58" s="1242"/>
      <c r="M58" s="1242"/>
      <c r="N58" s="1242"/>
      <c r="O58" s="1242"/>
      <c r="P58" s="1242"/>
      <c r="Q58" s="1242"/>
      <c r="R58" s="1242"/>
      <c r="S58" s="1242"/>
      <c r="T58" s="1242"/>
      <c r="U58" s="1242"/>
      <c r="V58" s="1242"/>
      <c r="W58" s="1242"/>
      <c r="X58" s="1242"/>
      <c r="Y58" s="1242"/>
      <c r="Z58" s="1242"/>
      <c r="AA58" s="1242"/>
      <c r="AB58" s="1242"/>
      <c r="AC58" s="1242"/>
      <c r="AD58" s="1242"/>
      <c r="AE58" s="1242"/>
      <c r="AF58" s="1242"/>
      <c r="AG58" s="1242"/>
      <c r="AH58" s="1242"/>
      <c r="AI58" s="1242"/>
      <c r="AJ58" s="1242"/>
      <c r="AK58" s="1242"/>
      <c r="AL58" s="1242"/>
      <c r="AM58" s="1242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</row>
    <row r="59" spans="1:56" ht="12" customHeight="1">
      <c r="A59" s="416" t="s">
        <v>391</v>
      </c>
      <c r="Z59" s="9"/>
      <c r="AA59" s="9"/>
      <c r="AB59" s="9"/>
      <c r="AC59" s="9"/>
      <c r="AD59" s="1246" t="str">
        <f>IF(ФОРМА!B8=0," ",ФОРМА!B8)</f>
        <v>ООО «Строительные энергетические технологии»</v>
      </c>
      <c r="AE59" s="1246"/>
      <c r="AF59" s="1246"/>
      <c r="AG59" s="1246"/>
      <c r="AH59" s="1246"/>
      <c r="AI59" s="1246"/>
      <c r="AJ59" s="1246"/>
      <c r="AK59" s="1246"/>
      <c r="AL59" s="1246"/>
      <c r="AM59" s="1246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</row>
    <row r="60" spans="1:56" ht="8.25" customHeight="1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40" t="s">
        <v>83</v>
      </c>
      <c r="AE60" s="1240"/>
      <c r="AF60" s="1240"/>
      <c r="AG60" s="1240"/>
      <c r="AH60" s="1240"/>
      <c r="AI60" s="1240"/>
      <c r="AJ60" s="1240"/>
      <c r="AK60" s="1240"/>
      <c r="AL60" s="1240"/>
      <c r="AM60" s="124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</row>
    <row r="61" spans="1:56" ht="12" customHeight="1">
      <c r="A61" s="1237" t="str">
        <f>IF(ФОРМА!B9=0," ",CONCATENATE("Проект Шифр ",ФОРМА!B9))</f>
        <v>Проект Шифр СЭС-23-32939-ЭС-ТКР2</v>
      </c>
      <c r="B61" s="1237"/>
      <c r="C61" s="1237"/>
      <c r="D61" s="1237"/>
      <c r="E61" s="1237"/>
      <c r="F61" s="1237"/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237"/>
      <c r="T61" s="1237"/>
      <c r="U61" s="1237"/>
      <c r="V61" s="1237"/>
      <c r="W61" s="1237"/>
      <c r="X61" s="1237"/>
      <c r="Y61" s="1237"/>
      <c r="Z61" s="1237"/>
      <c r="AA61" s="1237"/>
      <c r="AB61" s="1237"/>
      <c r="AC61" s="1237"/>
      <c r="AD61" s="1237"/>
      <c r="AE61" s="1237"/>
      <c r="AF61" s="1237"/>
      <c r="AG61" s="1237"/>
      <c r="AH61" s="1237"/>
      <c r="AI61" s="1237"/>
      <c r="AJ61" s="1237"/>
      <c r="AK61" s="1237"/>
      <c r="AL61" s="1237"/>
      <c r="AM61" s="1237"/>
      <c r="AN61" s="1237"/>
      <c r="AO61" s="1237"/>
      <c r="AP61" s="1237"/>
      <c r="AQ61" s="1237"/>
      <c r="AR61" s="1237"/>
      <c r="AS61" s="1237"/>
      <c r="AT61" s="1237"/>
      <c r="AU61" s="1237"/>
      <c r="AV61" s="1237"/>
      <c r="AW61" s="1237"/>
      <c r="AX61" s="1237"/>
      <c r="AY61" s="1237"/>
      <c r="AZ61" s="1237"/>
    </row>
    <row r="62" spans="1:56" ht="7.15" customHeight="1">
      <c r="A62" s="1240" t="s">
        <v>533</v>
      </c>
      <c r="B62" s="1240"/>
      <c r="C62" s="1240"/>
      <c r="D62" s="1240"/>
      <c r="E62" s="1240"/>
      <c r="F62" s="1240"/>
      <c r="G62" s="1240"/>
      <c r="H62" s="1240"/>
      <c r="I62" s="1240"/>
      <c r="J62" s="1240"/>
      <c r="K62" s="1240"/>
      <c r="L62" s="1240"/>
      <c r="M62" s="1240"/>
      <c r="N62" s="1240"/>
      <c r="O62" s="1240"/>
      <c r="P62" s="1240"/>
      <c r="Q62" s="1240"/>
      <c r="R62" s="1240"/>
      <c r="S62" s="1240"/>
      <c r="T62" s="1240"/>
      <c r="U62" s="1240"/>
      <c r="V62" s="1240"/>
      <c r="W62" s="1240"/>
      <c r="X62" s="1240"/>
      <c r="Y62" s="1240"/>
      <c r="Z62" s="1240"/>
      <c r="AA62" s="1240"/>
      <c r="AB62" s="1240"/>
      <c r="AC62" s="1240"/>
      <c r="AD62" s="1240"/>
      <c r="AE62" s="1240"/>
      <c r="AF62" s="1240"/>
      <c r="AG62" s="1240"/>
      <c r="AH62" s="1240"/>
      <c r="AI62" s="1240"/>
      <c r="AJ62" s="1240"/>
      <c r="AK62" s="1240"/>
      <c r="AL62" s="1240"/>
      <c r="AM62" s="1240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</row>
    <row r="63" spans="1:56" ht="12" customHeight="1">
      <c r="A63" s="1235" t="s">
        <v>534</v>
      </c>
      <c r="B63" s="1235"/>
      <c r="C63" s="1235"/>
      <c r="D63" s="1235"/>
      <c r="E63" s="1235"/>
      <c r="F63" s="1235"/>
      <c r="G63" s="1235"/>
      <c r="H63" s="1235"/>
      <c r="I63" s="1235"/>
      <c r="J63" s="1235"/>
      <c r="K63" s="1235"/>
      <c r="L63" s="1235"/>
      <c r="M63" s="1235"/>
      <c r="N63" s="1235"/>
      <c r="O63" s="1235"/>
      <c r="P63" s="1235"/>
      <c r="Q63" s="1235"/>
      <c r="R63" s="1235"/>
      <c r="S63" s="1235"/>
      <c r="T63" s="1235"/>
      <c r="U63" s="1235"/>
      <c r="V63" s="1235"/>
      <c r="W63" s="1235"/>
      <c r="X63" s="1235"/>
      <c r="Y63" s="1235"/>
      <c r="Z63" s="1235"/>
      <c r="AA63" s="1235"/>
      <c r="AB63" s="1235"/>
      <c r="AC63" s="1235"/>
      <c r="AD63" s="1235"/>
      <c r="AE63" s="1235"/>
      <c r="AF63" s="1235"/>
      <c r="AG63" s="1235"/>
      <c r="AH63" s="1235"/>
      <c r="AI63" s="1235"/>
      <c r="AJ63" s="1235"/>
      <c r="AK63" s="1235"/>
      <c r="AL63" s="1235"/>
      <c r="AM63" s="1235"/>
      <c r="AN63" s="1235"/>
      <c r="AO63" s="1235"/>
      <c r="AP63" s="1235"/>
      <c r="AQ63" s="1235"/>
      <c r="AR63" s="1235"/>
      <c r="AS63" s="1235"/>
      <c r="AT63" s="1235"/>
      <c r="AU63" s="1235"/>
      <c r="AV63" s="1235"/>
      <c r="AW63" s="1235"/>
      <c r="AX63" s="1235"/>
      <c r="AY63" s="1235"/>
      <c r="AZ63" s="1235"/>
      <c r="BD63" s="11"/>
    </row>
    <row r="64" spans="1:56" ht="24" customHeight="1">
      <c r="A64" s="1238" t="str">
        <f>'АКТЫ скрытых работ'!P2</f>
        <v>Акт освидетельствования скрытых работ №1-ОП от 02 ноября 2024г. Разработка котлована для установки стоек</v>
      </c>
      <c r="B64" s="1236"/>
      <c r="C64" s="1236"/>
      <c r="D64" s="1236"/>
      <c r="E64" s="1236"/>
      <c r="F64" s="1236"/>
      <c r="G64" s="1236"/>
      <c r="H64" s="1236"/>
      <c r="I64" s="1236"/>
      <c r="J64" s="1236"/>
      <c r="K64" s="1236"/>
      <c r="L64" s="1236"/>
      <c r="M64" s="1236"/>
      <c r="N64" s="1236"/>
      <c r="O64" s="1236"/>
      <c r="P64" s="1236"/>
      <c r="Q64" s="1236"/>
      <c r="R64" s="1236"/>
      <c r="S64" s="1236"/>
      <c r="T64" s="1236"/>
      <c r="U64" s="1236"/>
      <c r="V64" s="1236"/>
      <c r="W64" s="1236"/>
      <c r="X64" s="1236"/>
      <c r="Y64" s="1236"/>
      <c r="Z64" s="1236"/>
      <c r="AA64" s="1236"/>
      <c r="AB64" s="1236"/>
      <c r="AC64" s="1236"/>
      <c r="AD64" s="1236"/>
      <c r="AE64" s="1236"/>
      <c r="AF64" s="1236"/>
      <c r="AG64" s="1236"/>
      <c r="AH64" s="1236"/>
      <c r="AI64" s="1236"/>
      <c r="AJ64" s="1236"/>
      <c r="AK64" s="1236"/>
      <c r="AL64" s="1236"/>
      <c r="AM64" s="1236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D64" s="15"/>
    </row>
    <row r="65" spans="1:56" ht="7.9" customHeight="1">
      <c r="A65" s="1239" t="s">
        <v>380</v>
      </c>
      <c r="B65" s="1239"/>
      <c r="C65" s="1239"/>
      <c r="D65" s="1239"/>
      <c r="E65" s="1239"/>
      <c r="F65" s="1239"/>
      <c r="G65" s="1239"/>
      <c r="H65" s="1239"/>
      <c r="I65" s="1239"/>
      <c r="J65" s="1239"/>
      <c r="K65" s="1239"/>
      <c r="L65" s="1239"/>
      <c r="M65" s="1239"/>
      <c r="N65" s="1239"/>
      <c r="O65" s="1239"/>
      <c r="P65" s="1239"/>
      <c r="Q65" s="1239"/>
      <c r="R65" s="1239"/>
      <c r="S65" s="1239"/>
      <c r="T65" s="1239"/>
      <c r="U65" s="1239"/>
      <c r="V65" s="1239"/>
      <c r="W65" s="1239"/>
      <c r="X65" s="1239"/>
      <c r="Y65" s="1239"/>
      <c r="Z65" s="1239"/>
      <c r="AA65" s="1239"/>
      <c r="AB65" s="1239"/>
      <c r="AC65" s="1239"/>
      <c r="AD65" s="1239"/>
      <c r="AE65" s="1239"/>
      <c r="AF65" s="1239"/>
      <c r="AG65" s="1239"/>
      <c r="AH65" s="1239"/>
      <c r="AI65" s="1239"/>
      <c r="AJ65" s="1239"/>
      <c r="AK65" s="1239"/>
      <c r="AL65" s="1239"/>
      <c r="AM65" s="1239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</row>
    <row r="66" spans="1:56" ht="12" customHeight="1">
      <c r="A66" s="1235" t="s">
        <v>536</v>
      </c>
      <c r="B66" s="1235"/>
      <c r="C66" s="1235"/>
      <c r="D66" s="1235"/>
      <c r="E66" s="1235"/>
      <c r="F66" s="1235"/>
      <c r="G66" s="1235"/>
      <c r="H66" s="1235"/>
      <c r="I66" s="1235"/>
      <c r="J66" s="1235"/>
      <c r="K66" s="1235"/>
      <c r="L66" s="1235"/>
      <c r="M66" s="1235"/>
      <c r="N66" s="1235"/>
      <c r="O66" s="1235"/>
      <c r="P66" s="1235"/>
      <c r="Q66" s="1235"/>
      <c r="R66" s="1235"/>
      <c r="S66" s="1235"/>
      <c r="T66" s="1235"/>
      <c r="U66" s="1235"/>
      <c r="V66" s="1235"/>
      <c r="W66" s="1235"/>
      <c r="X66" s="1235"/>
      <c r="Y66" s="1235"/>
      <c r="Z66" s="1235"/>
      <c r="AA66" s="1235"/>
      <c r="AB66" s="1235"/>
      <c r="AC66" s="1235"/>
      <c r="AD66" s="1235"/>
      <c r="AE66" s="1235"/>
      <c r="AF66" s="1235"/>
      <c r="AG66" s="1235"/>
      <c r="AH66" s="1235"/>
      <c r="AI66" s="1235"/>
      <c r="AJ66" s="1235"/>
      <c r="AK66" s="1235"/>
      <c r="AL66" s="1235"/>
      <c r="AM66" s="1235"/>
      <c r="AN66" s="1235"/>
      <c r="AO66" s="1235"/>
      <c r="AP66" s="1235"/>
      <c r="AQ66" s="1235"/>
      <c r="AR66" s="1235"/>
      <c r="AS66" s="1235"/>
      <c r="AT66" s="1235"/>
      <c r="AU66" s="1235"/>
      <c r="AV66" s="1235"/>
      <c r="AW66" s="1235"/>
      <c r="AX66" s="1235"/>
      <c r="AY66" s="1235"/>
      <c r="AZ66" s="1235"/>
    </row>
    <row r="67" spans="1:56" ht="25.15" customHeight="1">
      <c r="A67" s="1241" t="str">
        <f ca="1">INDIRECT("'АКТЫ скрытых работ'!R"&amp;BE3&amp;"C10",0)</f>
        <v>Вырытый грунт</v>
      </c>
      <c r="B67" s="1241"/>
      <c r="C67" s="1241"/>
      <c r="D67" s="1241"/>
      <c r="E67" s="1241"/>
      <c r="F67" s="1241"/>
      <c r="G67" s="1241"/>
      <c r="H67" s="1241"/>
      <c r="I67" s="1241"/>
      <c r="J67" s="1241"/>
      <c r="K67" s="1241"/>
      <c r="L67" s="1241"/>
      <c r="M67" s="1241"/>
      <c r="N67" s="1241"/>
      <c r="O67" s="1241"/>
      <c r="P67" s="1241"/>
      <c r="Q67" s="1241"/>
      <c r="R67" s="1241"/>
      <c r="S67" s="1241"/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1241"/>
      <c r="AG67" s="1241"/>
      <c r="AH67" s="1241"/>
      <c r="AI67" s="1241"/>
      <c r="AJ67" s="1241"/>
      <c r="AK67" s="1241"/>
      <c r="AL67" s="1241"/>
      <c r="AM67" s="1241"/>
      <c r="AN67" s="1241"/>
      <c r="AO67" s="1241"/>
      <c r="AP67" s="1241"/>
      <c r="AQ67" s="1241"/>
      <c r="AR67" s="1241"/>
      <c r="AS67" s="1241"/>
      <c r="AT67" s="1241"/>
      <c r="AU67" s="1241"/>
      <c r="AV67" s="1241"/>
      <c r="AW67" s="1241"/>
      <c r="AX67" s="1241"/>
      <c r="AY67" s="1241"/>
      <c r="AZ67" s="1241"/>
      <c r="BD67" s="11"/>
    </row>
    <row r="68" spans="1:56" s="127" customFormat="1" ht="8.25" customHeight="1">
      <c r="A68" s="1240" t="s">
        <v>535</v>
      </c>
      <c r="B68" s="1242"/>
      <c r="C68" s="1242"/>
      <c r="D68" s="1242"/>
      <c r="E68" s="1242"/>
      <c r="F68" s="1242"/>
      <c r="G68" s="1242"/>
      <c r="H68" s="1242"/>
      <c r="I68" s="1242"/>
      <c r="J68" s="1242"/>
      <c r="K68" s="1242"/>
      <c r="L68" s="1242"/>
      <c r="M68" s="1242"/>
      <c r="N68" s="1242"/>
      <c r="O68" s="1242"/>
      <c r="P68" s="1242"/>
      <c r="Q68" s="1242"/>
      <c r="R68" s="1242"/>
      <c r="S68" s="1242"/>
      <c r="T68" s="1242"/>
      <c r="U68" s="1242"/>
      <c r="V68" s="1242"/>
      <c r="W68" s="1242"/>
      <c r="X68" s="1242"/>
      <c r="Y68" s="1242"/>
      <c r="Z68" s="1242"/>
      <c r="AA68" s="1242"/>
      <c r="AB68" s="1242"/>
      <c r="AC68" s="1242"/>
      <c r="AD68" s="1242"/>
      <c r="AE68" s="1242"/>
      <c r="AF68" s="1242"/>
      <c r="AG68" s="1242"/>
      <c r="AH68" s="1242"/>
      <c r="AI68" s="1242"/>
      <c r="AJ68" s="1242"/>
      <c r="AK68" s="1242"/>
      <c r="AL68" s="1242"/>
      <c r="AM68" s="124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D68" s="129"/>
    </row>
    <row r="69" spans="1:56" ht="12" customHeight="1">
      <c r="A69" s="1260" t="s">
        <v>537</v>
      </c>
      <c r="B69" s="1260"/>
      <c r="C69" s="1260"/>
      <c r="D69" s="1260"/>
      <c r="E69" s="1260"/>
      <c r="F69" s="1260"/>
      <c r="G69" s="1260"/>
      <c r="H69" s="1260"/>
      <c r="I69" s="1260"/>
      <c r="J69" s="1260"/>
      <c r="K69" s="1260"/>
      <c r="L69" s="1260"/>
      <c r="M69" s="1260"/>
      <c r="N69" s="1260"/>
      <c r="O69" s="1260"/>
      <c r="P69" s="1260"/>
      <c r="Q69" s="1260"/>
      <c r="R69" s="1260"/>
      <c r="S69" s="1260"/>
      <c r="T69" s="1260"/>
      <c r="U69" s="1260"/>
      <c r="V69" s="1260"/>
      <c r="W69" s="1260"/>
      <c r="X69" s="1260"/>
      <c r="Y69" s="1260"/>
      <c r="Z69" s="1260"/>
      <c r="AA69" s="1260"/>
      <c r="AB69" s="1260"/>
      <c r="AC69" s="1260"/>
      <c r="AD69" s="1260"/>
      <c r="AE69" s="1260"/>
      <c r="AF69" s="1260"/>
      <c r="AG69" s="1260"/>
      <c r="AH69" s="1260"/>
      <c r="AI69" s="1260"/>
      <c r="AJ69" s="1260"/>
      <c r="AK69" s="1260"/>
      <c r="AL69" s="1260"/>
      <c r="AM69" s="1260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</row>
    <row r="70" spans="1:56" ht="12" customHeight="1">
      <c r="A70" s="1235" t="s">
        <v>381</v>
      </c>
      <c r="B70" s="1235"/>
      <c r="C70" s="1235"/>
      <c r="D70" s="1235"/>
      <c r="E70" s="1235"/>
      <c r="F70" s="1235"/>
      <c r="G70" s="1235"/>
      <c r="H70" s="1235"/>
      <c r="I70" s="1235"/>
      <c r="J70" s="1235"/>
      <c r="K70" s="1235"/>
      <c r="L70" s="1235"/>
      <c r="M70" s="1235"/>
      <c r="N70" s="1235"/>
      <c r="O70" s="1235"/>
      <c r="P70" s="1235"/>
      <c r="Q70" s="1235"/>
      <c r="R70" s="1235"/>
      <c r="S70" s="1235"/>
      <c r="T70" s="1235"/>
      <c r="U70" s="1235"/>
      <c r="V70" s="1235"/>
      <c r="W70" s="1235"/>
      <c r="X70" s="1235"/>
      <c r="Y70" s="1235"/>
      <c r="Z70" s="1235"/>
      <c r="AA70" s="1235"/>
      <c r="AB70" s="1235"/>
      <c r="AC70" s="1235"/>
      <c r="AD70" s="1235"/>
      <c r="AE70" s="1235"/>
      <c r="AF70" s="1235"/>
      <c r="AG70" s="1235"/>
      <c r="AH70" s="1235"/>
      <c r="AI70" s="1235"/>
      <c r="AJ70" s="1235"/>
      <c r="AK70" s="1235"/>
      <c r="AL70" s="1235"/>
      <c r="AM70" s="1235"/>
      <c r="AN70" s="1235"/>
      <c r="AO70" s="1235"/>
      <c r="AP70" s="1235"/>
      <c r="AQ70" s="1235"/>
      <c r="AR70" s="1235"/>
      <c r="AS70" s="1235"/>
      <c r="AT70" s="1235"/>
      <c r="AU70" s="1235"/>
      <c r="AV70" s="1235"/>
      <c r="AW70" s="1235"/>
      <c r="AX70" s="1235"/>
      <c r="AY70" s="1235"/>
      <c r="AZ70" s="1235"/>
    </row>
    <row r="71" spans="1:56" ht="24" customHeight="1">
      <c r="A71" s="1236" t="str">
        <f ca="1">INDIRECT("'АКТЫ скрытых работ'!R"&amp;BE3&amp;"C11",0)</f>
        <v>Исполнительная схема №1 Монтаж контура заземления КК-0,4кВ</v>
      </c>
      <c r="B71" s="1236"/>
      <c r="C71" s="1236"/>
      <c r="D71" s="1236"/>
      <c r="E71" s="1236"/>
      <c r="F71" s="1236"/>
      <c r="G71" s="1236"/>
      <c r="H71" s="1236"/>
      <c r="I71" s="1236"/>
      <c r="J71" s="1236"/>
      <c r="K71" s="1236"/>
      <c r="L71" s="1236"/>
      <c r="M71" s="1236"/>
      <c r="N71" s="1236"/>
      <c r="O71" s="1236"/>
      <c r="P71" s="1236"/>
      <c r="Q71" s="1236"/>
      <c r="R71" s="1236"/>
      <c r="S71" s="1236"/>
      <c r="T71" s="1236"/>
      <c r="U71" s="1236"/>
      <c r="V71" s="1236"/>
      <c r="W71" s="1236"/>
      <c r="X71" s="1236"/>
      <c r="Y71" s="1236"/>
      <c r="Z71" s="1236"/>
      <c r="AA71" s="1236"/>
      <c r="AB71" s="1236"/>
      <c r="AC71" s="1236"/>
      <c r="AD71" s="1236"/>
      <c r="AE71" s="1236"/>
      <c r="AF71" s="1236"/>
      <c r="AG71" s="1236"/>
      <c r="AH71" s="1236"/>
      <c r="AI71" s="1236"/>
      <c r="AJ71" s="1236"/>
      <c r="AK71" s="1236"/>
      <c r="AL71" s="1236"/>
      <c r="AM71" s="1236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</row>
    <row r="72" spans="1:56" s="127" customFormat="1" ht="9">
      <c r="A72" s="1261" t="s">
        <v>382</v>
      </c>
      <c r="B72" s="1261"/>
      <c r="C72" s="1261"/>
      <c r="D72" s="1261"/>
      <c r="E72" s="1261"/>
      <c r="F72" s="1261"/>
      <c r="G72" s="1261"/>
      <c r="H72" s="1261"/>
      <c r="I72" s="1261"/>
      <c r="J72" s="1261"/>
      <c r="K72" s="1261"/>
      <c r="L72" s="1261"/>
      <c r="M72" s="1261"/>
      <c r="N72" s="1261"/>
      <c r="O72" s="1261"/>
      <c r="P72" s="1261"/>
      <c r="Q72" s="1261"/>
      <c r="R72" s="1261"/>
      <c r="S72" s="1261"/>
      <c r="T72" s="1261"/>
      <c r="U72" s="1261"/>
      <c r="V72" s="1261"/>
      <c r="W72" s="1261"/>
      <c r="X72" s="1261"/>
      <c r="Y72" s="1261"/>
      <c r="Z72" s="1261"/>
      <c r="AA72" s="1261"/>
      <c r="AB72" s="1261"/>
      <c r="AC72" s="1261"/>
      <c r="AD72" s="1261"/>
      <c r="AE72" s="1261"/>
      <c r="AF72" s="1261"/>
      <c r="AG72" s="1261"/>
      <c r="AH72" s="1261"/>
      <c r="AI72" s="1261"/>
      <c r="AJ72" s="1261"/>
      <c r="AK72" s="1261"/>
      <c r="AL72" s="1261"/>
      <c r="AM72" s="126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</row>
    <row r="73" spans="1:56" ht="24" customHeight="1">
      <c r="A73" s="1260" t="s">
        <v>538</v>
      </c>
      <c r="B73" s="1260"/>
      <c r="C73" s="1260"/>
      <c r="D73" s="1260"/>
      <c r="E73" s="1260"/>
      <c r="F73" s="1260"/>
      <c r="G73" s="1260"/>
      <c r="H73" s="1260"/>
      <c r="I73" s="1260"/>
      <c r="J73" s="1260"/>
      <c r="K73" s="1260"/>
      <c r="L73" s="1260"/>
      <c r="M73" s="1260"/>
      <c r="N73" s="1260"/>
      <c r="O73" s="1260"/>
      <c r="P73" s="1260"/>
      <c r="Q73" s="1260"/>
      <c r="R73" s="1260"/>
      <c r="S73" s="1260"/>
      <c r="T73" s="1260"/>
      <c r="U73" s="1260"/>
      <c r="V73" s="1260"/>
      <c r="W73" s="1260"/>
      <c r="X73" s="1260"/>
      <c r="Y73" s="1260"/>
      <c r="Z73" s="1260"/>
      <c r="AA73" s="1260"/>
      <c r="AB73" s="1260"/>
      <c r="AC73" s="1260"/>
      <c r="AD73" s="1260"/>
      <c r="AE73" s="1260"/>
      <c r="AF73" s="1260"/>
      <c r="AG73" s="1260"/>
      <c r="AH73" s="1260"/>
      <c r="AI73" s="1260"/>
      <c r="AJ73" s="1260"/>
      <c r="AK73" s="1260"/>
      <c r="AL73" s="1260"/>
      <c r="AM73" s="1260"/>
      <c r="AN73" s="1260"/>
      <c r="AO73" s="1260"/>
      <c r="AP73" s="1260"/>
      <c r="AQ73" s="1260"/>
      <c r="AR73" s="1260"/>
      <c r="AS73" s="1260"/>
      <c r="AT73" s="1260"/>
      <c r="AU73" s="1260"/>
      <c r="AV73" s="1260"/>
      <c r="AW73" s="1260"/>
      <c r="AX73" s="1260"/>
      <c r="AY73" s="1260"/>
      <c r="AZ73" s="1260"/>
    </row>
    <row r="74" spans="1:56" ht="15.75" customHeight="1">
      <c r="A74" s="1250"/>
      <c r="B74" s="1250"/>
      <c r="C74" s="1250"/>
      <c r="D74" s="1250"/>
      <c r="E74" s="1250"/>
      <c r="F74" s="1250"/>
      <c r="G74" s="1250"/>
      <c r="H74" s="1250"/>
      <c r="I74" s="1250"/>
      <c r="J74" s="1250"/>
      <c r="K74" s="1250"/>
      <c r="L74" s="1250"/>
      <c r="M74" s="1250"/>
      <c r="N74" s="1250"/>
      <c r="O74" s="1250"/>
      <c r="P74" s="1250"/>
      <c r="Q74" s="1250"/>
      <c r="R74" s="1250"/>
      <c r="S74" s="1250"/>
      <c r="T74" s="1250"/>
      <c r="U74" s="1250"/>
      <c r="V74" s="1250"/>
      <c r="W74" s="1250"/>
      <c r="X74" s="1250"/>
      <c r="Y74" s="1250"/>
      <c r="Z74" s="1250"/>
      <c r="AA74" s="1250"/>
      <c r="AB74" s="1250"/>
      <c r="AC74" s="1250"/>
      <c r="AD74" s="1250"/>
      <c r="AE74" s="1250"/>
      <c r="AF74" s="1250"/>
      <c r="AG74" s="1250"/>
      <c r="AH74" s="1250"/>
      <c r="AI74" s="1250"/>
      <c r="AJ74" s="1250"/>
      <c r="AK74" s="1250"/>
      <c r="AL74" s="1250"/>
      <c r="AM74" s="1250"/>
      <c r="AN74" s="1250"/>
      <c r="AO74" s="1250"/>
      <c r="AP74" s="1250"/>
      <c r="AQ74" s="1250"/>
      <c r="AR74" s="1250"/>
      <c r="AS74" s="1250"/>
      <c r="AT74" s="1250"/>
      <c r="AU74" s="1250"/>
      <c r="AV74" s="1250"/>
      <c r="AW74" s="1250"/>
      <c r="AX74" s="1250"/>
      <c r="AY74" s="1250"/>
      <c r="AZ74" s="1250"/>
    </row>
    <row r="75" spans="1:56" ht="9.75" customHeight="1">
      <c r="A75" s="1251" t="s">
        <v>382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42" t="s">
        <v>382</v>
      </c>
      <c r="AD77" s="1242"/>
      <c r="AE77" s="1242"/>
      <c r="AF77" s="1242"/>
      <c r="AG77" s="1242"/>
      <c r="AH77" s="1242"/>
      <c r="AI77" s="1242"/>
      <c r="AJ77" s="1242"/>
      <c r="AK77" s="1242"/>
      <c r="AL77" s="1242"/>
      <c r="AM77" s="1242"/>
      <c r="AN77" s="1242"/>
      <c r="AO77" s="1242"/>
      <c r="AP77" s="1242"/>
      <c r="AQ77" s="1242"/>
      <c r="AR77" s="1242"/>
      <c r="AS77" s="1242"/>
      <c r="AT77" s="1242"/>
      <c r="AU77" s="1242"/>
      <c r="AV77" s="1242"/>
      <c r="AW77" s="1242"/>
      <c r="AX77" s="1242"/>
      <c r="AY77" s="1242"/>
      <c r="AZ77" s="1242"/>
    </row>
    <row r="78" spans="1:56">
      <c r="A78" s="1235" t="s">
        <v>539</v>
      </c>
      <c r="B78" s="1235"/>
      <c r="C78" s="1235"/>
      <c r="D78" s="1235"/>
      <c r="E78" s="1235"/>
      <c r="G78" s="1248" t="s">
        <v>527</v>
      </c>
      <c r="H78" s="1248"/>
      <c r="I78" s="1248"/>
      <c r="J78" s="1248"/>
      <c r="K78" s="1248"/>
      <c r="L78" s="1248"/>
      <c r="M78" s="1248"/>
      <c r="N78" s="1248"/>
      <c r="O78" s="1248"/>
      <c r="P78" s="1248"/>
      <c r="Q78" s="8"/>
      <c r="R78" s="103" t="s">
        <v>76</v>
      </c>
      <c r="S78" s="1243" t="str">
        <f ca="1">INDIRECT("'АКТЫ скрытых работ'!R"&amp;BE3&amp;"C4",0)</f>
        <v>07</v>
      </c>
      <c r="T78" s="1243"/>
      <c r="U78" s="1243"/>
      <c r="V78" s="103" t="s">
        <v>77</v>
      </c>
      <c r="W78" s="1244" t="str">
        <f ca="1">INDIRECT("'АКТЫ скрытых работ'!R"&amp;BE3&amp;"C5",0)</f>
        <v>ноября</v>
      </c>
      <c r="X78" s="1244"/>
      <c r="Y78" s="1244"/>
      <c r="Z78" s="1244"/>
      <c r="AA78" s="1244"/>
      <c r="AB78" s="1244"/>
      <c r="AC78" s="1244"/>
      <c r="AE78" s="1246">
        <f ca="1">INDIRECT("'АКТЫ скрытых работ'!R"&amp;BE3&amp;"C6",0)</f>
        <v>2024</v>
      </c>
      <c r="AF78" s="1246"/>
      <c r="AG78" s="1246"/>
      <c r="AH78" s="1246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5" t="s">
        <v>89</v>
      </c>
      <c r="H79" s="1235"/>
      <c r="I79" s="1235"/>
      <c r="J79" s="1235"/>
      <c r="K79" s="1235"/>
      <c r="L79" s="1235"/>
      <c r="M79" s="1235"/>
      <c r="N79" s="1235"/>
      <c r="O79" s="1235"/>
      <c r="P79" s="1235"/>
      <c r="Q79" s="8"/>
      <c r="R79" s="103" t="s">
        <v>76</v>
      </c>
      <c r="S79" s="1243" t="str">
        <f ca="1">INDIRECT("'АКТЫ скрытых работ'!R"&amp;BE3&amp;"C7",0)</f>
        <v>07</v>
      </c>
      <c r="T79" s="1243"/>
      <c r="U79" s="1243"/>
      <c r="V79" s="103" t="s">
        <v>77</v>
      </c>
      <c r="W79" s="1245" t="str">
        <f ca="1">INDIRECT("'АКТЫ скрытых работ'!R"&amp;BE3&amp;"C8",0)</f>
        <v>ноября</v>
      </c>
      <c r="X79" s="1245"/>
      <c r="Y79" s="1245"/>
      <c r="Z79" s="1245"/>
      <c r="AA79" s="1245"/>
      <c r="AB79" s="1245"/>
      <c r="AC79" s="1245"/>
      <c r="AE79" s="1247">
        <f ca="1">INDIRECT("'АКТЫ скрытых работ'!R"&amp;BE3&amp;"C9",0)</f>
        <v>2024</v>
      </c>
      <c r="AF79" s="1247"/>
      <c r="AG79" s="1247"/>
      <c r="AH79" s="1247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49" t="s">
        <v>540</v>
      </c>
      <c r="B81" s="1249"/>
      <c r="C81" s="1249"/>
      <c r="D81" s="1249"/>
      <c r="E81" s="1249"/>
      <c r="F81" s="1249"/>
      <c r="G81" s="1249"/>
      <c r="H81" s="1249"/>
      <c r="I81" s="1249"/>
      <c r="J81" s="1249"/>
      <c r="K81" s="1249"/>
      <c r="L81" s="1249"/>
      <c r="M81" s="1249"/>
      <c r="N81" s="1249"/>
      <c r="O81" s="1249"/>
      <c r="P81" s="1249"/>
      <c r="Q81" s="1249"/>
      <c r="R81" s="1249"/>
      <c r="S81" s="1249"/>
      <c r="T81" s="1249"/>
      <c r="U81" s="1249"/>
      <c r="V81" s="1249"/>
      <c r="W81" s="1249"/>
      <c r="X81" s="1249"/>
      <c r="Y81" s="1249"/>
      <c r="Z81" s="1249"/>
      <c r="AA81" s="1249"/>
      <c r="AB81" s="1249"/>
      <c r="AC81" s="1249"/>
      <c r="AD81" s="1249"/>
      <c r="AE81" s="1249"/>
      <c r="AF81" s="1249"/>
      <c r="AG81" s="1249"/>
      <c r="AH81" s="1249"/>
      <c r="AI81" s="1249"/>
      <c r="AJ81" s="1249"/>
      <c r="AK81" s="1249"/>
      <c r="AL81" s="1249"/>
      <c r="AM81" s="1249"/>
      <c r="AN81" s="1249"/>
      <c r="AO81" s="1249"/>
      <c r="AP81" s="1249"/>
      <c r="AQ81" s="1249"/>
      <c r="AR81" s="1249"/>
      <c r="AS81" s="1249"/>
      <c r="AT81" s="1249"/>
      <c r="AU81" s="1249"/>
      <c r="AV81" s="1249"/>
      <c r="AW81" s="1249"/>
      <c r="AX81" s="1249"/>
      <c r="AY81" s="1249"/>
      <c r="AZ81" s="1249"/>
    </row>
    <row r="82" spans="1:54">
      <c r="A82" s="124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41"/>
      <c r="C82" s="1241"/>
      <c r="D82" s="1241"/>
      <c r="E82" s="1241"/>
      <c r="F82" s="1241"/>
      <c r="G82" s="1241"/>
      <c r="H82" s="1241"/>
      <c r="I82" s="1241"/>
      <c r="J82" s="1241"/>
      <c r="K82" s="1241"/>
      <c r="L82" s="1241"/>
      <c r="M82" s="1241"/>
      <c r="N82" s="1241"/>
      <c r="O82" s="1241"/>
      <c r="P82" s="1241"/>
      <c r="Q82" s="1241"/>
      <c r="R82" s="1241"/>
      <c r="S82" s="1241"/>
      <c r="T82" s="1241"/>
      <c r="U82" s="1241"/>
      <c r="V82" s="1241"/>
      <c r="W82" s="1241"/>
      <c r="X82" s="1241"/>
      <c r="Y82" s="1241"/>
      <c r="Z82" s="1241"/>
      <c r="AA82" s="1241"/>
      <c r="AB82" s="1241"/>
      <c r="AC82" s="1241"/>
      <c r="AD82" s="1241"/>
      <c r="AE82" s="1241"/>
      <c r="AF82" s="1241"/>
      <c r="AG82" s="1241"/>
      <c r="AH82" s="1241"/>
      <c r="AI82" s="1241"/>
      <c r="AJ82" s="1241"/>
      <c r="AK82" s="1241"/>
      <c r="AL82" s="1241"/>
      <c r="AM82" s="1241"/>
      <c r="AN82" s="1241"/>
      <c r="AO82" s="1241"/>
      <c r="AP82" s="1241"/>
      <c r="AQ82" s="1241"/>
      <c r="AR82" s="1241"/>
      <c r="AS82" s="1241"/>
      <c r="AT82" s="1241"/>
      <c r="AU82" s="1241"/>
      <c r="AV82" s="1241"/>
      <c r="AW82" s="1241"/>
      <c r="AX82" s="1241"/>
      <c r="AY82" s="1241"/>
      <c r="AZ82" s="1241"/>
    </row>
    <row r="83" spans="1:54" s="127" customFormat="1" ht="10.5" customHeight="1">
      <c r="A83" s="1239" t="s">
        <v>541</v>
      </c>
      <c r="B83" s="1239"/>
      <c r="C83" s="1239"/>
      <c r="D83" s="1239"/>
      <c r="E83" s="1239"/>
      <c r="F83" s="1239"/>
      <c r="G83" s="1239"/>
      <c r="H83" s="1239"/>
      <c r="I83" s="1239"/>
      <c r="J83" s="1239"/>
      <c r="K83" s="1239"/>
      <c r="L83" s="1239"/>
      <c r="M83" s="1239"/>
      <c r="N83" s="1239"/>
      <c r="O83" s="1239"/>
      <c r="P83" s="1239"/>
      <c r="Q83" s="1239"/>
      <c r="R83" s="1239"/>
      <c r="S83" s="1239"/>
      <c r="T83" s="1239"/>
      <c r="U83" s="1239"/>
      <c r="V83" s="1239"/>
      <c r="W83" s="1239"/>
      <c r="X83" s="1239"/>
      <c r="Y83" s="1239"/>
      <c r="Z83" s="1239"/>
      <c r="AA83" s="1239"/>
      <c r="AB83" s="1239"/>
      <c r="AC83" s="1239"/>
      <c r="AD83" s="1239"/>
      <c r="AE83" s="1239"/>
      <c r="AF83" s="1239"/>
      <c r="AG83" s="1239"/>
      <c r="AH83" s="1239"/>
      <c r="AI83" s="1239"/>
      <c r="AJ83" s="1239"/>
      <c r="AK83" s="1239"/>
      <c r="AL83" s="1239"/>
      <c r="AM83" s="1239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</row>
    <row r="84" spans="1:54" ht="12" customHeight="1">
      <c r="A84" s="1235" t="s">
        <v>384</v>
      </c>
      <c r="B84" s="1235"/>
      <c r="C84" s="1235"/>
      <c r="D84" s="1235"/>
      <c r="E84" s="1235"/>
      <c r="F84" s="1235"/>
      <c r="G84" s="1235"/>
      <c r="H84" s="1235"/>
      <c r="I84" s="1235"/>
      <c r="J84" s="1235"/>
      <c r="K84" s="1235"/>
      <c r="L84" s="1235"/>
      <c r="M84" s="1235"/>
      <c r="N84" s="1235"/>
      <c r="O84" s="1235"/>
      <c r="P84" s="1235"/>
      <c r="Q84" s="1235"/>
      <c r="R84" s="1235"/>
      <c r="S84" s="1235"/>
      <c r="T84" s="1235"/>
      <c r="U84" s="1235"/>
      <c r="V84" s="1235"/>
      <c r="W84" s="1235"/>
      <c r="X84" s="1235"/>
      <c r="Y84" s="1235"/>
      <c r="Z84" s="1235"/>
      <c r="AA84" s="1235"/>
      <c r="AB84" s="1235"/>
      <c r="AC84" s="1235"/>
      <c r="AD84" s="1235"/>
      <c r="AE84" s="1235"/>
      <c r="AF84" s="1235"/>
      <c r="AG84" s="1235"/>
      <c r="AH84" s="1235"/>
      <c r="AI84" s="1235"/>
      <c r="AJ84" s="1235"/>
      <c r="AK84" s="1235"/>
      <c r="AL84" s="1235"/>
      <c r="AM84" s="1235"/>
      <c r="AN84" s="1235"/>
      <c r="AO84" s="1235"/>
      <c r="AP84" s="1235"/>
      <c r="AQ84" s="1235"/>
      <c r="AR84" s="1235"/>
      <c r="AS84" s="1235"/>
      <c r="AT84" s="1235"/>
      <c r="AU84" s="1235"/>
      <c r="AV84" s="1235"/>
      <c r="AW84" s="1235"/>
      <c r="AX84" s="1235"/>
      <c r="AY84" s="1235"/>
      <c r="AZ84" s="1235"/>
      <c r="BA84" s="31"/>
    </row>
    <row r="85" spans="1:54" ht="12" customHeight="1">
      <c r="A85" s="1235" t="s">
        <v>385</v>
      </c>
      <c r="B85" s="1235"/>
      <c r="C85" s="1235"/>
      <c r="D85" s="1235"/>
      <c r="E85" s="1235"/>
      <c r="F85" s="1235"/>
      <c r="G85" s="1235"/>
      <c r="H85" s="1235"/>
      <c r="I85" s="1235"/>
      <c r="J85" s="1235"/>
      <c r="K85" s="1235"/>
      <c r="L85" s="1235"/>
      <c r="M85" s="1235"/>
      <c r="N85" s="1235"/>
      <c r="O85" s="1235"/>
      <c r="P85" s="1235"/>
      <c r="Q85" s="1235"/>
      <c r="R85" s="1235"/>
      <c r="S85" s="1235"/>
      <c r="T85" s="1235"/>
      <c r="U85" s="1235"/>
      <c r="V85" s="1235"/>
      <c r="W85" s="1235"/>
      <c r="X85" s="1235"/>
      <c r="Y85" s="1235"/>
      <c r="Z85" s="1235"/>
      <c r="AA85" s="1235"/>
      <c r="AB85" s="1235"/>
      <c r="AC85" s="1235"/>
      <c r="AD85" s="1235"/>
      <c r="AE85" s="1235"/>
      <c r="AF85" s="1231" t="s">
        <v>386</v>
      </c>
      <c r="AG85" s="1231"/>
      <c r="AH85" s="1231"/>
      <c r="AI85" s="1231"/>
      <c r="AJ85" s="1231"/>
      <c r="AK85" s="1231"/>
      <c r="AL85" s="1231"/>
      <c r="AM85" s="1231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416" t="s">
        <v>387</v>
      </c>
      <c r="BA85" s="9"/>
    </row>
    <row r="86" spans="1:54" ht="12" customHeight="1">
      <c r="A86" s="1235" t="s">
        <v>542</v>
      </c>
      <c r="B86" s="1235"/>
      <c r="C86" s="1235"/>
      <c r="D86" s="1235"/>
      <c r="E86" s="1235"/>
      <c r="F86" s="1235"/>
      <c r="G86" s="1235"/>
      <c r="H86" s="1235"/>
      <c r="I86" s="1235"/>
      <c r="J86" s="1235"/>
      <c r="K86" s="1235"/>
      <c r="L86" s="1235"/>
      <c r="M86" s="1235"/>
      <c r="N86" s="1235"/>
      <c r="O86" s="1235"/>
      <c r="P86" s="1235"/>
      <c r="Q86" s="1235"/>
      <c r="R86" s="1235"/>
      <c r="S86" s="1235"/>
      <c r="T86" s="1235"/>
      <c r="U86" s="1235"/>
      <c r="V86" s="1235"/>
      <c r="W86" s="1235"/>
      <c r="X86" s="1235"/>
      <c r="Y86" s="1235"/>
      <c r="Z86" s="1235"/>
      <c r="AA86" s="1235"/>
      <c r="AB86" s="1235"/>
      <c r="AC86" s="1235"/>
      <c r="AD86" s="1235"/>
      <c r="AE86" s="1235"/>
      <c r="AF86" s="1235"/>
      <c r="AG86" s="1235"/>
      <c r="AH86" s="1235"/>
      <c r="AI86" s="1235"/>
      <c r="AJ86" s="1235"/>
      <c r="AK86" s="1235"/>
      <c r="AL86" s="1235"/>
      <c r="AM86" s="1235"/>
      <c r="AN86" s="1235"/>
      <c r="AO86" s="1235"/>
      <c r="AP86" s="1235"/>
      <c r="AQ86" s="1235"/>
      <c r="AR86" s="1235"/>
      <c r="AS86" s="1235"/>
      <c r="AT86" s="1230"/>
      <c r="AU86" s="1230"/>
      <c r="AV86" s="1230"/>
      <c r="AW86" s="1230"/>
      <c r="AX86" s="1230"/>
      <c r="AY86" s="418" t="s">
        <v>388</v>
      </c>
      <c r="AZ86" s="418"/>
      <c r="BA86" s="9"/>
    </row>
    <row r="87" spans="1:54" ht="12" customHeight="1">
      <c r="A87" s="1235" t="s">
        <v>543</v>
      </c>
      <c r="B87" s="1235"/>
      <c r="C87" s="1235"/>
      <c r="D87" s="1235"/>
      <c r="E87" s="1235"/>
      <c r="F87" s="1235"/>
      <c r="G87" s="1235"/>
      <c r="H87" s="1235"/>
      <c r="I87" s="1235"/>
      <c r="J87" s="1235"/>
      <c r="K87" s="1235"/>
      <c r="L87" s="1235"/>
      <c r="M87" s="1235"/>
      <c r="N87" s="1235"/>
      <c r="O87" s="1235"/>
      <c r="P87" s="1235"/>
      <c r="Q87" s="1235"/>
      <c r="R87" s="1235"/>
      <c r="S87" s="1235"/>
      <c r="T87" s="1235"/>
      <c r="U87" s="1235"/>
      <c r="V87" s="1235"/>
      <c r="W87" s="1235"/>
      <c r="X87" s="1235"/>
      <c r="Y87" s="1235"/>
      <c r="Z87" s="1235"/>
      <c r="AA87" s="1235"/>
      <c r="AB87" s="1235"/>
      <c r="AC87" s="1235"/>
      <c r="AD87" s="1235"/>
      <c r="AE87" s="1235"/>
      <c r="AF87" s="1235"/>
      <c r="AG87" s="1235"/>
      <c r="AH87" s="1235"/>
      <c r="AI87" s="1235"/>
      <c r="AJ87" s="1235"/>
      <c r="AK87" s="1235"/>
      <c r="AL87" s="1235"/>
      <c r="AM87" s="1235"/>
      <c r="AN87" s="1235"/>
      <c r="AO87" s="1235"/>
      <c r="AP87" s="1235"/>
      <c r="AQ87" s="1235"/>
      <c r="AR87" s="1235"/>
      <c r="AS87" s="1235"/>
      <c r="AT87" s="1235"/>
      <c r="AU87" s="1235"/>
      <c r="AV87" s="1235"/>
      <c r="AW87" s="1235"/>
      <c r="AX87" s="1235"/>
      <c r="AY87" s="1235"/>
      <c r="AZ87" s="1235"/>
      <c r="BA87" s="9"/>
    </row>
    <row r="88" spans="1:54" ht="12" customHeight="1">
      <c r="A88" s="1235" t="s">
        <v>544</v>
      </c>
      <c r="B88" s="1235"/>
      <c r="C88" s="1235"/>
      <c r="D88" s="1235"/>
      <c r="E88" s="1235"/>
      <c r="F88" s="1235"/>
      <c r="G88" s="1235"/>
      <c r="H88" s="1235"/>
      <c r="I88" s="1235"/>
      <c r="J88" s="1235"/>
      <c r="K88" s="1235"/>
      <c r="L88" s="1235"/>
      <c r="M88" s="1235"/>
      <c r="N88" s="1235"/>
      <c r="O88" s="1235"/>
      <c r="P88" s="1235"/>
      <c r="Q88" s="1235"/>
      <c r="R88" s="1235"/>
      <c r="S88" s="1235"/>
      <c r="T88" s="1235"/>
      <c r="U88" s="1235"/>
      <c r="V88" s="1235"/>
      <c r="W88" s="1235"/>
      <c r="X88" s="1235"/>
      <c r="Y88" s="1235"/>
      <c r="Z88" s="1235"/>
      <c r="AA88" s="1235"/>
      <c r="AB88" s="1235"/>
      <c r="AC88" s="1235"/>
      <c r="AD88" s="1235"/>
      <c r="AE88" s="1235"/>
      <c r="AF88" s="1235"/>
      <c r="AG88" s="1235"/>
      <c r="AH88" s="1235"/>
      <c r="AI88" s="1235"/>
      <c r="AJ88" s="1235"/>
      <c r="AK88" s="1235"/>
      <c r="AL88" s="1235"/>
      <c r="AM88" s="1235"/>
      <c r="AN88" s="1235"/>
      <c r="AO88" s="1235"/>
      <c r="AP88" s="1235"/>
      <c r="AQ88" s="1235"/>
      <c r="AR88" s="1235"/>
      <c r="AS88" s="1235"/>
      <c r="AT88" s="1235"/>
      <c r="AU88" s="1235"/>
      <c r="AV88" s="1235"/>
      <c r="AW88" s="1235"/>
      <c r="AX88" s="1235"/>
      <c r="AY88" s="1235"/>
      <c r="AZ88" s="1235"/>
      <c r="BA88" s="9"/>
    </row>
    <row r="89" spans="1:54" ht="12" customHeight="1">
      <c r="A89" s="1231"/>
      <c r="B89" s="1231"/>
      <c r="C89" s="1231"/>
      <c r="D89" s="1231"/>
      <c r="E89" s="1231"/>
      <c r="F89" s="1231"/>
      <c r="G89" s="1231"/>
      <c r="H89" s="1231"/>
      <c r="I89" s="1231"/>
      <c r="J89" s="1231"/>
      <c r="K89" s="1231"/>
      <c r="L89" s="1231"/>
      <c r="M89" s="1231"/>
      <c r="N89" s="1231"/>
      <c r="O89" s="1231"/>
      <c r="P89" s="1231"/>
      <c r="Q89" s="1231"/>
      <c r="R89" s="1231"/>
      <c r="S89" s="1231"/>
      <c r="T89" s="1231"/>
      <c r="U89" s="1231"/>
      <c r="V89" s="1231"/>
      <c r="W89" s="1231"/>
      <c r="X89" s="1231"/>
      <c r="Y89" s="1231"/>
      <c r="Z89" s="1231"/>
      <c r="AA89" s="1231"/>
      <c r="AB89" s="1231"/>
      <c r="AC89" s="1231"/>
      <c r="AD89" s="1231"/>
      <c r="AE89" s="1231"/>
      <c r="AF89" s="1231"/>
      <c r="AG89" s="1231"/>
      <c r="AH89" s="1231"/>
      <c r="AI89" s="1231"/>
      <c r="AJ89" s="1231"/>
      <c r="AK89" s="1231"/>
      <c r="AL89" s="1231"/>
      <c r="AM89" s="1231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9"/>
    </row>
    <row r="90" spans="1:54" ht="12" customHeight="1">
      <c r="A90" s="1232" t="s">
        <v>545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1232"/>
      <c r="AA90" s="1232"/>
      <c r="AB90" s="1232"/>
      <c r="AC90" s="1232"/>
      <c r="AD90" s="1232"/>
      <c r="AE90" s="1232"/>
      <c r="AF90" s="1232"/>
      <c r="AG90" s="1232"/>
      <c r="AH90" s="1232"/>
      <c r="AI90" s="1232"/>
      <c r="AJ90" s="1232"/>
      <c r="AK90" s="1232"/>
      <c r="AL90" s="1232"/>
      <c r="AM90" s="1232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9"/>
    </row>
    <row r="91" spans="1:54" ht="12" customHeight="1">
      <c r="A91" s="1228" t="str">
        <f ca="1">INDIRECT("'АКТЫ скрытых работ'!R"&amp;BE3&amp;"C13",0)</f>
        <v xml:space="preserve"> -</v>
      </c>
      <c r="B91" s="1228"/>
      <c r="C91" s="1228"/>
      <c r="D91" s="1228"/>
      <c r="E91" s="1228"/>
      <c r="F91" s="1228"/>
      <c r="G91" s="1228"/>
      <c r="H91" s="1228"/>
      <c r="I91" s="1228"/>
      <c r="J91" s="1228"/>
      <c r="K91" s="1228"/>
      <c r="L91" s="1228"/>
      <c r="M91" s="1228"/>
      <c r="N91" s="1228"/>
      <c r="O91" s="1228"/>
      <c r="P91" s="1228"/>
      <c r="Q91" s="1228"/>
      <c r="R91" s="1228"/>
      <c r="S91" s="1228"/>
      <c r="T91" s="1228"/>
      <c r="U91" s="1228"/>
      <c r="V91" s="1228"/>
      <c r="W91" s="1228"/>
      <c r="X91" s="1228"/>
      <c r="Y91" s="1228"/>
      <c r="Z91" s="1228"/>
      <c r="AA91" s="1228"/>
      <c r="AB91" s="1228"/>
      <c r="AC91" s="1228"/>
      <c r="AD91" s="1228"/>
      <c r="AE91" s="1228"/>
      <c r="AF91" s="1228"/>
      <c r="AG91" s="1228"/>
      <c r="AH91" s="1228"/>
      <c r="AI91" s="1228"/>
      <c r="AJ91" s="1228"/>
      <c r="AK91" s="1228"/>
      <c r="AL91" s="1228"/>
      <c r="AM91" s="1228"/>
      <c r="AN91" s="1228"/>
      <c r="AO91" s="1228"/>
      <c r="AP91" s="1228"/>
      <c r="AQ91" s="1228"/>
      <c r="AR91" s="1228"/>
      <c r="AS91" s="1228"/>
      <c r="AT91" s="1228"/>
      <c r="AU91" s="1228"/>
      <c r="AV91" s="1228"/>
      <c r="AW91" s="1228"/>
      <c r="AX91" s="1228"/>
      <c r="AY91" s="1228"/>
      <c r="AZ91" s="1228"/>
      <c r="BA91" s="9"/>
    </row>
    <row r="92" spans="1:54" s="127" customFormat="1" ht="8.25" customHeight="1">
      <c r="A92" s="1229" t="s">
        <v>389</v>
      </c>
      <c r="B92" s="1229"/>
      <c r="C92" s="1229"/>
      <c r="D92" s="1229"/>
      <c r="E92" s="1229"/>
      <c r="F92" s="1229"/>
      <c r="G92" s="1229"/>
      <c r="H92" s="1229"/>
      <c r="I92" s="1229"/>
      <c r="J92" s="1229"/>
      <c r="K92" s="1229"/>
      <c r="L92" s="1229"/>
      <c r="M92" s="1229"/>
      <c r="N92" s="1229"/>
      <c r="O92" s="1229"/>
      <c r="P92" s="1229"/>
      <c r="Q92" s="1229"/>
      <c r="R92" s="1229"/>
      <c r="S92" s="1229"/>
      <c r="T92" s="1229"/>
      <c r="U92" s="1229"/>
      <c r="V92" s="1229"/>
      <c r="W92" s="1229"/>
      <c r="X92" s="1229"/>
      <c r="Y92" s="1229"/>
      <c r="Z92" s="1229"/>
      <c r="AA92" s="1229"/>
      <c r="AB92" s="1229"/>
      <c r="AC92" s="1229"/>
      <c r="AD92" s="1229"/>
      <c r="AE92" s="1229"/>
      <c r="AF92" s="1229"/>
      <c r="AG92" s="1229"/>
      <c r="AH92" s="1229"/>
      <c r="AI92" s="1229"/>
      <c r="AJ92" s="1229"/>
      <c r="AK92" s="1229"/>
      <c r="AL92" s="1229"/>
      <c r="AM92" s="1229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37"/>
    </row>
    <row r="93" spans="1:54" s="138" customFormat="1" ht="12" customHeight="1">
      <c r="A93" s="1233" t="s">
        <v>86</v>
      </c>
      <c r="B93" s="1233"/>
      <c r="C93" s="1233"/>
      <c r="D93" s="1233"/>
      <c r="E93" s="1233"/>
      <c r="F93" s="1233"/>
      <c r="G93" s="1233"/>
      <c r="H93" s="1233"/>
      <c r="I93" s="1233"/>
      <c r="J93" s="1233"/>
      <c r="K93" s="1233"/>
      <c r="L93" s="1233"/>
      <c r="M93" s="1233"/>
      <c r="N93" s="1233"/>
      <c r="O93" s="1233"/>
      <c r="P93" s="1234" t="s">
        <v>65</v>
      </c>
      <c r="Q93" s="1234"/>
      <c r="R93" s="1234"/>
      <c r="S93" s="1234"/>
      <c r="T93" s="1234"/>
      <c r="U93" s="1234"/>
      <c r="V93" s="1234"/>
      <c r="W93" s="1234"/>
      <c r="X93" s="1234"/>
      <c r="Y93" s="1234"/>
      <c r="Z93" s="1234"/>
      <c r="AA93" s="1234"/>
      <c r="AB93" s="1234"/>
      <c r="AC93" s="1234"/>
      <c r="AD93" s="1234"/>
      <c r="AE93" s="1234"/>
      <c r="AF93" s="1234"/>
      <c r="AG93" s="1234"/>
      <c r="AH93" s="1234"/>
      <c r="AI93" s="1234"/>
      <c r="AJ93" s="1234"/>
      <c r="AK93" s="1234"/>
      <c r="AL93" s="1234"/>
      <c r="AM93" s="1234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</row>
    <row r="94" spans="1:54" ht="12" customHeight="1">
      <c r="A94" s="416" t="s">
        <v>90</v>
      </c>
      <c r="J94" s="1228">
        <f>ФОРМА!F5</f>
        <v>2</v>
      </c>
      <c r="K94" s="1228"/>
      <c r="L94" s="1228"/>
      <c r="M94" s="419"/>
      <c r="N94" s="416" t="s">
        <v>91</v>
      </c>
      <c r="O94" s="419"/>
      <c r="R94" s="416"/>
    </row>
    <row r="95" spans="1:54" ht="35.25" customHeight="1">
      <c r="A95" s="1235" t="s">
        <v>87</v>
      </c>
      <c r="B95" s="1235"/>
      <c r="C95" s="1235"/>
      <c r="D95" s="1235"/>
      <c r="E95" s="1235"/>
      <c r="F95" s="1235"/>
      <c r="G95" s="1235"/>
      <c r="H95" s="1236" t="str">
        <f ca="1">CONCATENATE(INDIRECT("'АКТЫ скрытых работ'!R"&amp;BE3&amp;"C11",0),", ",INDIRECT("'АКТЫ скрытых работ'!R"&amp;BE3&amp;"C14",0))</f>
        <v>Исполнительная схема №1 Монтаж контура заземления КК-0,4кВ, -</v>
      </c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1236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</row>
    <row r="96" spans="1:54" ht="24" customHeight="1">
      <c r="A96" s="1227" t="s">
        <v>546</v>
      </c>
      <c r="B96" s="1227"/>
      <c r="C96" s="1227"/>
      <c r="D96" s="1227"/>
      <c r="E96" s="1227"/>
      <c r="F96" s="1227"/>
      <c r="G96" s="1227"/>
      <c r="H96" s="1227"/>
      <c r="I96" s="1227"/>
      <c r="J96" s="1227"/>
      <c r="K96" s="1227"/>
      <c r="L96" s="1227"/>
      <c r="M96" s="1227"/>
      <c r="N96" s="1227"/>
      <c r="O96" s="1227"/>
      <c r="P96" s="1227"/>
      <c r="Q96" s="1227"/>
      <c r="R96" s="1227"/>
      <c r="S96" s="1227"/>
      <c r="T96" s="1227"/>
      <c r="U96" s="1227"/>
      <c r="V96" s="1227"/>
      <c r="W96" s="1227"/>
      <c r="X96" s="1227"/>
      <c r="Y96" s="1227"/>
      <c r="Z96" s="1227"/>
      <c r="AA96" s="1227"/>
      <c r="AB96" s="1227"/>
      <c r="AC96" s="1227"/>
      <c r="AD96" s="1227"/>
      <c r="AE96" s="1227"/>
      <c r="AF96" s="1227"/>
      <c r="AG96" s="1227"/>
      <c r="AH96" s="1227"/>
      <c r="AI96" s="1227"/>
      <c r="AJ96" s="1227"/>
      <c r="AK96" s="1227"/>
      <c r="AL96" s="1227"/>
      <c r="AM96" s="1227"/>
      <c r="AN96" s="1227"/>
      <c r="AO96" s="1227"/>
      <c r="AP96" s="1227"/>
      <c r="AQ96" s="1227"/>
      <c r="AR96" s="1227"/>
      <c r="AS96" s="1227"/>
      <c r="AT96" s="1227"/>
      <c r="AU96" s="1227"/>
      <c r="AV96" s="1227"/>
      <c r="AW96" s="1227"/>
      <c r="AX96" s="1227"/>
      <c r="AY96" s="1227"/>
      <c r="AZ96" s="1227"/>
      <c r="BA96" s="420"/>
      <c r="BB96" s="420"/>
    </row>
    <row r="97" spans="1:54" ht="16.5" customHeight="1">
      <c r="A97" s="1090" t="str">
        <f>ПОДПИСИ!D6</f>
        <v>Чечин Д.М.</v>
      </c>
      <c r="B97" s="1090"/>
      <c r="C97" s="1090"/>
      <c r="D97" s="1090"/>
      <c r="E97" s="1090"/>
      <c r="F97" s="1090"/>
      <c r="G97" s="1090"/>
      <c r="H97" s="1090"/>
      <c r="I97" s="1090"/>
      <c r="J97" s="1090"/>
      <c r="K97" s="1090"/>
      <c r="L97" s="1090"/>
      <c r="M97" s="1090"/>
      <c r="N97" s="1090"/>
      <c r="O97" s="1090"/>
      <c r="P97" s="1090"/>
      <c r="Q97" s="1090"/>
      <c r="R97" s="1090"/>
      <c r="S97" s="1090"/>
      <c r="T97" s="1090"/>
      <c r="U97" s="1090"/>
      <c r="V97" s="109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</row>
    <row r="98" spans="1:54" s="494" customFormat="1" ht="6" customHeight="1">
      <c r="A98" s="1226" t="s">
        <v>799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26" t="s">
        <v>49</v>
      </c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</row>
    <row r="99" spans="1:54" s="494" customFormat="1" ht="23.5" customHeight="1">
      <c r="A99" s="1090" t="str">
        <f>IF(ПОДПИСИ!B10="","",ПОДПИСИ!D10)</f>
        <v>Величко А.А.</v>
      </c>
      <c r="B99" s="1090"/>
      <c r="C99" s="1090"/>
      <c r="D99" s="1090"/>
      <c r="E99" s="1090"/>
      <c r="F99" s="1090"/>
      <c r="G99" s="1090"/>
      <c r="H99" s="1090"/>
      <c r="I99" s="1090"/>
      <c r="J99" s="1090"/>
      <c r="K99" s="1090"/>
      <c r="L99" s="1090"/>
      <c r="M99" s="1090"/>
      <c r="N99" s="1090"/>
      <c r="O99" s="1090"/>
      <c r="P99" s="1090"/>
      <c r="Q99" s="1090"/>
      <c r="R99" s="1090"/>
      <c r="S99" s="1090"/>
      <c r="T99" s="1090"/>
      <c r="U99" s="1090"/>
      <c r="V99" s="109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</row>
    <row r="100" spans="1:54" s="494" customFormat="1" ht="6" customHeight="1">
      <c r="A100" s="1226" t="s">
        <v>799</v>
      </c>
      <c r="B100" s="1226"/>
      <c r="C100" s="1226"/>
      <c r="D100" s="1226"/>
      <c r="E100" s="1226"/>
      <c r="F100" s="1226"/>
      <c r="G100" s="1226"/>
      <c r="H100" s="1226"/>
      <c r="I100" s="1226"/>
      <c r="J100" s="1226"/>
      <c r="K100" s="1226"/>
      <c r="L100" s="1226"/>
      <c r="M100" s="1226"/>
      <c r="N100" s="1226"/>
      <c r="O100" s="1226"/>
      <c r="P100" s="1226"/>
      <c r="Q100" s="1226"/>
      <c r="R100" s="1226"/>
      <c r="S100" s="1226"/>
      <c r="T100" s="1226"/>
      <c r="U100" s="1226"/>
      <c r="V100" s="1226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26" t="s">
        <v>49</v>
      </c>
      <c r="AQ100" s="1226"/>
      <c r="AR100" s="1226"/>
      <c r="AS100" s="1226"/>
      <c r="AT100" s="1226"/>
      <c r="AU100" s="1226"/>
      <c r="AV100" s="1226"/>
      <c r="AW100" s="1226"/>
      <c r="AX100" s="1226"/>
      <c r="AY100" s="1226"/>
      <c r="AZ100" s="1226"/>
    </row>
    <row r="101" spans="1:54" ht="15" customHeight="1">
      <c r="A101" s="1227" t="s">
        <v>783</v>
      </c>
      <c r="B101" s="1227"/>
      <c r="C101" s="1227"/>
      <c r="D101" s="1227"/>
      <c r="E101" s="1227"/>
      <c r="F101" s="1227"/>
      <c r="G101" s="1227"/>
      <c r="H101" s="1227"/>
      <c r="I101" s="1227"/>
      <c r="J101" s="1227"/>
      <c r="K101" s="1227"/>
      <c r="L101" s="1227"/>
      <c r="M101" s="1227"/>
      <c r="N101" s="1227"/>
      <c r="O101" s="1227"/>
      <c r="P101" s="1227"/>
      <c r="Q101" s="1227"/>
      <c r="R101" s="1227"/>
      <c r="S101" s="1227"/>
      <c r="T101" s="1227"/>
      <c r="U101" s="1227"/>
      <c r="V101" s="1227"/>
      <c r="W101" s="1227"/>
      <c r="X101" s="1227"/>
      <c r="Y101" s="1227"/>
      <c r="Z101" s="1227"/>
      <c r="AA101" s="1227"/>
      <c r="AB101" s="1227"/>
      <c r="AC101" s="1227"/>
      <c r="AD101" s="1227"/>
      <c r="AE101" s="1227"/>
      <c r="AF101" s="1227"/>
      <c r="AG101" s="1227"/>
      <c r="AH101" s="1227"/>
      <c r="AI101" s="1227"/>
      <c r="AJ101" s="1227"/>
      <c r="AK101" s="1227"/>
      <c r="AL101" s="1227"/>
      <c r="AM101" s="1227"/>
      <c r="AN101" s="1227"/>
      <c r="AO101" s="1227"/>
      <c r="AP101" s="1227"/>
      <c r="AQ101" s="1227"/>
      <c r="AR101" s="1227"/>
      <c r="AS101" s="1227"/>
      <c r="AT101" s="1227"/>
      <c r="AU101" s="1227"/>
      <c r="AV101" s="1227"/>
      <c r="AW101" s="1227"/>
      <c r="AX101" s="1227"/>
      <c r="AY101" s="1227"/>
      <c r="AZ101" s="1227"/>
      <c r="BA101" s="420"/>
      <c r="BB101" s="420"/>
    </row>
    <row r="102" spans="1:54" ht="16.5" customHeight="1">
      <c r="A102" s="1090" t="str">
        <f>ПОДПИСИ!D15</f>
        <v>Матвеев А.С.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  <c r="BA102" s="351"/>
      <c r="BB102" s="351"/>
    </row>
    <row r="103" spans="1:54" s="494" customFormat="1" ht="6" customHeight="1">
      <c r="A103" s="1226" t="s">
        <v>799</v>
      </c>
      <c r="B103" s="1226"/>
      <c r="C103" s="1226"/>
      <c r="D103" s="1226"/>
      <c r="E103" s="1226"/>
      <c r="F103" s="1226"/>
      <c r="G103" s="1226"/>
      <c r="H103" s="1226"/>
      <c r="I103" s="1226"/>
      <c r="J103" s="1226"/>
      <c r="K103" s="1226"/>
      <c r="L103" s="1226"/>
      <c r="M103" s="1226"/>
      <c r="N103" s="1226"/>
      <c r="O103" s="1226"/>
      <c r="P103" s="1226"/>
      <c r="Q103" s="1226"/>
      <c r="R103" s="1226"/>
      <c r="S103" s="1226"/>
      <c r="T103" s="1226"/>
      <c r="U103" s="1226"/>
      <c r="V103" s="1226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26" t="s">
        <v>49</v>
      </c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493"/>
      <c r="BB103" s="493"/>
    </row>
    <row r="104" spans="1:54" ht="25.5" customHeight="1">
      <c r="A104" s="1227" t="s">
        <v>811</v>
      </c>
      <c r="B104" s="1227"/>
      <c r="C104" s="1227"/>
      <c r="D104" s="1227"/>
      <c r="E104" s="1227"/>
      <c r="F104" s="1227"/>
      <c r="G104" s="1227"/>
      <c r="H104" s="1227"/>
      <c r="I104" s="1227"/>
      <c r="J104" s="1227"/>
      <c r="K104" s="1227"/>
      <c r="L104" s="1227"/>
      <c r="M104" s="1227"/>
      <c r="N104" s="1227"/>
      <c r="O104" s="1227"/>
      <c r="P104" s="1227"/>
      <c r="Q104" s="1227"/>
      <c r="R104" s="1227"/>
      <c r="S104" s="1227"/>
      <c r="T104" s="1227"/>
      <c r="U104" s="1227"/>
      <c r="V104" s="1227"/>
      <c r="W104" s="1227"/>
      <c r="X104" s="1227"/>
      <c r="Y104" s="1227"/>
      <c r="Z104" s="1227"/>
      <c r="AA104" s="1227"/>
      <c r="AB104" s="1227"/>
      <c r="AC104" s="1227"/>
      <c r="AD104" s="1227"/>
      <c r="AE104" s="1227"/>
      <c r="AF104" s="1227"/>
      <c r="AG104" s="1227"/>
      <c r="AH104" s="1227"/>
      <c r="AI104" s="1227"/>
      <c r="AJ104" s="1227"/>
      <c r="AK104" s="1227"/>
      <c r="AL104" s="1227"/>
      <c r="AM104" s="1227"/>
      <c r="AN104" s="1227"/>
      <c r="AO104" s="1227"/>
      <c r="AP104" s="1227"/>
      <c r="AQ104" s="1227"/>
      <c r="AR104" s="1227"/>
      <c r="AS104" s="1227"/>
      <c r="AT104" s="1227"/>
      <c r="AU104" s="1227"/>
      <c r="AV104" s="1227"/>
      <c r="AW104" s="1227"/>
      <c r="AX104" s="1227"/>
      <c r="AY104" s="1227"/>
      <c r="AZ104" s="1227"/>
      <c r="BA104" s="420"/>
      <c r="BB104" s="420"/>
    </row>
    <row r="105" spans="1:54" ht="16.5" customHeight="1">
      <c r="A105" s="1090" t="str">
        <f>ПОДПИСИ!D17</f>
        <v>Матвеев А.С.</v>
      </c>
      <c r="B105" s="1090"/>
      <c r="C105" s="1090"/>
      <c r="D105" s="1090"/>
      <c r="E105" s="1090"/>
      <c r="F105" s="1090"/>
      <c r="G105" s="1090"/>
      <c r="H105" s="1090"/>
      <c r="I105" s="1090"/>
      <c r="J105" s="1090"/>
      <c r="K105" s="1090"/>
      <c r="L105" s="1090"/>
      <c r="M105" s="1090"/>
      <c r="N105" s="1090"/>
      <c r="O105" s="1090"/>
      <c r="P105" s="1090"/>
      <c r="Q105" s="1090"/>
      <c r="R105" s="1090"/>
      <c r="S105" s="1090"/>
      <c r="T105" s="1090"/>
      <c r="U105" s="1090"/>
      <c r="V105" s="109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  <c r="BA105" s="351"/>
      <c r="BB105" s="351"/>
    </row>
    <row r="106" spans="1:54" s="494" customFormat="1" ht="6" customHeight="1">
      <c r="A106" s="1226" t="s">
        <v>799</v>
      </c>
      <c r="B106" s="1226"/>
      <c r="C106" s="1226"/>
      <c r="D106" s="1226"/>
      <c r="E106" s="1226"/>
      <c r="F106" s="1226"/>
      <c r="G106" s="1226"/>
      <c r="H106" s="1226"/>
      <c r="I106" s="1226"/>
      <c r="J106" s="1226"/>
      <c r="K106" s="1226"/>
      <c r="L106" s="1226"/>
      <c r="M106" s="1226"/>
      <c r="N106" s="1226"/>
      <c r="O106" s="1226"/>
      <c r="P106" s="1226"/>
      <c r="Q106" s="1226"/>
      <c r="R106" s="1226"/>
      <c r="S106" s="1226"/>
      <c r="T106" s="1226"/>
      <c r="U106" s="1226"/>
      <c r="V106" s="1226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26" t="s">
        <v>49</v>
      </c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493"/>
      <c r="BB106" s="493"/>
    </row>
    <row r="107" spans="1:54" ht="39.75" customHeight="1">
      <c r="A107" s="1227" t="s">
        <v>801</v>
      </c>
      <c r="B107" s="1227"/>
      <c r="C107" s="1227"/>
      <c r="D107" s="1227"/>
      <c r="E107" s="1227"/>
      <c r="F107" s="1227"/>
      <c r="G107" s="1227"/>
      <c r="H107" s="1227"/>
      <c r="I107" s="1227"/>
      <c r="J107" s="1227"/>
      <c r="K107" s="1227"/>
      <c r="L107" s="1227"/>
      <c r="M107" s="1227"/>
      <c r="N107" s="1227"/>
      <c r="O107" s="1227"/>
      <c r="P107" s="1227"/>
      <c r="Q107" s="1227"/>
      <c r="R107" s="1227"/>
      <c r="S107" s="1227"/>
      <c r="T107" s="1227"/>
      <c r="U107" s="1227"/>
      <c r="V107" s="1227"/>
      <c r="W107" s="1227"/>
      <c r="X107" s="1227"/>
      <c r="Y107" s="1227"/>
      <c r="Z107" s="1227"/>
      <c r="AA107" s="1227"/>
      <c r="AB107" s="1227"/>
      <c r="AC107" s="1227"/>
      <c r="AD107" s="1227"/>
      <c r="AE107" s="1227"/>
      <c r="AF107" s="1227"/>
      <c r="AG107" s="1227"/>
      <c r="AH107" s="1227"/>
      <c r="AI107" s="1227"/>
      <c r="AJ107" s="1227"/>
      <c r="AK107" s="1227"/>
      <c r="AL107" s="1227"/>
      <c r="AM107" s="1227"/>
      <c r="AN107" s="1227"/>
      <c r="AO107" s="1227"/>
      <c r="AP107" s="1227"/>
      <c r="AQ107" s="1227"/>
      <c r="AR107" s="1227"/>
      <c r="AS107" s="1227"/>
      <c r="AT107" s="1227"/>
      <c r="AU107" s="1227"/>
      <c r="AV107" s="1227"/>
      <c r="AW107" s="1227"/>
      <c r="AX107" s="1227"/>
      <c r="AY107" s="1227"/>
      <c r="AZ107" s="1227"/>
      <c r="BA107" s="420"/>
      <c r="BB107" s="420"/>
    </row>
    <row r="108" spans="1:54" ht="16.5" customHeight="1">
      <c r="A108" s="1090" t="str">
        <f>ПОДПИСИ!C19</f>
        <v xml:space="preserve"> </v>
      </c>
      <c r="B108" s="1090"/>
      <c r="C108" s="1090"/>
      <c r="D108" s="1090"/>
      <c r="E108" s="1090"/>
      <c r="F108" s="1090"/>
      <c r="G108" s="1090"/>
      <c r="H108" s="1090"/>
      <c r="I108" s="1090"/>
      <c r="J108" s="1090"/>
      <c r="K108" s="1090"/>
      <c r="L108" s="1090"/>
      <c r="M108" s="1090"/>
      <c r="N108" s="1090"/>
      <c r="O108" s="1090"/>
      <c r="P108" s="1090"/>
      <c r="Q108" s="1090"/>
      <c r="R108" s="1090"/>
      <c r="S108" s="1090"/>
      <c r="T108" s="1090"/>
      <c r="U108" s="1090"/>
      <c r="V108" s="109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91"/>
      <c r="AQ108" s="1091"/>
      <c r="AR108" s="1091"/>
      <c r="AS108" s="1091"/>
      <c r="AT108" s="1091"/>
      <c r="AU108" s="1091"/>
      <c r="AV108" s="1091"/>
      <c r="AW108" s="1091"/>
      <c r="AX108" s="1091"/>
      <c r="AY108" s="1091"/>
      <c r="AZ108" s="1091"/>
      <c r="BA108" s="351"/>
      <c r="BB108" s="351"/>
    </row>
    <row r="109" spans="1:54" s="494" customFormat="1" ht="6" customHeight="1">
      <c r="A109" s="1226" t="s">
        <v>799</v>
      </c>
      <c r="B109" s="1226"/>
      <c r="C109" s="1226"/>
      <c r="D109" s="1226"/>
      <c r="E109" s="1226"/>
      <c r="F109" s="1226"/>
      <c r="G109" s="1226"/>
      <c r="H109" s="1226"/>
      <c r="I109" s="1226"/>
      <c r="J109" s="1226"/>
      <c r="K109" s="1226"/>
      <c r="L109" s="1226"/>
      <c r="M109" s="1226"/>
      <c r="N109" s="1226"/>
      <c r="O109" s="1226"/>
      <c r="P109" s="1226"/>
      <c r="Q109" s="1226"/>
      <c r="R109" s="1226"/>
      <c r="S109" s="1226"/>
      <c r="T109" s="1226"/>
      <c r="U109" s="1226"/>
      <c r="V109" s="1226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26" t="s">
        <v>49</v>
      </c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493"/>
      <c r="BB109" s="493"/>
    </row>
    <row r="110" spans="1:54" ht="39.75" customHeight="1">
      <c r="A110" s="1227" t="s">
        <v>972</v>
      </c>
      <c r="B110" s="1227"/>
      <c r="C110" s="1227"/>
      <c r="D110" s="1227"/>
      <c r="E110" s="1227"/>
      <c r="F110" s="1227"/>
      <c r="G110" s="1227"/>
      <c r="H110" s="1227"/>
      <c r="I110" s="1227"/>
      <c r="J110" s="1227"/>
      <c r="K110" s="1227"/>
      <c r="L110" s="1227"/>
      <c r="M110" s="1227"/>
      <c r="N110" s="1227"/>
      <c r="O110" s="1227"/>
      <c r="P110" s="1227"/>
      <c r="Q110" s="1227"/>
      <c r="R110" s="1227"/>
      <c r="S110" s="1227"/>
      <c r="T110" s="1227"/>
      <c r="U110" s="1227"/>
      <c r="V110" s="1227"/>
      <c r="W110" s="1227"/>
      <c r="X110" s="1227"/>
      <c r="Y110" s="1227"/>
      <c r="Z110" s="1227"/>
      <c r="AA110" s="1227"/>
      <c r="AB110" s="1227"/>
      <c r="AC110" s="1227"/>
      <c r="AD110" s="1227"/>
      <c r="AE110" s="1227"/>
      <c r="AF110" s="1227"/>
      <c r="AG110" s="1227"/>
      <c r="AH110" s="1227"/>
      <c r="AI110" s="1227"/>
      <c r="AJ110" s="1227"/>
      <c r="AK110" s="1227"/>
      <c r="AL110" s="1227"/>
      <c r="AM110" s="1227"/>
      <c r="AN110" s="1227"/>
      <c r="AO110" s="1227"/>
      <c r="AP110" s="1227"/>
      <c r="AQ110" s="1227"/>
      <c r="AR110" s="1227"/>
      <c r="AS110" s="1227"/>
      <c r="AT110" s="1227"/>
      <c r="AU110" s="1227"/>
      <c r="AV110" s="1227"/>
      <c r="AW110" s="1227"/>
      <c r="AX110" s="1227"/>
      <c r="AY110" s="1227"/>
      <c r="AZ110" s="1227"/>
      <c r="BA110" s="420"/>
      <c r="BB110" s="420"/>
    </row>
    <row r="111" spans="1:54" ht="16.5" customHeight="1">
      <c r="A111" s="1090" t="str">
        <f>ПОДПИСИ!D12</f>
        <v>Махмадов А.Р.</v>
      </c>
      <c r="B111" s="1090"/>
      <c r="C111" s="1090"/>
      <c r="D111" s="1090"/>
      <c r="E111" s="1090"/>
      <c r="F111" s="1090"/>
      <c r="G111" s="1090"/>
      <c r="H111" s="1090"/>
      <c r="I111" s="1090"/>
      <c r="J111" s="1090"/>
      <c r="K111" s="1090"/>
      <c r="L111" s="1090"/>
      <c r="M111" s="1090"/>
      <c r="N111" s="1090"/>
      <c r="O111" s="1090"/>
      <c r="P111" s="1090"/>
      <c r="Q111" s="1090"/>
      <c r="R111" s="1090"/>
      <c r="S111" s="1090"/>
      <c r="T111" s="1090"/>
      <c r="U111" s="1090"/>
      <c r="V111" s="109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91"/>
      <c r="AQ111" s="1091"/>
      <c r="AR111" s="1091"/>
      <c r="AS111" s="1091"/>
      <c r="AT111" s="1091"/>
      <c r="AU111" s="1091"/>
      <c r="AV111" s="1091"/>
      <c r="AW111" s="1091"/>
      <c r="AX111" s="1091"/>
      <c r="AY111" s="1091"/>
      <c r="AZ111" s="1091"/>
      <c r="BA111" s="351"/>
      <c r="BB111" s="351"/>
    </row>
    <row r="112" spans="1:54" s="494" customFormat="1" ht="6" customHeight="1">
      <c r="A112" s="1226" t="s">
        <v>799</v>
      </c>
      <c r="B112" s="1226"/>
      <c r="C112" s="1226"/>
      <c r="D112" s="1226"/>
      <c r="E112" s="1226"/>
      <c r="F112" s="1226"/>
      <c r="G112" s="1226"/>
      <c r="H112" s="1226"/>
      <c r="I112" s="1226"/>
      <c r="J112" s="1226"/>
      <c r="K112" s="1226"/>
      <c r="L112" s="1226"/>
      <c r="M112" s="1226"/>
      <c r="N112" s="1226"/>
      <c r="O112" s="1226"/>
      <c r="P112" s="1226"/>
      <c r="Q112" s="1226"/>
      <c r="R112" s="1226"/>
      <c r="S112" s="1226"/>
      <c r="T112" s="1226"/>
      <c r="U112" s="1226"/>
      <c r="V112" s="1226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26" t="s">
        <v>49</v>
      </c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493"/>
      <c r="BB112" s="493"/>
    </row>
    <row r="113" spans="1:54" hidden="1">
      <c r="A113" s="1227" t="s">
        <v>530</v>
      </c>
      <c r="B113" s="1227"/>
      <c r="C113" s="1227"/>
      <c r="D113" s="1227"/>
      <c r="E113" s="1227"/>
      <c r="F113" s="1227"/>
      <c r="G113" s="1227"/>
      <c r="H113" s="1227"/>
      <c r="I113" s="1227"/>
      <c r="J113" s="1227"/>
      <c r="K113" s="1227"/>
      <c r="L113" s="1227"/>
      <c r="M113" s="1227"/>
      <c r="N113" s="1227"/>
      <c r="O113" s="1227"/>
      <c r="P113" s="1227"/>
      <c r="Q113" s="1227"/>
      <c r="R113" s="1227"/>
      <c r="S113" s="1227"/>
      <c r="T113" s="1227"/>
      <c r="U113" s="1227"/>
      <c r="V113" s="1227"/>
      <c r="W113" s="1227"/>
      <c r="X113" s="1227"/>
      <c r="Y113" s="1227"/>
      <c r="Z113" s="1227"/>
      <c r="AA113" s="1227"/>
      <c r="AB113" s="1227"/>
      <c r="AC113" s="1227"/>
      <c r="AD113" s="1227"/>
      <c r="AE113" s="1227"/>
      <c r="AF113" s="1227"/>
      <c r="AG113" s="1227"/>
      <c r="AH113" s="1227"/>
      <c r="AI113" s="1227"/>
      <c r="AJ113" s="1227"/>
      <c r="AK113" s="1227"/>
      <c r="AL113" s="1227"/>
      <c r="AM113" s="1227"/>
      <c r="AN113" s="1227"/>
      <c r="AO113" s="1227"/>
      <c r="AP113" s="1227"/>
      <c r="AQ113" s="1227"/>
      <c r="AR113" s="1227"/>
      <c r="AS113" s="1227"/>
      <c r="AT113" s="1227"/>
      <c r="AU113" s="1227"/>
      <c r="AV113" s="1227"/>
      <c r="AW113" s="1227"/>
      <c r="AX113" s="1227"/>
      <c r="AY113" s="1227"/>
      <c r="AZ113" s="1227"/>
      <c r="BA113" s="1227"/>
      <c r="BB113" s="1227"/>
    </row>
    <row r="114" spans="1:54" ht="16.5" hidden="1" customHeight="1">
      <c r="A114" s="1090"/>
      <c r="B114" s="1090"/>
      <c r="C114" s="1090"/>
      <c r="D114" s="1090"/>
      <c r="E114" s="1090"/>
      <c r="F114" s="1090"/>
      <c r="G114" s="1090"/>
      <c r="H114" s="1090"/>
      <c r="I114" s="1090"/>
      <c r="J114" s="1090"/>
      <c r="K114" s="1090"/>
      <c r="L114" s="1090"/>
      <c r="M114" s="1090"/>
      <c r="N114" s="1090"/>
      <c r="O114" s="1090"/>
      <c r="P114" s="1090"/>
      <c r="Q114" s="1090"/>
      <c r="R114" s="1090"/>
      <c r="S114" s="1090"/>
      <c r="T114" s="1090"/>
      <c r="U114" s="1090"/>
      <c r="V114" s="109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91"/>
      <c r="AU114" s="1091"/>
      <c r="AV114" s="1091"/>
      <c r="AW114" s="1091"/>
      <c r="AX114" s="1091"/>
      <c r="AY114" s="1091"/>
      <c r="AZ114" s="1091"/>
      <c r="BA114" s="351"/>
      <c r="BB114" s="351"/>
    </row>
    <row r="115" spans="1:54" s="494" customFormat="1" ht="6" hidden="1" customHeight="1">
      <c r="A115" s="1226" t="s">
        <v>799</v>
      </c>
      <c r="B115" s="1226"/>
      <c r="C115" s="1226"/>
      <c r="D115" s="1226"/>
      <c r="E115" s="1226"/>
      <c r="F115" s="1226"/>
      <c r="G115" s="1226"/>
      <c r="H115" s="1226"/>
      <c r="I115" s="1226"/>
      <c r="J115" s="1226"/>
      <c r="K115" s="1226"/>
      <c r="L115" s="1226"/>
      <c r="M115" s="1226"/>
      <c r="N115" s="1226"/>
      <c r="O115" s="1226"/>
      <c r="P115" s="1226"/>
      <c r="Q115" s="1226"/>
      <c r="R115" s="1226"/>
      <c r="S115" s="1226"/>
      <c r="T115" s="1226"/>
      <c r="U115" s="1226"/>
      <c r="V115" s="1226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26" t="s">
        <v>49</v>
      </c>
      <c r="AU115" s="1226"/>
      <c r="AV115" s="1226"/>
      <c r="AW115" s="1226"/>
      <c r="AX115" s="1226"/>
      <c r="AY115" s="1226"/>
      <c r="AZ115" s="1226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143</vt:i4>
      </vt:variant>
      <vt:variant>
        <vt:lpstr>Именованные диапазоны</vt:lpstr>
      </vt:variant>
      <vt:variant>
        <vt:i4>157</vt:i4>
      </vt:variant>
    </vt:vector>
  </HeadingPairs>
  <TitlesOfParts>
    <vt:vector size="300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Акт дем.оборуд</vt:lpstr>
      <vt:lpstr>Форма 3</vt:lpstr>
      <vt:lpstr>Форма 4</vt:lpstr>
      <vt:lpstr>Форма 5_Обор. (2)</vt:lpstr>
      <vt:lpstr>Форма 5_Мат. (2)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22_ВЛИ-0,4кВ (2)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Форма 24_ТП (2)</vt:lpstr>
      <vt:lpstr>Форма 24_ТП (3)</vt:lpstr>
      <vt:lpstr>Форма 24_ТП (5)</vt:lpstr>
      <vt:lpstr>Форма 24_ТП (6)</vt:lpstr>
      <vt:lpstr>Форма 24_ТП (7)</vt:lpstr>
      <vt:lpstr>Форма 24_ТП (8)</vt:lpstr>
      <vt:lpstr>Форма 24_ТП (4)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проверка швов КТП (2)</vt:lpstr>
      <vt:lpstr>Акт проверка швов КТП (3)</vt:lpstr>
      <vt:lpstr>Акт проверка швов КТП (4)</vt:lpstr>
      <vt:lpstr>Акт проверка швов КТП (5)</vt:lpstr>
      <vt:lpstr>Акт проверка швов КТП (6)</vt:lpstr>
      <vt:lpstr>Акт проверка швов КТП (7)</vt:lpstr>
      <vt:lpstr>Акт проверка швов КТП (8)</vt:lpstr>
      <vt:lpstr>Акт защитного покрытия ВЛ-10кВ</vt:lpstr>
      <vt:lpstr>Акт защитного покрытия ВЛ-0,4кВ</vt:lpstr>
      <vt:lpstr>Акт защитного покрытия КТП</vt:lpstr>
      <vt:lpstr>Акт защитного покрытия КТП (2)</vt:lpstr>
      <vt:lpstr>Акт защитного покрытия КТП  (3)</vt:lpstr>
      <vt:lpstr>Акт защитного покрытия КТП (3)</vt:lpstr>
      <vt:lpstr>Акт защитного покрытия КТП  (4)</vt:lpstr>
      <vt:lpstr>Акт защитного покрытия КТП  (5)</vt:lpstr>
      <vt:lpstr>Акт защитного покрытия КТП  (6)</vt:lpstr>
      <vt:lpstr>Акт защитного покрытия КТП (4)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АОСР 37</vt:lpstr>
      <vt:lpstr>АОСР 38</vt:lpstr>
      <vt:lpstr>АОСР 39</vt:lpstr>
      <vt:lpstr>АОСР 40</vt:lpstr>
      <vt:lpstr>АОСР 41</vt:lpstr>
      <vt:lpstr>АОСР 42</vt:lpstr>
      <vt:lpstr>АОСР 43</vt:lpstr>
      <vt:lpstr>АОСР 44</vt:lpstr>
      <vt:lpstr>АОСР 45</vt:lpstr>
      <vt:lpstr>АОСР 46</vt:lpstr>
      <vt:lpstr>АОСР 47</vt:lpstr>
      <vt:lpstr>АОСР 48</vt:lpstr>
      <vt:lpstr>АОСР 49</vt:lpstr>
      <vt:lpstr>АОСР 50</vt:lpstr>
      <vt:lpstr>АОСР 51</vt:lpstr>
      <vt:lpstr>АОСР 52</vt:lpstr>
      <vt:lpstr>АОСР 53</vt:lpstr>
      <vt:lpstr>АОСР 54</vt:lpstr>
      <vt:lpstr>АОСР 55</vt:lpstr>
      <vt:lpstr>АОСР 56</vt:lpstr>
      <vt:lpstr>АОСР 57</vt:lpstr>
      <vt:lpstr>АОСР 58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 (3)'!Область_печати</vt:lpstr>
      <vt:lpstr>'Акт защитного покрытия КТП  (4)'!Область_печати</vt:lpstr>
      <vt:lpstr>'Акт защитного покрытия КТП  (5)'!Область_печати</vt:lpstr>
      <vt:lpstr>'Акт защитного покрытия КТП  (6)'!Область_печати</vt:lpstr>
      <vt:lpstr>'Акт защитного покрытия КТП (2)'!Область_печати</vt:lpstr>
      <vt:lpstr>'Акт защитного покрытия КТП (3)'!Область_печати</vt:lpstr>
      <vt:lpstr>'Акт защитного покрытия КТП (4)'!Область_печати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проверка швов КТП (3)'!Область_печати</vt:lpstr>
      <vt:lpstr>'Акт проверка швов КТП (4)'!Область_печати</vt:lpstr>
      <vt:lpstr>'Акт проверка швов КТП (5)'!Область_печати</vt:lpstr>
      <vt:lpstr>'Акт проверка швов КТП (6)'!Область_печати</vt:lpstr>
      <vt:lpstr>'Акт проверка швов КТП (7)'!Область_печати</vt:lpstr>
      <vt:lpstr>'Акт проверка швов КТП (8)'!Область_печати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37'!Область_печати</vt:lpstr>
      <vt:lpstr>'АОСР 38'!Область_печати</vt:lpstr>
      <vt:lpstr>'АОСР 39'!Область_печати</vt:lpstr>
      <vt:lpstr>'АОСР 4'!Область_печати</vt:lpstr>
      <vt:lpstr>'АОСР 40'!Область_печати</vt:lpstr>
      <vt:lpstr>'АОСР 41'!Область_печати</vt:lpstr>
      <vt:lpstr>'АОСР 42'!Область_печати</vt:lpstr>
      <vt:lpstr>'АОСР 43'!Область_печати</vt:lpstr>
      <vt:lpstr>'АОСР 44'!Область_печати</vt:lpstr>
      <vt:lpstr>'АОСР 45'!Область_печати</vt:lpstr>
      <vt:lpstr>'АОСР 46'!Область_печати</vt:lpstr>
      <vt:lpstr>'АОСР 47'!Область_печати</vt:lpstr>
      <vt:lpstr>'АОСР 48'!Область_печати</vt:lpstr>
      <vt:lpstr>'АОСР 49'!Область_печати</vt:lpstr>
      <vt:lpstr>'АОСР 5'!Область_печати</vt:lpstr>
      <vt:lpstr>'АОСР 50'!Область_печати</vt:lpstr>
      <vt:lpstr>'АОСР 51'!Область_печати</vt:lpstr>
      <vt:lpstr>'АОСР 52'!Область_печати</vt:lpstr>
      <vt:lpstr>'АОСР 53'!Область_печати</vt:lpstr>
      <vt:lpstr>'АОСР 54'!Область_печати</vt:lpstr>
      <vt:lpstr>'АОСР 55'!Область_печати</vt:lpstr>
      <vt:lpstr>'АОСР 56'!Область_печати</vt:lpstr>
      <vt:lpstr>'АОСР 57'!Область_печати</vt:lpstr>
      <vt:lpstr>'АОСР 58'!Область_печати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22_ВЛИ-0,4кВ (2)'!Область_печати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24_ТП (3)'!Область_печати</vt:lpstr>
      <vt:lpstr>'Форма 24_ТП (4)'!Область_печати</vt:lpstr>
      <vt:lpstr>'Форма 24_ТП (5)'!Область_печати</vt:lpstr>
      <vt:lpstr>'Форма 24_ТП (6)'!Область_печати</vt:lpstr>
      <vt:lpstr>'Форма 24_ТП (7)'!Область_печати</vt:lpstr>
      <vt:lpstr>'Форма 24_ТП (8)'!Область_печати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2024-12-11T19:34:52Z</dcterms:modified>
</cp:coreProperties>
</file>