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ovVU\Downloads\"/>
    </mc:Choice>
  </mc:AlternateContent>
  <xr:revisionPtr revIDLastSave="0" documentId="8_{8CBE02D5-A010-4CFD-93EC-310701C14060}" xr6:coauthVersionLast="47" xr6:coauthVersionMax="47" xr10:uidLastSave="{00000000-0000-0000-0000-000000000000}"/>
  <bookViews>
    <workbookView xWindow="-120" yWindow="-120" windowWidth="29040" windowHeight="15840" xr2:uid="{C6AA4CFB-9844-4F24-A6BF-055F284A2075}"/>
  </bookViews>
  <sheets>
    <sheet name="ВОР" sheetId="1" r:id="rId1"/>
  </sheets>
  <definedNames>
    <definedName name="_xlnm._FilterDatabase" localSheetId="0" hidden="1">ВОР!$A$365:$U$365</definedName>
    <definedName name="dews212" localSheetId="0">#REF!</definedName>
    <definedName name="dews212">#REF!</definedName>
    <definedName name="Excel_BuiltIn_Print_Area_23" localSheetId="0">#REF!</definedName>
    <definedName name="Excel_BuiltIn_Print_Area_23">#REF!</definedName>
    <definedName name="Excel_BuiltIn_Print_Area_24" localSheetId="0">#REF!</definedName>
    <definedName name="Excel_BuiltIn_Print_Area_24">#REF!</definedName>
    <definedName name="Excel_BuiltIn_Print_Area_29" localSheetId="0">#REF!</definedName>
    <definedName name="Excel_BuiltIn_Print_Area_29">#REF!</definedName>
    <definedName name="qawdeds12321" localSheetId="0">#REF!</definedName>
    <definedName name="qawdeds12321">#REF!</definedName>
    <definedName name="а">#REF!</definedName>
    <definedName name="А27">#REF!</definedName>
    <definedName name="авпр45е3" localSheetId="0">#REF!</definedName>
    <definedName name="авпр45е3">#REF!</definedName>
    <definedName name="АОК1" localSheetId="0">#REF!</definedName>
    <definedName name="АОК1">#REF!</definedName>
    <definedName name="АОСР1копия">#REF!</definedName>
    <definedName name="апапап" localSheetId="0">#REF!</definedName>
    <definedName name="апапап">#REF!</definedName>
    <definedName name="АРТ">#REF!</definedName>
    <definedName name="б">#REF!</definedName>
    <definedName name="в">#REF!</definedName>
    <definedName name="ввр">#REF!</definedName>
    <definedName name="вкарка44" localSheetId="0">#REF!</definedName>
    <definedName name="вкарка44">#REF!</definedName>
    <definedName name="выв" localSheetId="0">#REF!</definedName>
    <definedName name="выв">#REF!</definedName>
    <definedName name="вякр">#REF!</definedName>
    <definedName name="г">#REF!</definedName>
    <definedName name="д">#REF!</definedName>
    <definedName name="е">#REF!</definedName>
    <definedName name="ж">#REF!</definedName>
    <definedName name="з">#REF!</definedName>
    <definedName name="и">#REF!</definedName>
    <definedName name="ИмяГенПодряд" localSheetId="0">#REF!</definedName>
    <definedName name="ИмяГенПодряд">#REF!</definedName>
    <definedName name="ИмяЗаказчика" localSheetId="0">#REF!</definedName>
    <definedName name="ИмяЗаказчика">#REF!</definedName>
    <definedName name="йацука2" localSheetId="0">#REF!</definedName>
    <definedName name="йацука2">#REF!</definedName>
    <definedName name="к">#REF!</definedName>
    <definedName name="кувепк443" localSheetId="0">#REF!</definedName>
    <definedName name="кувепк443">#REF!</definedName>
    <definedName name="куе214" localSheetId="0">#REF!</definedName>
    <definedName name="куе214">#REF!</definedName>
    <definedName name="куе5у346" localSheetId="0">#REF!</definedName>
    <definedName name="куе5у346">#REF!</definedName>
    <definedName name="Материалы_для_АОСР" localSheetId="0">#REF!</definedName>
    <definedName name="Материалы_для_АОСР">#REF!</definedName>
    <definedName name="_xlnm.Print_Area" localSheetId="0">ВОР!$A$1:$T$365</definedName>
    <definedName name="оор" localSheetId="0">#REF!</definedName>
    <definedName name="оор">#REF!</definedName>
    <definedName name="Стройка" localSheetId="0">#REF!</definedName>
    <definedName name="Стройка">#REF!</definedName>
    <definedName name="уаывп32ц5" localSheetId="0">#REF!</definedName>
    <definedName name="уаывп32ц5">#REF!</definedName>
    <definedName name="ыпарпмт24" localSheetId="0">#REF!</definedName>
    <definedName name="ыпарпмт2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31" i="1" l="1"/>
  <c r="V292" i="1"/>
  <c r="V293" i="1" s="1"/>
  <c r="U292" i="1"/>
  <c r="R291" i="1"/>
  <c r="R290" i="1"/>
  <c r="R289" i="1"/>
  <c r="X288" i="1"/>
  <c r="X276" i="1"/>
  <c r="Y275" i="1"/>
  <c r="X275" i="1"/>
  <c r="X273" i="1"/>
  <c r="R271" i="1"/>
  <c r="X270" i="1"/>
  <c r="R269" i="1"/>
  <c r="R268" i="1"/>
  <c r="R261" i="1"/>
  <c r="R264" i="1" s="1"/>
  <c r="V259" i="1"/>
  <c r="U259" i="1"/>
  <c r="R259" i="1"/>
  <c r="R258" i="1"/>
  <c r="V256" i="1"/>
  <c r="V257" i="1" s="1"/>
  <c r="U256" i="1"/>
  <c r="U257" i="1" s="1"/>
  <c r="A257" i="1" s="1"/>
  <c r="R254" i="1"/>
  <c r="R248" i="1"/>
  <c r="R228" i="1" s="1"/>
  <c r="X247" i="1"/>
  <c r="V246" i="1"/>
  <c r="U246" i="1"/>
  <c r="A246" i="1" s="1"/>
  <c r="V244" i="1"/>
  <c r="U244" i="1"/>
  <c r="R229" i="1"/>
  <c r="X225" i="1"/>
  <c r="X321" i="1" s="1"/>
  <c r="R328" i="1" s="1"/>
  <c r="R333" i="1" s="1"/>
  <c r="R225" i="1"/>
  <c r="X224" i="1"/>
  <c r="R224" i="1" s="1"/>
  <c r="R204" i="1"/>
  <c r="Y202" i="1"/>
  <c r="R202" i="1"/>
  <c r="X205" i="1" s="1"/>
  <c r="X200" i="1"/>
  <c r="R192" i="1"/>
  <c r="R194" i="1" s="1"/>
  <c r="R191" i="1"/>
  <c r="R190" i="1"/>
  <c r="R189" i="1"/>
  <c r="R183" i="1"/>
  <c r="R184" i="1" s="1"/>
  <c r="R210" i="1" s="1"/>
  <c r="R178" i="1"/>
  <c r="R176" i="1"/>
  <c r="R177" i="1" s="1"/>
  <c r="R168" i="1"/>
  <c r="R166" i="1"/>
  <c r="R165" i="1"/>
  <c r="R164" i="1"/>
  <c r="R163" i="1"/>
  <c r="R148" i="1"/>
  <c r="R133" i="1"/>
  <c r="R132" i="1"/>
  <c r="R131" i="1" s="1"/>
  <c r="R125" i="1"/>
  <c r="X122" i="1"/>
  <c r="R126" i="1" s="1"/>
  <c r="R127" i="1" s="1"/>
  <c r="R92" i="1"/>
  <c r="R91" i="1"/>
  <c r="X90" i="1"/>
  <c r="R90" i="1"/>
  <c r="X89" i="1"/>
  <c r="R84" i="1"/>
  <c r="R69" i="1"/>
  <c r="R68" i="1"/>
  <c r="R59" i="1"/>
  <c r="R58" i="1"/>
  <c r="R57" i="1"/>
  <c r="R56" i="1"/>
  <c r="R55" i="1"/>
  <c r="R71" i="1" s="1"/>
  <c r="R54" i="1"/>
  <c r="R47" i="1"/>
  <c r="R24" i="1" s="1"/>
  <c r="R45" i="1"/>
  <c r="R44" i="1"/>
  <c r="R43" i="1"/>
  <c r="R22" i="1"/>
  <c r="R19" i="1"/>
  <c r="R17" i="1"/>
  <c r="R16" i="1"/>
  <c r="R15" i="1"/>
  <c r="R14" i="1"/>
  <c r="R220" i="1" s="1"/>
  <c r="R122" i="1" l="1"/>
  <c r="R209" i="1"/>
  <c r="R265" i="1"/>
  <c r="R266" i="1" s="1"/>
  <c r="R223" i="1"/>
  <c r="R364" i="1" s="1"/>
  <c r="A256" i="1"/>
  <c r="A292" i="1"/>
  <c r="R61" i="1"/>
  <c r="R77" i="1" s="1"/>
  <c r="R185" i="1"/>
  <c r="R211" i="1" s="1"/>
  <c r="A259" i="1"/>
  <c r="R247" i="1"/>
  <c r="A244" i="1"/>
  <c r="R78" i="1"/>
  <c r="R79" i="1"/>
  <c r="R76" i="1"/>
  <c r="R75" i="1"/>
  <c r="R322" i="1"/>
  <c r="R329" i="1"/>
  <c r="R334" i="1" s="1"/>
  <c r="R336" i="1"/>
  <c r="R335" i="1"/>
  <c r="R62" i="1"/>
  <c r="R64" i="1" s="1"/>
  <c r="R323" i="1"/>
  <c r="R330" i="1"/>
  <c r="R129" i="1"/>
  <c r="R135" i="1"/>
  <c r="R134" i="1" s="1"/>
  <c r="R140" i="1" s="1"/>
  <c r="R203" i="1"/>
  <c r="R262" i="1"/>
  <c r="R278" i="1" s="1"/>
  <c r="U293" i="1"/>
  <c r="A293" i="1" s="1"/>
  <c r="R324" i="1"/>
  <c r="R123" i="1"/>
  <c r="R130" i="1"/>
  <c r="R139" i="1" s="1"/>
  <c r="R144" i="1"/>
  <c r="R263" i="1"/>
  <c r="R279" i="1" s="1"/>
  <c r="R277" i="1"/>
  <c r="R325" i="1"/>
  <c r="R326" i="1" s="1"/>
  <c r="R339" i="1"/>
  <c r="R124" i="1"/>
  <c r="R321" i="1"/>
  <c r="R63" i="1" l="1"/>
  <c r="R65" i="1" s="1"/>
  <c r="R66" i="1" s="1"/>
  <c r="R138" i="1"/>
  <c r="R141" i="1"/>
  <c r="R338" i="1"/>
  <c r="R337" i="1"/>
  <c r="R340" i="1"/>
  <c r="R341" i="1" s="1"/>
  <c r="R143" i="1" l="1"/>
  <c r="R142" i="1"/>
  <c r="R145" i="1"/>
  <c r="R146" i="1" s="1"/>
</calcChain>
</file>

<file path=xl/sharedStrings.xml><?xml version="1.0" encoding="utf-8"?>
<sst xmlns="http://schemas.openxmlformats.org/spreadsheetml/2006/main" count="1253" uniqueCount="637">
  <si>
    <t>(город)</t>
  </si>
  <si>
    <t>(электромонтажная организация)</t>
  </si>
  <si>
    <t>(заказчик)</t>
  </si>
  <si>
    <t>(подразделение)</t>
  </si>
  <si>
    <t>(объект)</t>
  </si>
  <si>
    <t>(участок)</t>
  </si>
  <si>
    <t>(дата)</t>
  </si>
  <si>
    <t>ВЕДОМОСТЬ ОБЪЁМОВ ВЫПОЛНЕННЫХ РАБОТ</t>
  </si>
  <si>
    <t>№ п.п.</t>
  </si>
  <si>
    <t>Наименование работ</t>
  </si>
  <si>
    <t>ед. изм.</t>
  </si>
  <si>
    <t>кол-во</t>
  </si>
  <si>
    <t>ВКЛ-10 кВ ф. 526-406</t>
  </si>
  <si>
    <t>1.</t>
  </si>
  <si>
    <t>Подготовительные работы</t>
  </si>
  <si>
    <t>1.1</t>
  </si>
  <si>
    <t>Геодезическая разбивка трассы (вынос в натуру оси установка створных знаков, из них:</t>
  </si>
  <si>
    <t>км</t>
  </si>
  <si>
    <t>1.2</t>
  </si>
  <si>
    <t xml:space="preserve"> - по ВЛ-10 кВ (80,62+53,72+18,33+11,36+26,46+52,56+ 54,25+55,63+56,72+36,8+39,7+37,17+39,19+10,92)м</t>
  </si>
  <si>
    <t>1.3</t>
  </si>
  <si>
    <t xml:space="preserve"> - по КЛ-10 кВ (21,5+306,5+251,5+85,5+0,90+128,2+0,1+6,7)м</t>
  </si>
  <si>
    <t>1.4</t>
  </si>
  <si>
    <t>Геодезический вынос точек установки опор/стоек</t>
  </si>
  <si>
    <t>шт.</t>
  </si>
  <si>
    <t>1.5</t>
  </si>
  <si>
    <t>Расчистка площадей от кустарника и мелколесья вручную: при густой поросли, в том числе:</t>
  </si>
  <si>
    <t>га</t>
  </si>
  <si>
    <t>0,56</t>
  </si>
  <si>
    <t>1.6</t>
  </si>
  <si>
    <t>- земли муниципальный образований</t>
  </si>
  <si>
    <t>1.7</t>
  </si>
  <si>
    <t>- по землям ГЛФ</t>
  </si>
  <si>
    <t>0</t>
  </si>
  <si>
    <t>2.</t>
  </si>
  <si>
    <t>Рекультивация технический этап</t>
  </si>
  <si>
    <t/>
  </si>
  <si>
    <t>2.1</t>
  </si>
  <si>
    <t>Планировка участка механизированным способом по землям муниципальный образований (1120 м х 5 м – зона производства работ без учета ГНБ)</t>
  </si>
  <si>
    <t>3.</t>
  </si>
  <si>
    <t>Доставка материалов, рабочих и вывоз ТБО</t>
  </si>
  <si>
    <t>3.1</t>
  </si>
  <si>
    <t>Погрузка и разгрузка механизировано при автомобильных перевозках ж/б стоек</t>
  </si>
  <si>
    <t>т</t>
  </si>
  <si>
    <t>3.2</t>
  </si>
  <si>
    <t>Погрузка и разгрузка механизировано при автомобильных перевозках провода кабельно-проводниковой продукции</t>
  </si>
  <si>
    <t>6,221</t>
  </si>
  <si>
    <t>3.3</t>
  </si>
  <si>
    <t>Погрузка и разгрузка механизировано при автомобильных перевозках прочего материала - металла</t>
  </si>
  <si>
    <t>1,334</t>
  </si>
  <si>
    <t>3.4</t>
  </si>
  <si>
    <t>Погрузка и разгрузка вручную при автомобильных перевозках прочего материала – линейная арматура и пр.</t>
  </si>
  <si>
    <t>3.5</t>
  </si>
  <si>
    <t>Погрузка и разгрузка механизировано при автомобильных перевозках оборудования - ОПН, РЛК и пр.</t>
  </si>
  <si>
    <t>0,465</t>
  </si>
  <si>
    <t>3.6</t>
  </si>
  <si>
    <t>Погрузка и разгрузка механизировано при автомобильных перевозках материалов ГНБ</t>
  </si>
  <si>
    <t>3.7</t>
  </si>
  <si>
    <t>Погрузка и разгрузка механизировано при автомобильных перевозках песка</t>
  </si>
  <si>
    <t>1164</t>
  </si>
  <si>
    <t>3.8</t>
  </si>
  <si>
    <t>Перевозка грузов автомобилями-самосвалами 1 класс груза грузоподъемностью 10 т работающими вне карьера на расстояние 65,8 км (от базы до временного склада)</t>
  </si>
  <si>
    <t>364,89</t>
  </si>
  <si>
    <t>3.9</t>
  </si>
  <si>
    <t>Перевозка песка автомобилями-самосвалами грузоподъемностью 10 т на расстояние до 20 км (от карьера песка до места производства работ)</t>
  </si>
  <si>
    <t>3.10</t>
  </si>
  <si>
    <t>Перевозка отходов на полигон ТБО автомобилями самосвалами 1 класс груза грузоподъемностью 10 т работающими вне карьера на расстояние 25,2 км</t>
  </si>
  <si>
    <t>0,072</t>
  </si>
  <si>
    <t>3.11</t>
  </si>
  <si>
    <t>Погрузка и разгрузка вручную при автомобильных перевозках твердых бытовых отходов (бытовой мусор)</t>
  </si>
  <si>
    <t>0,022</t>
  </si>
  <si>
    <t>3.12</t>
  </si>
  <si>
    <t>Погрузка и разгрузка вручную при автомобильных перевозках твердых бытовых отходов (строительный мусор)</t>
  </si>
  <si>
    <t>0,05</t>
  </si>
  <si>
    <t>3.13</t>
  </si>
  <si>
    <t>Доставка рабочих бригадным автомобилем Урал на средневзвешенное расстояние до 10 км.</t>
  </si>
  <si>
    <t>рейс</t>
  </si>
  <si>
    <t>30</t>
  </si>
  <si>
    <t>4.</t>
  </si>
  <si>
    <t>Строительные работы по ВЛЗ 10 кВ на участке от оп. 1 опоры до оп. 13</t>
  </si>
  <si>
    <t>4.1</t>
  </si>
  <si>
    <t>Развозка материалов</t>
  </si>
  <si>
    <t>4.2</t>
  </si>
  <si>
    <t>Развозка конструкций и материалов опор ВЛ 10 кВ по просекам, кустарникам и неглубоким оврагам, трактором на гусеничном ходу с прицепом на средневзвешенное расстояние до 1 км:</t>
  </si>
  <si>
    <t>4.3</t>
  </si>
  <si>
    <t>- конструкций одностоечных опор ВЛ</t>
  </si>
  <si>
    <t>4.4</t>
  </si>
  <si>
    <t>- конструкций двухтоечных опор ВЛ</t>
  </si>
  <si>
    <t>4.5</t>
  </si>
  <si>
    <t>- конструкций трехтоечных опор ВЛ</t>
  </si>
  <si>
    <t>4.6</t>
  </si>
  <si>
    <t>- оснастки одностоечных опор ВЛ</t>
  </si>
  <si>
    <t>4.7</t>
  </si>
  <si>
    <t>- оснастки двухтоечных опор ВЛ</t>
  </si>
  <si>
    <t>4.8</t>
  </si>
  <si>
    <t>- оснастки трехтоечных опор ВЛ</t>
  </si>
  <si>
    <t>4.9</t>
  </si>
  <si>
    <t>- провода СИП-3</t>
  </si>
  <si>
    <t>0,949</t>
  </si>
  <si>
    <t>4.10</t>
  </si>
  <si>
    <t>4.11</t>
  </si>
  <si>
    <t>4,897</t>
  </si>
  <si>
    <t>4.12</t>
  </si>
  <si>
    <t>4.13</t>
  </si>
  <si>
    <t>3,882</t>
  </si>
  <si>
    <t>4.14</t>
  </si>
  <si>
    <t>4.15</t>
  </si>
  <si>
    <t>331,267</t>
  </si>
  <si>
    <t>4.16</t>
  </si>
  <si>
    <t>Установка опор ВЛ</t>
  </si>
  <si>
    <t>4.17</t>
  </si>
  <si>
    <t>Бурение котлована под ж/б стойку на глубину более 2,5 м диаметром 350 мм (0,31 м3 на одну стойку СВ110-3,5)</t>
  </si>
  <si>
    <t>шт./м3</t>
  </si>
  <si>
    <t>4.18</t>
  </si>
  <si>
    <t>Установка с помощью механизмов одностоечных ж/б опор ВЛЗ-10 кВ в сверленные котлованы на глубину 2,5м</t>
  </si>
  <si>
    <t>4.19</t>
  </si>
  <si>
    <t>Установка с помощью механизмов двухстоечных ж/б опор ВЛЗ-10 кВ в сверленные котлованы на глубину 2,5м</t>
  </si>
  <si>
    <t>4.20</t>
  </si>
  <si>
    <t>Установка с помощью механизмов трехстоечных ж/б опор ВЛЗ-10 кВ в сверленные котлованы на глубину 2,5м</t>
  </si>
  <si>
    <t>4.21</t>
  </si>
  <si>
    <t>Обратная засыпка котлованов с послойным трамбованием (0,31 м3 на одну скважину)</t>
  </si>
  <si>
    <t>м3</t>
  </si>
  <si>
    <t>4.22</t>
  </si>
  <si>
    <t>Устройство насыпных банкеток, для укрепления стоек опор, из вынимаемого при бурении котлованов грунта</t>
  </si>
  <si>
    <t>4.23</t>
  </si>
  <si>
    <t>Устройство заземления опор ВЛ</t>
  </si>
  <si>
    <t>4.24</t>
  </si>
  <si>
    <t>Разработка грунта траншеи под заземляющее устройство опоры 10 кВ глубиной 0,7 м без крепления стенок, грунт второй категории, налипающий на инструмент, в том числе:</t>
  </si>
  <si>
    <t>4.25</t>
  </si>
  <si>
    <t>- механизированно (70%)</t>
  </si>
  <si>
    <t>4.26</t>
  </si>
  <si>
    <t>- в ручную (30%)</t>
  </si>
  <si>
    <t>4.27</t>
  </si>
  <si>
    <t>- сухой грунт (70%)</t>
  </si>
  <si>
    <t>4.28</t>
  </si>
  <si>
    <t>- мокрый грунт (30%)</t>
  </si>
  <si>
    <t>4.29</t>
  </si>
  <si>
    <t>Выполнение водоотлива из траншеи (10% от мокрого)</t>
  </si>
  <si>
    <t>4.30</t>
  </si>
  <si>
    <t>Устройство заземления опоры 10 кВ, в том числе:</t>
  </si>
  <si>
    <t>4.31</t>
  </si>
  <si>
    <t>- установка вертикальных электродов длиной L=3,0 м шт./м</t>
  </si>
  <si>
    <t>шт./м</t>
  </si>
  <si>
    <t>4.32</t>
  </si>
  <si>
    <t>- установка горизонтальных электродов (сталь 40х4 мм, заземлитель L=9 м)</t>
  </si>
  <si>
    <t>4.33</t>
  </si>
  <si>
    <t>- устройство вывода заземления электродов (сталь 40х4 мм, L=1,3 м)</t>
  </si>
  <si>
    <t>15/162</t>
  </si>
  <si>
    <t>4.34</t>
  </si>
  <si>
    <t>- сварное соединение вертикальных и горизонтальных электродов, заземляющих спусков и горизонтальных электродов (5 соединений на 1 ЗУ)</t>
  </si>
  <si>
    <t>4.35</t>
  </si>
  <si>
    <t>-монтаж видимых спусков заземления опор, ст.d=10 мм. L=7,8м (+7,8 м дополнительно в местах установки РКЛ и ОПН)</t>
  </si>
  <si>
    <t>21/163,8</t>
  </si>
  <si>
    <t>4.36</t>
  </si>
  <si>
    <t>- Монтаж заземляющего проводника ЗП1</t>
  </si>
  <si>
    <t>м</t>
  </si>
  <si>
    <t>4.37</t>
  </si>
  <si>
    <t>- сварное соединение горизонтальных электродов и выходов заземления опор</t>
  </si>
  <si>
    <t>21</t>
  </si>
  <si>
    <t>4.38</t>
  </si>
  <si>
    <t>- зачистка сварных швов (5 швов и 0,98 м на ЗУ)</t>
  </si>
  <si>
    <t>4.39</t>
  </si>
  <si>
    <t>- покрытие цинкосодержащей краской сварных швов (0,0022 м2 на шов)</t>
  </si>
  <si>
    <t>шт./м2</t>
  </si>
  <si>
    <t>4.40</t>
  </si>
  <si>
    <t>Засыпка траншей, пазух котлованов и ям с послойным трамбованием, группа грунтов 1</t>
  </si>
  <si>
    <t>4.41</t>
  </si>
  <si>
    <t>4.42</t>
  </si>
  <si>
    <t>4.43</t>
  </si>
  <si>
    <t>Монтажные работы по ВЛ</t>
  </si>
  <si>
    <t>4.44</t>
  </si>
  <si>
    <t>Монтаж траверс на высоте более 8 м</t>
  </si>
  <si>
    <t>4.45</t>
  </si>
  <si>
    <t>Монтаж штырьевых изоляторов с колпачками</t>
  </si>
  <si>
    <t>4.46</t>
  </si>
  <si>
    <t>Монтаж зажимов на высоте более 2 м (плашечный CD35, ПС- 2-1)</t>
  </si>
  <si>
    <t>4.47</t>
  </si>
  <si>
    <t>Монтаж информационных знаков на опорах ВЛ на высоте более 2 м</t>
  </si>
  <si>
    <t>4.48</t>
  </si>
  <si>
    <t>Монтаж металлоконструкций защиты кабеля на опоре ВЛ</t>
  </si>
  <si>
    <t>компл./ т</t>
  </si>
  <si>
    <t>3/0,063</t>
  </si>
  <si>
    <t>4.49</t>
  </si>
  <si>
    <t>Монтаж разрядников мультикамерных РМК-20</t>
  </si>
  <si>
    <t>4.50</t>
  </si>
  <si>
    <t>Монтаж ИОР на опорах ВЛ на высоте более 2 м</t>
  </si>
  <si>
    <t>9</t>
  </si>
  <si>
    <t>4.51</t>
  </si>
  <si>
    <t>Монтаж СИП</t>
  </si>
  <si>
    <t>4.52</t>
  </si>
  <si>
    <t>Общая строительная длина ВЛЗ-10 кВ 3хСИП-3 1х120 мм2, из них:</t>
  </si>
  <si>
    <t>м/прол.</t>
  </si>
  <si>
    <t>573/14</t>
  </si>
  <si>
    <t>4.53</t>
  </si>
  <si>
    <t>Проверка изоляции СИП-3 перед монтажем</t>
  </si>
  <si>
    <t>4.54</t>
  </si>
  <si>
    <t>Монтаж провода ВЛЗ-10 кВ СИП3 1х120 мм2 (в три нитки) одноцепной подвеской на участке строительной длиной (без пересечений)</t>
  </si>
  <si>
    <t>4.55</t>
  </si>
  <si>
    <t>Обвязка штырьевых изоляторов спиральной вязкой на высоте более 7 м (2-е вязки на изолятор)</t>
  </si>
  <si>
    <t>4.56</t>
  </si>
  <si>
    <t>Монтаж шинных выводов для подключения кабеля</t>
  </si>
  <si>
    <t>компл.</t>
  </si>
  <si>
    <t>3</t>
  </si>
  <si>
    <t>4.57</t>
  </si>
  <si>
    <t>Монтаж ОПН на опорах ВЛ</t>
  </si>
  <si>
    <t>4.58</t>
  </si>
  <si>
    <t>Монтаж ограничителей перенапряжения ОПН-10 вручную на высоте свыше 7 м, из них:</t>
  </si>
  <si>
    <t>4.59</t>
  </si>
  <si>
    <t>- ОПН при защите кабельных линий</t>
  </si>
  <si>
    <t>4.60</t>
  </si>
  <si>
    <t>Монтаж ошиновки ОПН СИП 1х120 мм2 L=1х1 м</t>
  </si>
  <si>
    <t>4.61</t>
  </si>
  <si>
    <t>Монтаж шинных выводов к ОПН</t>
  </si>
  <si>
    <t>4.62</t>
  </si>
  <si>
    <t>Монтаж разъединителя на опорах ВЛ (РЛК)</t>
  </si>
  <si>
    <t>4.63</t>
  </si>
  <si>
    <t>Сборка металлических конструкций для монтажа разъединителя</t>
  </si>
  <si>
    <t>комп.</t>
  </si>
  <si>
    <t>4.64</t>
  </si>
  <si>
    <t>Установка с помощью механизмов металлических конструкций для монтажа разъединитель (1 комплект/ 72 кг)</t>
  </si>
  <si>
    <t>компл./ кг</t>
  </si>
  <si>
    <t>3/216</t>
  </si>
  <si>
    <t>4.65</t>
  </si>
  <si>
    <t>Установка с помощью механизмов трехполюсных разъединителей с ручным приводом на опорах ВЛЗ-10 кВ монтаж на высоте свыше 2м</t>
  </si>
  <si>
    <t>4.66</t>
  </si>
  <si>
    <t>Монтаж привода разъединителя на опоре ВЛ</t>
  </si>
  <si>
    <t>4.67</t>
  </si>
  <si>
    <t>Монтаж ошиновки разъединителя СИП 1х120 мм2 L=3х3 м</t>
  </si>
  <si>
    <t>4.68</t>
  </si>
  <si>
    <t>Пусконаладочные работы по ВЛЗ 10 кВ</t>
  </si>
  <si>
    <t>4.69</t>
  </si>
  <si>
    <t>Измерение сопротивления растеканию тока контура заземления опоры 10 кВ</t>
  </si>
  <si>
    <t>изм.</t>
  </si>
  <si>
    <t>15</t>
  </si>
  <si>
    <t>4.70</t>
  </si>
  <si>
    <t>Проверка наличия цепи между заземлителями и заземленными элементами (5 точек на ЗУ)</t>
  </si>
  <si>
    <t>точек</t>
  </si>
  <si>
    <t>75</t>
  </si>
  <si>
    <t>4.71</t>
  </si>
  <si>
    <t>Измерение переходного сопротивления заземления опор ВЛ</t>
  </si>
  <si>
    <t>4.72</t>
  </si>
  <si>
    <t>Измерение сопротивления изоляции</t>
  </si>
  <si>
    <t>4.73</t>
  </si>
  <si>
    <t>Проверка фазировки ВЛ</t>
  </si>
  <si>
    <t>4.74</t>
  </si>
  <si>
    <t>Испытания разъединителя в т.ч.:</t>
  </si>
  <si>
    <t>4.75</t>
  </si>
  <si>
    <t>- измерение сопротивления изоляции разъединителя (3 изм. на разъединитель);</t>
  </si>
  <si>
    <t>4.76</t>
  </si>
  <si>
    <t>- высоковольтные испытания разъединителя (3 изм. на разъединитель);</t>
  </si>
  <si>
    <t>4.77</t>
  </si>
  <si>
    <t>- измерение сопротивления контактов заземляющих ножей разъединителя (3 изм. на разъединитель)</t>
  </si>
  <si>
    <t>4.78</t>
  </si>
  <si>
    <t>Испытания ОПН в т.ч.:</t>
  </si>
  <si>
    <t>4.79</t>
  </si>
  <si>
    <t>- измерение сопротивления изоляции ОПН;</t>
  </si>
  <si>
    <t>4.80</t>
  </si>
  <si>
    <t>- измерение тока утечки ОПН.</t>
  </si>
  <si>
    <t>4.81</t>
  </si>
  <si>
    <t>Визуальный осмотр и выставление искрового промежутка разрядников муотиикамерных</t>
  </si>
  <si>
    <t>11</t>
  </si>
  <si>
    <t>4.82</t>
  </si>
  <si>
    <t>Контрольно-исполнительная съемка</t>
  </si>
  <si>
    <t>0,572</t>
  </si>
  <si>
    <t>5.</t>
  </si>
  <si>
    <t>КЛ-10 кВ на участке от ПС-526 до оп. 1, на участке от оп. 14 до КТП-2, на участке от оп. 4.1 до КТП-1</t>
  </si>
  <si>
    <t>5.1</t>
  </si>
  <si>
    <t>Строительные работы</t>
  </si>
  <si>
    <t>Длина</t>
  </si>
  <si>
    <t>5.2</t>
  </si>
  <si>
    <t>Разработка грунта, в траншее, (группа грунта 2, налипающий на инструмент) (траншея сечением (0,4+0,6)/2х0,9 = 0,405 м3) из них:</t>
  </si>
  <si>
    <t>м/м3</t>
  </si>
  <si>
    <t>5.3</t>
  </si>
  <si>
    <t>- механизированно (60%)</t>
  </si>
  <si>
    <t>5.4</t>
  </si>
  <si>
    <t>- в ручную (40%)</t>
  </si>
  <si>
    <t>5.5</t>
  </si>
  <si>
    <t>5.6</t>
  </si>
  <si>
    <t>5.7</t>
  </si>
  <si>
    <t>Водоотлив из траншеи (10% от мокрого грунта)</t>
  </si>
  <si>
    <t>5.8</t>
  </si>
  <si>
    <t>Вскрытие бетонных оснований (разработка бетонных плит толщиной 300 мм шириной 1,0 м длиной траншеи – 52 м) механизировано для прокладки кабеля</t>
  </si>
  <si>
    <t>15,6</t>
  </si>
  <si>
    <t>5.9</t>
  </si>
  <si>
    <t>Устройство песчаной постели h-150 мм (ширина траншеи 0,4 м) (без учета уплотнения)</t>
  </si>
  <si>
    <t>5.10</t>
  </si>
  <si>
    <t>Уплотнение песчаной постели вибротрамбовками на глубину до 150 мм</t>
  </si>
  <si>
    <t>м2</t>
  </si>
  <si>
    <t>5.11</t>
  </si>
  <si>
    <t>Укладка труб в местах пересечения с коммуникациями из них:</t>
  </si>
  <si>
    <t>5.12</t>
  </si>
  <si>
    <t xml:space="preserve"> - рабочих (4,4+8,75+0,85+12,3+2,1+2+9,9+4,5+22,6+47,5)м</t>
  </si>
  <si>
    <t>5.13</t>
  </si>
  <si>
    <t xml:space="preserve"> - резервных (4,4+8,75+0,85+47,5)м</t>
  </si>
  <si>
    <t>5.14</t>
  </si>
  <si>
    <t>Укладка кабеля треугольником (3 нитки) с креплением стяжками в траншее открыто по КЛ-10 кВ (с учетом змейки 2% в траншее)</t>
  </si>
  <si>
    <t>5.15</t>
  </si>
  <si>
    <t>Затягивание кабеля в трубу (3 нитки)</t>
  </si>
  <si>
    <t>5.16</t>
  </si>
  <si>
    <t>Герметизация торцов рабочих труб термоусаживаемыми муфтами (УКПт) (в том числе 2 шт на КТП)</t>
  </si>
  <si>
    <t>5.17</t>
  </si>
  <si>
    <t>Герметизация торцов резервных труб заглушками</t>
  </si>
  <si>
    <t>5.18</t>
  </si>
  <si>
    <t>Устройство засыпки h-150 мм (ширина траншеи 0,4 м) (без учета уплотнения)</t>
  </si>
  <si>
    <t>5.19</t>
  </si>
  <si>
    <t>Уплотнение песчаной засыпки вибротрамбовками на глубину до 150 мм</t>
  </si>
  <si>
    <t>5.20</t>
  </si>
  <si>
    <t>Устройство защиты кабеля плитками ПЗК вдоль кабельной линии</t>
  </si>
  <si>
    <t>шт</t>
  </si>
  <si>
    <t>5.21</t>
  </si>
  <si>
    <t>Обратная засыпка траншеи грунтом из них:</t>
  </si>
  <si>
    <t>5.22</t>
  </si>
  <si>
    <t>5.23</t>
  </si>
  <si>
    <t>5.24</t>
  </si>
  <si>
    <t>Уплотнение обратной засыпки вибротрамбовками на глубину до 200 мм при длине линии 645,5 м</t>
  </si>
  <si>
    <t>5.25</t>
  </si>
  <si>
    <t>Погрузка и разгрузка излишков грунта при автомобильных перевозках механизировано (1 м3/1800 кг)</t>
  </si>
  <si>
    <t>5.26</t>
  </si>
  <si>
    <t>Перевозка отходов IV класса опасности на полигон ТБО автомобилями-самосвалами 1 класс груза грузоподъемностью 10 т работающими вне карьера на расстояние 25,2 км</t>
  </si>
  <si>
    <t>5.27</t>
  </si>
  <si>
    <t>Прокладка кабеля АПвПу2г-10 3х(1х240/70) по металлоконструкциям опор ВЛ (с креплением треугольником 3х10 м) из них:</t>
  </si>
  <si>
    <t>5.28</t>
  </si>
  <si>
    <t>- коробам защитным (3х2,5 м)</t>
  </si>
  <si>
    <t>5.29</t>
  </si>
  <si>
    <t>Прокладка кабеля АПвПу2г-10 3х(1х240/70) по металлоконструкциям КТП (с креплением треугольником 2х5 м) из них:</t>
  </si>
  <si>
    <t>5.30</t>
  </si>
  <si>
    <t>- трубным блокам КТП (2х2 м)</t>
  </si>
  <si>
    <t>4</t>
  </si>
  <si>
    <t>5.31</t>
  </si>
  <si>
    <t>Прокладка кабеля АПвПу2г-10 3х(1х240/70) по металлоконструкциям ПС (с креплением треугольником 15 м)</t>
  </si>
  <si>
    <t>5.32</t>
  </si>
  <si>
    <t>Монтаж концевой муфты наружной установки для одножильных кабелей с изоляцией из сшитого полиэтилена 10кВ на высоте более 3 м (комплект на 3 жилы)</t>
  </si>
  <si>
    <t>компл</t>
  </si>
  <si>
    <t>5.33</t>
  </si>
  <si>
    <t>Монтаж концевой муфты внутренней установки для одножильных кабелей с изоляцией из сшитого полиэтилена 10кВ в ячейках КТП и ПС (комплект на 3 жилы)</t>
  </si>
  <si>
    <t>5.34</t>
  </si>
  <si>
    <t>Монтаж соединительной муфты для одножильных кабелей с изоляцией из сшитого полиэтилена 10кВ на высоте более 3 м (комплект на 1 жилу)</t>
  </si>
  <si>
    <t>5.35</t>
  </si>
  <si>
    <t>Монтаж и опрессовка кабельного наконечника+гильзы на высоте более 3 м (экран кабеля)</t>
  </si>
  <si>
    <t>5.36</t>
  </si>
  <si>
    <t>Подключение жил кабеля к шинным выводам на опоре ВЛ-10 кВ на высоте более 3 метров (1 жила)</t>
  </si>
  <si>
    <t>5.37</t>
  </si>
  <si>
    <t>Подключение жил кабеля к шинным выводам КТП и ПС (1 жила)</t>
  </si>
  <si>
    <t>5.38</t>
  </si>
  <si>
    <t>Монтаж бирок кабельных У-135 (круглая выше 1000В)</t>
  </si>
  <si>
    <t>20</t>
  </si>
  <si>
    <t>5.39</t>
  </si>
  <si>
    <t>Монтаж кабельного указателя по кабельной трассе</t>
  </si>
  <si>
    <t>10</t>
  </si>
  <si>
    <t>6.</t>
  </si>
  <si>
    <t>Строительные и монтажные работы по прокладке КЛ методом ГНБ</t>
  </si>
  <si>
    <t>6.1</t>
  </si>
  <si>
    <t>Пересечение ГНБ Lстр.-1х78 м, Lпрокола – 1х78,9 м</t>
  </si>
  <si>
    <t>6.2</t>
  </si>
  <si>
    <t>Разработка грунта стартового и приемного котлованов (3х2х2 = 12 + 2х2х2 = 8 = 20, грунт второй категории, налипающий на инструмент, в том числе:</t>
  </si>
  <si>
    <t>6.3</t>
  </si>
  <si>
    <t>- механизировано мокрый грунт (70%)</t>
  </si>
  <si>
    <t>6.4</t>
  </si>
  <si>
    <t>6.5</t>
  </si>
  <si>
    <t>6.6</t>
  </si>
  <si>
    <t>6.7</t>
  </si>
  <si>
    <t>Разработка грунта дренажного котлована (2х0,5х0,5 м), грунт второй категории, налипающий на инструмент (1 котлован)</t>
  </si>
  <si>
    <t>0,5</t>
  </si>
  <si>
    <t>6.8</t>
  </si>
  <si>
    <t>Выполнение водоотлива из котлованов (30% от мокрого грунта)</t>
  </si>
  <si>
    <t>6.9</t>
  </si>
  <si>
    <t>Погрузка, разгрузка и доставка на трале установки ГНБ от приобъектного склада до места производства работ на расстояние 1 км</t>
  </si>
  <si>
    <t>5</t>
  </si>
  <si>
    <t>6.10</t>
  </si>
  <si>
    <t>Установка комплекса оборудования для бестраншейной прокладки трубопровода</t>
  </si>
  <si>
    <t>1</t>
  </si>
  <si>
    <t>6.11</t>
  </si>
  <si>
    <t>Горизонтально направленное бурение длиной 82 м с последующей протяжкой труб, в том числе:</t>
  </si>
  <si>
    <t>6.12</t>
  </si>
  <si>
    <t>- пилотное бурение скважины D=105 мм длиной 82 м</t>
  </si>
  <si>
    <t>6.13</t>
  </si>
  <si>
    <t>- расширение пилотной скважины до D=400 мм длиной 82 м</t>
  </si>
  <si>
    <t>6.14</t>
  </si>
  <si>
    <t>Протягивание рабочей и резервной труб 160 мм методом ГНБ (в 1 буровой канал 2 трубы)</t>
  </si>
  <si>
    <t>2/157,8</t>
  </si>
  <si>
    <t>6.15</t>
  </si>
  <si>
    <t>Заполнение скважины ГНБ буровым раствором</t>
  </si>
  <si>
    <t>6.16</t>
  </si>
  <si>
    <t>Доставка воды до места производства работ на расстояние до 5 км</t>
  </si>
  <si>
    <t>6.17</t>
  </si>
  <si>
    <t>Замешивание бурового раствора</t>
  </si>
  <si>
    <t>6.18</t>
  </si>
  <si>
    <t>Протягивание кабеля в ПНД трубу в 3 нитки</t>
  </si>
  <si>
    <t>6.19</t>
  </si>
  <si>
    <t>Герметизация кабельных труб уплотнителем УКПТ-205/55 с двух сторон (1 труба х 2)</t>
  </si>
  <si>
    <t>2</t>
  </si>
  <si>
    <t>6.20</t>
  </si>
  <si>
    <t>Герметизация резервной трубы заглушками (1 труба х 2)</t>
  </si>
  <si>
    <t>6.21</t>
  </si>
  <si>
    <t>Засыпка дренажного котлована (2х0,5х0,5 м), грунт второй категории, налипающий на инструмент</t>
  </si>
  <si>
    <t>6.22</t>
  </si>
  <si>
    <t>Демонтаж комплекса оборудования для бестраншейной прокладки трубопровода</t>
  </si>
  <si>
    <t>6.23</t>
  </si>
  <si>
    <t>Засыпка грунтом стартового и приемного котлованов (3х2х2 = 12 + 2х2х2 = 8 = 40, грунт второй категории, налипающий на инструмент, в том числе:</t>
  </si>
  <si>
    <t>6.24</t>
  </si>
  <si>
    <t>- механизированно мокрый грунт (70%)</t>
  </si>
  <si>
    <t>6.25</t>
  </si>
  <si>
    <t>6.26</t>
  </si>
  <si>
    <t>- уплотнение обратной засыпки стартового и приемного котлована вибротрамбовками на толщину 200 мм (3х2+2х2)</t>
  </si>
  <si>
    <t>6.27</t>
  </si>
  <si>
    <t>Пересечение ГНБ Lстр.-1х67,3 м, Lпрокола – 1х67,8 м</t>
  </si>
  <si>
    <t>6.28</t>
  </si>
  <si>
    <t>6.29</t>
  </si>
  <si>
    <t>6.30</t>
  </si>
  <si>
    <t>6.31</t>
  </si>
  <si>
    <t>6.32</t>
  </si>
  <si>
    <t>6.33</t>
  </si>
  <si>
    <t>6.34</t>
  </si>
  <si>
    <t>6.35</t>
  </si>
  <si>
    <t>Погрузка, разгрузка и доставка на трале установки ГНБ от приобъектного склада до места производства работ на расстояние 5 км</t>
  </si>
  <si>
    <t>6.36</t>
  </si>
  <si>
    <t>6.37</t>
  </si>
  <si>
    <t>Горизонтально направленное бурение длиной 63,1 м с последующей протяжкой труб, в том числе:</t>
  </si>
  <si>
    <t>6.38</t>
  </si>
  <si>
    <t xml:space="preserve"> - пилотное бурение скважины D=105 мм длиной  63,1 м</t>
  </si>
  <si>
    <t>6.39</t>
  </si>
  <si>
    <t xml:space="preserve"> - расширение пилотной скважины до D=400 мм длиной 63,1 м</t>
  </si>
  <si>
    <t>6.40</t>
  </si>
  <si>
    <t>Протягивание рабочей и резервной труб 160 мм методом ГНБ (в 1 буровой канал 3 трубы)</t>
  </si>
  <si>
    <t>3/203,4</t>
  </si>
  <si>
    <t>6.41</t>
  </si>
  <si>
    <t>6.42</t>
  </si>
  <si>
    <t>6.43</t>
  </si>
  <si>
    <t>6.44</t>
  </si>
  <si>
    <t>6.45</t>
  </si>
  <si>
    <t>6.46</t>
  </si>
  <si>
    <t>Герметизация резервной трубы заглушками (2 трубы х 2)</t>
  </si>
  <si>
    <t>6.47</t>
  </si>
  <si>
    <t>6.48</t>
  </si>
  <si>
    <t>6.49</t>
  </si>
  <si>
    <t>6.50</t>
  </si>
  <si>
    <t>6.51</t>
  </si>
  <si>
    <t>6.52</t>
  </si>
  <si>
    <t>7.</t>
  </si>
  <si>
    <t>Пусконаладочные работы</t>
  </si>
  <si>
    <t>7.1</t>
  </si>
  <si>
    <t>Проверка целостности изоляции кабеля</t>
  </si>
  <si>
    <t>7.2</t>
  </si>
  <si>
    <t>Измерение сопротивления изоляции кабеля</t>
  </si>
  <si>
    <t>7.3</t>
  </si>
  <si>
    <t>Проверка фазировки КЛ</t>
  </si>
  <si>
    <t>7.4</t>
  </si>
  <si>
    <t>Испытание изоляции кабеля повышенным напряжением сверхнизкой частоты</t>
  </si>
  <si>
    <t>7.5</t>
  </si>
  <si>
    <t>Диагностика кабельных муфт методом измерения частичных разрядов</t>
  </si>
  <si>
    <t>6</t>
  </si>
  <si>
    <t>7.6</t>
  </si>
  <si>
    <t>Проверка наличия цепи заземления между экраном кабеля и заземляющими элементами</t>
  </si>
  <si>
    <t>18</t>
  </si>
  <si>
    <t>7.7</t>
  </si>
  <si>
    <t>Контрольно-исполнительная съемка линейного объекта</t>
  </si>
  <si>
    <t>ВКЛ-10 кВ ф. 631-19</t>
  </si>
  <si>
    <t>8.</t>
  </si>
  <si>
    <t>8.1</t>
  </si>
  <si>
    <t>Геодезическая разбивка трассы (вынос в натуру оси установка створных знаков, м), из них:</t>
  </si>
  <si>
    <t>8.2</t>
  </si>
  <si>
    <t xml:space="preserve"> - по ВЛ-10 кВ (11,33+23,96+4,42)м</t>
  </si>
  <si>
    <t>8.3</t>
  </si>
  <si>
    <t xml:space="preserve"> - по КЛ-10 кВ (131,16 +7,14)м</t>
  </si>
  <si>
    <t>8.4</t>
  </si>
  <si>
    <t xml:space="preserve"> 3/3</t>
  </si>
  <si>
    <t>9.</t>
  </si>
  <si>
    <t>9.1</t>
  </si>
  <si>
    <t>9.2</t>
  </si>
  <si>
    <t>9.3</t>
  </si>
  <si>
    <t>0,371</t>
  </si>
  <si>
    <t>9.4</t>
  </si>
  <si>
    <t>0,535</t>
  </si>
  <si>
    <t>9.5</t>
  </si>
  <si>
    <t>0,291</t>
  </si>
  <si>
    <t>9.6</t>
  </si>
  <si>
    <t>122,752</t>
  </si>
  <si>
    <t>9.7</t>
  </si>
  <si>
    <t>7,759</t>
  </si>
  <si>
    <t>9.8</t>
  </si>
  <si>
    <t>9.9</t>
  </si>
  <si>
    <t>Перевозка отходов на полигон ТБО автомобилями- самосвалами 1 класс груза грузоподъемностью 10 т работающими вне карьера на расстояние 25,2 км</t>
  </si>
  <si>
    <t>9.10</t>
  </si>
  <si>
    <t>9.11</t>
  </si>
  <si>
    <t>9.12</t>
  </si>
  <si>
    <t>10.</t>
  </si>
  <si>
    <t>Строительные работы по ВЛЗ 10 кВ на участке от оп. 1*-3* и 1*-2*</t>
  </si>
  <si>
    <t>10.1</t>
  </si>
  <si>
    <t>10.2</t>
  </si>
  <si>
    <t>10.3</t>
  </si>
  <si>
    <t>10.4</t>
  </si>
  <si>
    <t xml:space="preserve"> - оснастки одностоечных опор ВЛ</t>
  </si>
  <si>
    <t>10.5</t>
  </si>
  <si>
    <t>10.6</t>
  </si>
  <si>
    <t>10.7</t>
  </si>
  <si>
    <t>0,862</t>
  </si>
  <si>
    <t>10.8</t>
  </si>
  <si>
    <t>10.9</t>
  </si>
  <si>
    <t>10.10</t>
  </si>
  <si>
    <t>10.11</t>
  </si>
  <si>
    <t>10.12</t>
  </si>
  <si>
    <t>10.13</t>
  </si>
  <si>
    <t>Установка с помощью механизмов оттяжек ж/б опор ВЛЗ-10 кВ в сверленные котлованы на глубину 2,5м</t>
  </si>
  <si>
    <t>10.14</t>
  </si>
  <si>
    <t>10.15</t>
  </si>
  <si>
    <t>10.16</t>
  </si>
  <si>
    <t>Разработка грунта траншеи под заземляющее устройство опоры 10 кВ глубиной 0,7 м без крепления стенок, грунт второй категории, налипающий на инструмент (0,7х0,35х9=2,205 м3 на 1 опору), в том числе:</t>
  </si>
  <si>
    <t>10.17</t>
  </si>
  <si>
    <t>10.18</t>
  </si>
  <si>
    <t>10.19</t>
  </si>
  <si>
    <t>10.20</t>
  </si>
  <si>
    <t>10.21</t>
  </si>
  <si>
    <t>11.</t>
  </si>
  <si>
    <t>11.1</t>
  </si>
  <si>
    <t>11.2</t>
  </si>
  <si>
    <t xml:space="preserve"> - установка горизонтальных электродов (сталь 40х4 мм, заземлитель L=10 м)</t>
  </si>
  <si>
    <t>11.3</t>
  </si>
  <si>
    <t>3/3,9</t>
  </si>
  <si>
    <t>11.4</t>
  </si>
  <si>
    <t>11.5</t>
  </si>
  <si>
    <t>8/62,4</t>
  </si>
  <si>
    <t>11.6</t>
  </si>
  <si>
    <t>11.7</t>
  </si>
  <si>
    <t>8</t>
  </si>
  <si>
    <t>11.8</t>
  </si>
  <si>
    <t>15/14,7</t>
  </si>
  <si>
    <t>11.9</t>
  </si>
  <si>
    <t>15/0,033</t>
  </si>
  <si>
    <t>11.10</t>
  </si>
  <si>
    <t>11.11</t>
  </si>
  <si>
    <t>11.12</t>
  </si>
  <si>
    <t>12.</t>
  </si>
  <si>
    <t>12.1</t>
  </si>
  <si>
    <t>12.2</t>
  </si>
  <si>
    <t>12.3</t>
  </si>
  <si>
    <t>12.4</t>
  </si>
  <si>
    <t>12.5</t>
  </si>
  <si>
    <t>2/0,042</t>
  </si>
  <si>
    <t>12.6</t>
  </si>
  <si>
    <t>13.</t>
  </si>
  <si>
    <t>13.1</t>
  </si>
  <si>
    <t>39,71/4</t>
  </si>
  <si>
    <t>13.2</t>
  </si>
  <si>
    <t>13.3</t>
  </si>
  <si>
    <t>13.4</t>
  </si>
  <si>
    <t>Опресовка аппаратных зажимов на проводе СИП-3</t>
  </si>
  <si>
    <t>Монтаж зажимов на высоте более 2 м (аппаратный зажим А2А-120, А1А-120)</t>
  </si>
  <si>
    <t>13.5</t>
  </si>
  <si>
    <t>14.</t>
  </si>
  <si>
    <t>14.1</t>
  </si>
  <si>
    <t>14.2</t>
  </si>
  <si>
    <t>14.3</t>
  </si>
  <si>
    <t>15.</t>
  </si>
  <si>
    <t>15.1</t>
  </si>
  <si>
    <t>15.2</t>
  </si>
  <si>
    <t>2/144</t>
  </si>
  <si>
    <t>15.3</t>
  </si>
  <si>
    <t>15.4</t>
  </si>
  <si>
    <t>15.5</t>
  </si>
  <si>
    <t>16.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</si>
  <si>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</si>
  <si>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</si>
  <si>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</si>
  <si>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</si>
  <si>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</si>
  <si>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</si>
  <si>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</si>
  <si>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</si>
  <si>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</si>
  <si>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</si>
  <si>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16.11</t>
  </si>
  <si>
    <t>16.12</t>
  </si>
  <si>
    <t>16.13</t>
  </si>
  <si>
    <t>0,0286</t>
  </si>
  <si>
    <t>17.</t>
  </si>
  <si>
    <t>КЛ-10 кВ на участке ВЛ-10 кВ ф. 631-19 до оп. 3* до КТП-1, на участке от оп. 2* до КТП-2</t>
  </si>
  <si>
    <t>17.1</t>
  </si>
  <si>
    <t>17.2</t>
  </si>
  <si>
    <t>Разработка грунта, в траншее (группа грунта 2, налипающий на инструмент) (траншея сечением (0,4+0,6)/2х0,9 = 0,405 м3) из них:</t>
  </si>
  <si>
    <t>17.3</t>
  </si>
  <si>
    <t>17.4</t>
  </si>
  <si>
    <t>17.5</t>
  </si>
  <si>
    <t>17.6</t>
  </si>
  <si>
    <t>17.7</t>
  </si>
  <si>
    <t>17.8</t>
  </si>
  <si>
    <t>17.9</t>
  </si>
  <si>
    <t>17.10</t>
  </si>
  <si>
    <t>17.11</t>
  </si>
  <si>
    <t>17.12</t>
  </si>
  <si>
    <t>Затягивание кабеля в трубу (3 нитки) (проложено ранее)</t>
  </si>
  <si>
    <t>17.13</t>
  </si>
  <si>
    <t>17.14</t>
  </si>
  <si>
    <t>Устройство засыпки h-150 мм (ширина траншеи 0,3 м) (без учета уплотнения)</t>
  </si>
  <si>
    <t>17.15</t>
  </si>
  <si>
    <t>17.16</t>
  </si>
  <si>
    <t>17.17</t>
  </si>
  <si>
    <t>17.18</t>
  </si>
  <si>
    <t>17.19</t>
  </si>
  <si>
    <t>17.20</t>
  </si>
  <si>
    <t>Уплотнение обратной засыпки вибротрамбовками на глубину до 200 мм</t>
  </si>
  <si>
    <t>17.21</t>
  </si>
  <si>
    <t>17.22</t>
  </si>
  <si>
    <t>17.23</t>
  </si>
  <si>
    <t>Прокладка кабеля АПвПу2г-10 3х(1х240/70) по металлоконструкциям опор ВЛ (с креплением треугольником 2х10 м) из них:</t>
  </si>
  <si>
    <t>17.24</t>
  </si>
  <si>
    <t>- коробам защитным (2х2,5 м)</t>
  </si>
  <si>
    <t>17.25</t>
  </si>
  <si>
    <t>17.26</t>
  </si>
  <si>
    <t>17.27</t>
  </si>
  <si>
    <t>17.28</t>
  </si>
  <si>
    <t>17.29</t>
  </si>
  <si>
    <t>24</t>
  </si>
  <si>
    <t>17.30</t>
  </si>
  <si>
    <t>17.31</t>
  </si>
  <si>
    <t>Подключение жил кабеля к шинным выводам КТП (1 жила)</t>
  </si>
  <si>
    <t>17.32</t>
  </si>
  <si>
    <t>17.33</t>
  </si>
  <si>
    <t>17.34</t>
  </si>
  <si>
    <t>17.35</t>
  </si>
  <si>
    <t>Пересечение ГНБ Lстр.-1х67,1 м, Lпрокола – 1х67,5 м</t>
  </si>
  <si>
    <t>17.36</t>
  </si>
  <si>
    <t>17.37</t>
  </si>
  <si>
    <t>Герметизация кабельных труб уплотнителем УКПТ-205/55 с двух сторон (3 трубы х 2)</t>
  </si>
  <si>
    <t>18.</t>
  </si>
  <si>
    <t>18.1</t>
  </si>
  <si>
    <t>18.2</t>
  </si>
  <si>
    <t>18.3</t>
  </si>
  <si>
    <t>18.4</t>
  </si>
  <si>
    <t>18.5</t>
  </si>
  <si>
    <t>18.6</t>
  </si>
  <si>
    <t>12</t>
  </si>
  <si>
    <t>19.</t>
  </si>
  <si>
    <t>ФИЛЬТР</t>
  </si>
  <si>
    <t>Санкт-Петербург</t>
  </si>
  <si>
    <t>ПАО "Россети Ленэнерго"</t>
  </si>
  <si>
    <t>Строительство 2хКТП-10/0,4 кВ мощностью 4х0,63МВА, КЛ-10 кВ ориентировочной длиной 0,25 км, ВЛ-10 кВ ориентировочной длиной 1,55 км, ВЛ-0,4кВ ориентировочной длиной 0,9 км для технологического присоединения энергопринимающих устройств заявителей ИП Калитин В.В. и др. по адресу: ЛО, Всеволожский район, Всеволожское городское поселение, город Всеволожск, шоссе Южное (22-018070 и др.)</t>
  </si>
  <si>
    <t>ООО «БЭСК»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</si>
</sst>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04"/>
      <scheme val="minor"/>
    </font>
    <font>
      <sz val="10"/>
      <name val="Arial Cyr"/>
      <family val="2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8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0"/>
      <name val="Times New Roman"/>
      <family val="1"/>
      <charset val="204"/>
    </font>
    <font>
      <i/>
      <sz val="11"/>
      <color theme="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2" fontId="3" fillId="0" borderId="0" xfId="1" applyNumberFormat="1" applyFont="1"/>
    <xf numFmtId="2" fontId="4" fillId="0" borderId="1" xfId="1" applyNumberFormat="1" applyFont="1" applyBorder="1" applyAlignment="1">
      <alignment horizontal="center"/>
    </xf>
    <xf numFmtId="2" fontId="4" fillId="0" borderId="0" xfId="1" applyNumberFormat="1" applyFont="1"/>
    <xf numFmtId="0" fontId="3" fillId="0" borderId="0" xfId="1" applyFont="1"/>
    <xf numFmtId="2" fontId="5" fillId="0" borderId="0" xfId="1" applyNumberFormat="1" applyFont="1" applyAlignment="1">
      <alignment horizontal="center" vertical="top"/>
    </xf>
    <xf numFmtId="2" fontId="5" fillId="0" borderId="0" xfId="1" applyNumberFormat="1" applyFont="1" applyAlignment="1">
      <alignment vertical="top"/>
    </xf>
    <xf numFmtId="2" fontId="6" fillId="0" borderId="0" xfId="1" applyNumberFormat="1" applyFont="1" applyAlignment="1">
      <alignment horizontal="center" vertical="top"/>
    </xf>
    <xf numFmtId="2" fontId="6" fillId="0" borderId="0" xfId="1" applyNumberFormat="1" applyFont="1" applyAlignment="1">
      <alignment vertical="top"/>
    </xf>
    <xf numFmtId="2" fontId="3" fillId="0" borderId="1" xfId="1" applyNumberFormat="1" applyFont="1" applyBorder="1" applyAlignment="1">
      <alignment horizontal="center"/>
    </xf>
    <xf numFmtId="2" fontId="4" fillId="0" borderId="1" xfId="1" applyNumberFormat="1" applyFont="1" applyBorder="1" applyAlignment="1">
      <alignment horizontal="center" wrapText="1"/>
    </xf>
    <xf numFmtId="2" fontId="4" fillId="0" borderId="0" xfId="1" applyNumberFormat="1" applyFont="1" applyAlignment="1">
      <alignment wrapText="1"/>
    </xf>
    <xf numFmtId="14" fontId="4" fillId="0" borderId="1" xfId="1" applyNumberFormat="1" applyFont="1" applyBorder="1" applyAlignment="1">
      <alignment horizontal="center"/>
    </xf>
    <xf numFmtId="14" fontId="4" fillId="0" borderId="0" xfId="1" applyNumberFormat="1" applyFont="1"/>
    <xf numFmtId="2" fontId="7" fillId="0" borderId="0" xfId="1" applyNumberFormat="1" applyFont="1" applyAlignment="1">
      <alignment horizontal="center" vertical="center" textRotation="90" wrapText="1"/>
    </xf>
    <xf numFmtId="2" fontId="8" fillId="0" borderId="1" xfId="1" applyNumberFormat="1" applyFont="1" applyBorder="1" applyAlignment="1">
      <alignment horizontal="center" vertical="center"/>
    </xf>
    <xf numFmtId="2" fontId="8" fillId="0" borderId="0" xfId="1" applyNumberFormat="1" applyFont="1" applyAlignment="1">
      <alignment vertical="top"/>
    </xf>
    <xf numFmtId="0" fontId="7" fillId="0" borderId="2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0" xfId="1" applyFont="1" applyAlignment="1">
      <alignment vertical="center"/>
    </xf>
    <xf numFmtId="0" fontId="9" fillId="0" borderId="2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9" fillId="0" borderId="0" xfId="1" applyFont="1"/>
    <xf numFmtId="0" fontId="1" fillId="0" borderId="0" xfId="0" applyFont="1" applyAlignment="1">
      <alignment vertical="center" wrapText="1"/>
    </xf>
    <xf numFmtId="0" fontId="7" fillId="0" borderId="3" xfId="1" applyFont="1" applyBorder="1" applyAlignment="1">
      <alignment horizontal="left" vertical="center" wrapText="1"/>
    </xf>
    <xf numFmtId="0" fontId="7" fillId="0" borderId="4" xfId="1" applyFont="1" applyBorder="1" applyAlignment="1">
      <alignment horizontal="left" vertical="center" wrapText="1"/>
    </xf>
    <xf numFmtId="0" fontId="7" fillId="0" borderId="5" xfId="1" applyFont="1" applyBorder="1" applyAlignment="1">
      <alignment horizontal="left" vertical="center" wrapText="1"/>
    </xf>
    <xf numFmtId="0" fontId="9" fillId="0" borderId="3" xfId="1" applyFont="1" applyBorder="1" applyAlignment="1">
      <alignment horizontal="left" vertical="center" wrapText="1"/>
    </xf>
    <xf numFmtId="0" fontId="9" fillId="0" borderId="4" xfId="1" applyFont="1" applyBorder="1" applyAlignment="1">
      <alignment horizontal="left" vertical="center" wrapText="1"/>
    </xf>
    <xf numFmtId="0" fontId="9" fillId="0" borderId="5" xfId="1" applyFont="1" applyBorder="1" applyAlignment="1">
      <alignment horizontal="left" vertical="center" wrapText="1"/>
    </xf>
    <xf numFmtId="164" fontId="9" fillId="0" borderId="3" xfId="1" applyNumberFormat="1" applyFont="1" applyBorder="1" applyAlignment="1">
      <alignment horizontal="center" vertical="center" wrapText="1"/>
    </xf>
    <xf numFmtId="164" fontId="9" fillId="0" borderId="4" xfId="1" applyNumberFormat="1" applyFont="1" applyBorder="1" applyAlignment="1">
      <alignment horizontal="center" vertical="center" wrapText="1"/>
    </xf>
    <xf numFmtId="164" fontId="9" fillId="0" borderId="5" xfId="1" applyNumberFormat="1" applyFont="1" applyBorder="1" applyAlignment="1">
      <alignment horizontal="center" vertical="center" wrapText="1"/>
    </xf>
    <xf numFmtId="2" fontId="9" fillId="0" borderId="3" xfId="1" applyNumberFormat="1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 wrapText="1"/>
    </xf>
    <xf numFmtId="2" fontId="9" fillId="0" borderId="5" xfId="1" applyNumberFormat="1" applyFont="1" applyBorder="1" applyAlignment="1">
      <alignment horizontal="center" vertical="center" wrapText="1"/>
    </xf>
    <xf numFmtId="0" fontId="9" fillId="0" borderId="6" xfId="1" applyFont="1" applyBorder="1"/>
    <xf numFmtId="0" fontId="9" fillId="0" borderId="7" xfId="1" applyFont="1" applyBorder="1"/>
    <xf numFmtId="1" fontId="9" fillId="0" borderId="3" xfId="1" applyNumberFormat="1" applyFont="1" applyBorder="1" applyAlignment="1">
      <alignment horizontal="center" vertical="center" wrapText="1"/>
    </xf>
    <xf numFmtId="1" fontId="9" fillId="0" borderId="4" xfId="1" applyNumberFormat="1" applyFont="1" applyBorder="1" applyAlignment="1">
      <alignment horizontal="center" vertical="center" wrapText="1"/>
    </xf>
    <xf numFmtId="1" fontId="9" fillId="0" borderId="5" xfId="1" applyNumberFormat="1" applyFont="1" applyBorder="1" applyAlignment="1">
      <alignment horizontal="center" vertical="center" wrapText="1"/>
    </xf>
    <xf numFmtId="0" fontId="9" fillId="0" borderId="0" xfId="1" applyFont="1" applyAlignment="1">
      <alignment horizontal="center"/>
    </xf>
    <xf numFmtId="16" fontId="9" fillId="0" borderId="3" xfId="1" applyNumberFormat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/>
    </xf>
    <xf numFmtId="0" fontId="10" fillId="0" borderId="0" xfId="1" applyFont="1"/>
    <xf numFmtId="0" fontId="10" fillId="0" borderId="0" xfId="1" applyFont="1" applyAlignment="1">
      <alignment horizontal="left"/>
    </xf>
    <xf numFmtId="0" fontId="10" fillId="0" borderId="0" xfId="1" applyFont="1" applyAlignment="1">
      <alignment horizontal="center"/>
    </xf>
    <xf numFmtId="0" fontId="11" fillId="0" borderId="0" xfId="1" applyFont="1"/>
    <xf numFmtId="0" fontId="4" fillId="0" borderId="0" xfId="1" applyFont="1"/>
  </cellXfs>
  <cellStyles count="2">
    <cellStyle name="Обычный" xfId="0" builtinId="0"/>
    <cellStyle name="Обычный 8" xfId="1" xr:uid="{1184C2D6-5E76-49C0-AC00-05F6DFE4F0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FFD58-2D4D-4B47-B20E-4958B70FDDFB}">
  <sheetPr>
    <tabColor rgb="FFFF0000"/>
    <outlinePr summaryBelow="0"/>
  </sheetPr>
  <dimension ref="A1:AB365"/>
  <sheetViews>
    <sheetView tabSelected="1" view="pageBreakPreview" zoomScaleNormal="100" zoomScaleSheetLayoutView="100" workbookViewId="0">
      <selection activeCell="B87" sqref="B87:O87"/>
    </sheetView>
  </sheetViews>
  <sheetFormatPr defaultRowHeight="15" x14ac:dyDescent="0.25"/>
  <cols>
    <col min="1" max="1" width="7.140625" style="4" customWidth="1"/>
    <col min="2" max="2" width="3.5703125" style="4" customWidth="1"/>
    <col min="3" max="3" width="5.85546875" style="4" customWidth="1"/>
    <col min="4" max="4" width="4.42578125" style="4" customWidth="1"/>
    <col min="5" max="5" width="4.5703125" style="4" customWidth="1"/>
    <col min="6" max="6" width="2.7109375" style="4" customWidth="1"/>
    <col min="7" max="7" width="4" style="4" customWidth="1"/>
    <col min="8" max="8" width="4.85546875" style="4" customWidth="1"/>
    <col min="9" max="9" width="4.140625" style="4" customWidth="1"/>
    <col min="10" max="10" width="4.85546875" style="4" customWidth="1"/>
    <col min="11" max="11" width="4.5703125" style="4" customWidth="1"/>
    <col min="12" max="12" width="6" style="4" customWidth="1"/>
    <col min="13" max="13" width="5.5703125" style="4" customWidth="1"/>
    <col min="14" max="14" width="6.28515625" style="4" customWidth="1"/>
    <col min="15" max="15" width="4.85546875" style="4" customWidth="1"/>
    <col min="16" max="16" width="4" style="4" customWidth="1"/>
    <col min="17" max="17" width="4.42578125" style="4" customWidth="1"/>
    <col min="18" max="18" width="4.28515625" style="4" customWidth="1"/>
    <col min="19" max="19" width="5" style="4" customWidth="1"/>
    <col min="20" max="20" width="3.5703125" style="4" customWidth="1"/>
    <col min="21" max="21" width="6.140625" style="4" customWidth="1"/>
    <col min="22" max="246" width="9.140625" style="4"/>
    <col min="247" max="247" width="3.5703125" style="4" customWidth="1"/>
    <col min="248" max="248" width="5.85546875" style="4" customWidth="1"/>
    <col min="249" max="249" width="4.42578125" style="4" customWidth="1"/>
    <col min="250" max="250" width="4.5703125" style="4" customWidth="1"/>
    <col min="251" max="251" width="2.7109375" style="4" customWidth="1"/>
    <col min="252" max="252" width="4" style="4" customWidth="1"/>
    <col min="253" max="253" width="4.85546875" style="4" customWidth="1"/>
    <col min="254" max="254" width="4.140625" style="4" customWidth="1"/>
    <col min="255" max="255" width="4.85546875" style="4" customWidth="1"/>
    <col min="256" max="256" width="4.5703125" style="4" customWidth="1"/>
    <col min="257" max="257" width="6" style="4" customWidth="1"/>
    <col min="258" max="258" width="5.5703125" style="4" customWidth="1"/>
    <col min="259" max="259" width="0.28515625" style="4" customWidth="1"/>
    <col min="260" max="262" width="0" style="4" hidden="1" customWidth="1"/>
    <col min="263" max="263" width="5.5703125" style="4" customWidth="1"/>
    <col min="264" max="264" width="4.140625" style="4" customWidth="1"/>
    <col min="265" max="265" width="3.7109375" style="4" customWidth="1"/>
    <col min="266" max="266" width="3.85546875" style="4" customWidth="1"/>
    <col min="267" max="267" width="0.42578125" style="4" customWidth="1"/>
    <col min="268" max="268" width="4.28515625" style="4" customWidth="1"/>
    <col min="269" max="269" width="5" style="4" customWidth="1"/>
    <col min="270" max="271" width="3.85546875" style="4" customWidth="1"/>
    <col min="272" max="272" width="5.28515625" style="4" customWidth="1"/>
    <col min="273" max="273" width="3.28515625" style="4" customWidth="1"/>
    <col min="274" max="274" width="0" style="4" hidden="1" customWidth="1"/>
    <col min="275" max="275" width="3" style="4" customWidth="1"/>
    <col min="276" max="276" width="4" style="4" customWidth="1"/>
    <col min="277" max="277" width="8.5703125" style="4" customWidth="1"/>
    <col min="278" max="502" width="9.140625" style="4"/>
    <col min="503" max="503" width="3.5703125" style="4" customWidth="1"/>
    <col min="504" max="504" width="5.85546875" style="4" customWidth="1"/>
    <col min="505" max="505" width="4.42578125" style="4" customWidth="1"/>
    <col min="506" max="506" width="4.5703125" style="4" customWidth="1"/>
    <col min="507" max="507" width="2.7109375" style="4" customWidth="1"/>
    <col min="508" max="508" width="4" style="4" customWidth="1"/>
    <col min="509" max="509" width="4.85546875" style="4" customWidth="1"/>
    <col min="510" max="510" width="4.140625" style="4" customWidth="1"/>
    <col min="511" max="511" width="4.85546875" style="4" customWidth="1"/>
    <col min="512" max="512" width="4.5703125" style="4" customWidth="1"/>
    <col min="513" max="513" width="6" style="4" customWidth="1"/>
    <col min="514" max="514" width="5.5703125" style="4" customWidth="1"/>
    <col min="515" max="515" width="0.28515625" style="4" customWidth="1"/>
    <col min="516" max="518" width="0" style="4" hidden="1" customWidth="1"/>
    <col min="519" max="519" width="5.5703125" style="4" customWidth="1"/>
    <col min="520" max="520" width="4.140625" style="4" customWidth="1"/>
    <col min="521" max="521" width="3.7109375" style="4" customWidth="1"/>
    <col min="522" max="522" width="3.85546875" style="4" customWidth="1"/>
    <col min="523" max="523" width="0.42578125" style="4" customWidth="1"/>
    <col min="524" max="524" width="4.28515625" style="4" customWidth="1"/>
    <col min="525" max="525" width="5" style="4" customWidth="1"/>
    <col min="526" max="527" width="3.85546875" style="4" customWidth="1"/>
    <col min="528" max="528" width="5.28515625" style="4" customWidth="1"/>
    <col min="529" max="529" width="3.28515625" style="4" customWidth="1"/>
    <col min="530" max="530" width="0" style="4" hidden="1" customWidth="1"/>
    <col min="531" max="531" width="3" style="4" customWidth="1"/>
    <col min="532" max="532" width="4" style="4" customWidth="1"/>
    <col min="533" max="533" width="8.5703125" style="4" customWidth="1"/>
    <col min="534" max="758" width="9.140625" style="4"/>
    <col min="759" max="759" width="3.5703125" style="4" customWidth="1"/>
    <col min="760" max="760" width="5.85546875" style="4" customWidth="1"/>
    <col min="761" max="761" width="4.42578125" style="4" customWidth="1"/>
    <col min="762" max="762" width="4.5703125" style="4" customWidth="1"/>
    <col min="763" max="763" width="2.7109375" style="4" customWidth="1"/>
    <col min="764" max="764" width="4" style="4" customWidth="1"/>
    <col min="765" max="765" width="4.85546875" style="4" customWidth="1"/>
    <col min="766" max="766" width="4.140625" style="4" customWidth="1"/>
    <col min="767" max="767" width="4.85546875" style="4" customWidth="1"/>
    <col min="768" max="768" width="4.5703125" style="4" customWidth="1"/>
    <col min="769" max="769" width="6" style="4" customWidth="1"/>
    <col min="770" max="770" width="5.5703125" style="4" customWidth="1"/>
    <col min="771" max="771" width="0.28515625" style="4" customWidth="1"/>
    <col min="772" max="774" width="0" style="4" hidden="1" customWidth="1"/>
    <col min="775" max="775" width="5.5703125" style="4" customWidth="1"/>
    <col min="776" max="776" width="4.140625" style="4" customWidth="1"/>
    <col min="777" max="777" width="3.7109375" style="4" customWidth="1"/>
    <col min="778" max="778" width="3.85546875" style="4" customWidth="1"/>
    <col min="779" max="779" width="0.42578125" style="4" customWidth="1"/>
    <col min="780" max="780" width="4.28515625" style="4" customWidth="1"/>
    <col min="781" max="781" width="5" style="4" customWidth="1"/>
    <col min="782" max="783" width="3.85546875" style="4" customWidth="1"/>
    <col min="784" max="784" width="5.28515625" style="4" customWidth="1"/>
    <col min="785" max="785" width="3.28515625" style="4" customWidth="1"/>
    <col min="786" max="786" width="0" style="4" hidden="1" customWidth="1"/>
    <col min="787" max="787" width="3" style="4" customWidth="1"/>
    <col min="788" max="788" width="4" style="4" customWidth="1"/>
    <col min="789" max="789" width="8.5703125" style="4" customWidth="1"/>
    <col min="790" max="1014" width="9.140625" style="4"/>
    <col min="1015" max="1015" width="3.5703125" style="4" customWidth="1"/>
    <col min="1016" max="1016" width="5.85546875" style="4" customWidth="1"/>
    <col min="1017" max="1017" width="4.42578125" style="4" customWidth="1"/>
    <col min="1018" max="1018" width="4.5703125" style="4" customWidth="1"/>
    <col min="1019" max="1019" width="2.7109375" style="4" customWidth="1"/>
    <col min="1020" max="1020" width="4" style="4" customWidth="1"/>
    <col min="1021" max="1021" width="4.85546875" style="4" customWidth="1"/>
    <col min="1022" max="1022" width="4.140625" style="4" customWidth="1"/>
    <col min="1023" max="1023" width="4.85546875" style="4" customWidth="1"/>
    <col min="1024" max="1024" width="4.5703125" style="4" customWidth="1"/>
    <col min="1025" max="1025" width="6" style="4" customWidth="1"/>
    <col min="1026" max="1026" width="5.5703125" style="4" customWidth="1"/>
    <col min="1027" max="1027" width="0.28515625" style="4" customWidth="1"/>
    <col min="1028" max="1030" width="0" style="4" hidden="1" customWidth="1"/>
    <col min="1031" max="1031" width="5.5703125" style="4" customWidth="1"/>
    <col min="1032" max="1032" width="4.140625" style="4" customWidth="1"/>
    <col min="1033" max="1033" width="3.7109375" style="4" customWidth="1"/>
    <col min="1034" max="1034" width="3.85546875" style="4" customWidth="1"/>
    <col min="1035" max="1035" width="0.42578125" style="4" customWidth="1"/>
    <col min="1036" max="1036" width="4.28515625" style="4" customWidth="1"/>
    <col min="1037" max="1037" width="5" style="4" customWidth="1"/>
    <col min="1038" max="1039" width="3.85546875" style="4" customWidth="1"/>
    <col min="1040" max="1040" width="5.28515625" style="4" customWidth="1"/>
    <col min="1041" max="1041" width="3.28515625" style="4" customWidth="1"/>
    <col min="1042" max="1042" width="0" style="4" hidden="1" customWidth="1"/>
    <col min="1043" max="1043" width="3" style="4" customWidth="1"/>
    <col min="1044" max="1044" width="4" style="4" customWidth="1"/>
    <col min="1045" max="1045" width="8.5703125" style="4" customWidth="1"/>
    <col min="1046" max="1270" width="9.140625" style="4"/>
    <col min="1271" max="1271" width="3.5703125" style="4" customWidth="1"/>
    <col min="1272" max="1272" width="5.85546875" style="4" customWidth="1"/>
    <col min="1273" max="1273" width="4.42578125" style="4" customWidth="1"/>
    <col min="1274" max="1274" width="4.5703125" style="4" customWidth="1"/>
    <col min="1275" max="1275" width="2.7109375" style="4" customWidth="1"/>
    <col min="1276" max="1276" width="4" style="4" customWidth="1"/>
    <col min="1277" max="1277" width="4.85546875" style="4" customWidth="1"/>
    <col min="1278" max="1278" width="4.140625" style="4" customWidth="1"/>
    <col min="1279" max="1279" width="4.85546875" style="4" customWidth="1"/>
    <col min="1280" max="1280" width="4.5703125" style="4" customWidth="1"/>
    <col min="1281" max="1281" width="6" style="4" customWidth="1"/>
    <col min="1282" max="1282" width="5.5703125" style="4" customWidth="1"/>
    <col min="1283" max="1283" width="0.28515625" style="4" customWidth="1"/>
    <col min="1284" max="1286" width="0" style="4" hidden="1" customWidth="1"/>
    <col min="1287" max="1287" width="5.5703125" style="4" customWidth="1"/>
    <col min="1288" max="1288" width="4.140625" style="4" customWidth="1"/>
    <col min="1289" max="1289" width="3.7109375" style="4" customWidth="1"/>
    <col min="1290" max="1290" width="3.85546875" style="4" customWidth="1"/>
    <col min="1291" max="1291" width="0.42578125" style="4" customWidth="1"/>
    <col min="1292" max="1292" width="4.28515625" style="4" customWidth="1"/>
    <col min="1293" max="1293" width="5" style="4" customWidth="1"/>
    <col min="1294" max="1295" width="3.85546875" style="4" customWidth="1"/>
    <col min="1296" max="1296" width="5.28515625" style="4" customWidth="1"/>
    <col min="1297" max="1297" width="3.28515625" style="4" customWidth="1"/>
    <col min="1298" max="1298" width="0" style="4" hidden="1" customWidth="1"/>
    <col min="1299" max="1299" width="3" style="4" customWidth="1"/>
    <col min="1300" max="1300" width="4" style="4" customWidth="1"/>
    <col min="1301" max="1301" width="8.5703125" style="4" customWidth="1"/>
    <col min="1302" max="1526" width="9.140625" style="4"/>
    <col min="1527" max="1527" width="3.5703125" style="4" customWidth="1"/>
    <col min="1528" max="1528" width="5.85546875" style="4" customWidth="1"/>
    <col min="1529" max="1529" width="4.42578125" style="4" customWidth="1"/>
    <col min="1530" max="1530" width="4.5703125" style="4" customWidth="1"/>
    <col min="1531" max="1531" width="2.7109375" style="4" customWidth="1"/>
    <col min="1532" max="1532" width="4" style="4" customWidth="1"/>
    <col min="1533" max="1533" width="4.85546875" style="4" customWidth="1"/>
    <col min="1534" max="1534" width="4.140625" style="4" customWidth="1"/>
    <col min="1535" max="1535" width="4.85546875" style="4" customWidth="1"/>
    <col min="1536" max="1536" width="4.5703125" style="4" customWidth="1"/>
    <col min="1537" max="1537" width="6" style="4" customWidth="1"/>
    <col min="1538" max="1538" width="5.5703125" style="4" customWidth="1"/>
    <col min="1539" max="1539" width="0.28515625" style="4" customWidth="1"/>
    <col min="1540" max="1542" width="0" style="4" hidden="1" customWidth="1"/>
    <col min="1543" max="1543" width="5.5703125" style="4" customWidth="1"/>
    <col min="1544" max="1544" width="4.140625" style="4" customWidth="1"/>
    <col min="1545" max="1545" width="3.7109375" style="4" customWidth="1"/>
    <col min="1546" max="1546" width="3.85546875" style="4" customWidth="1"/>
    <col min="1547" max="1547" width="0.42578125" style="4" customWidth="1"/>
    <col min="1548" max="1548" width="4.28515625" style="4" customWidth="1"/>
    <col min="1549" max="1549" width="5" style="4" customWidth="1"/>
    <col min="1550" max="1551" width="3.85546875" style="4" customWidth="1"/>
    <col min="1552" max="1552" width="5.28515625" style="4" customWidth="1"/>
    <col min="1553" max="1553" width="3.28515625" style="4" customWidth="1"/>
    <col min="1554" max="1554" width="0" style="4" hidden="1" customWidth="1"/>
    <col min="1555" max="1555" width="3" style="4" customWidth="1"/>
    <col min="1556" max="1556" width="4" style="4" customWidth="1"/>
    <col min="1557" max="1557" width="8.5703125" style="4" customWidth="1"/>
    <col min="1558" max="1782" width="9.140625" style="4"/>
    <col min="1783" max="1783" width="3.5703125" style="4" customWidth="1"/>
    <col min="1784" max="1784" width="5.85546875" style="4" customWidth="1"/>
    <col min="1785" max="1785" width="4.42578125" style="4" customWidth="1"/>
    <col min="1786" max="1786" width="4.5703125" style="4" customWidth="1"/>
    <col min="1787" max="1787" width="2.7109375" style="4" customWidth="1"/>
    <col min="1788" max="1788" width="4" style="4" customWidth="1"/>
    <col min="1789" max="1789" width="4.85546875" style="4" customWidth="1"/>
    <col min="1790" max="1790" width="4.140625" style="4" customWidth="1"/>
    <col min="1791" max="1791" width="4.85546875" style="4" customWidth="1"/>
    <col min="1792" max="1792" width="4.5703125" style="4" customWidth="1"/>
    <col min="1793" max="1793" width="6" style="4" customWidth="1"/>
    <col min="1794" max="1794" width="5.5703125" style="4" customWidth="1"/>
    <col min="1795" max="1795" width="0.28515625" style="4" customWidth="1"/>
    <col min="1796" max="1798" width="0" style="4" hidden="1" customWidth="1"/>
    <col min="1799" max="1799" width="5.5703125" style="4" customWidth="1"/>
    <col min="1800" max="1800" width="4.140625" style="4" customWidth="1"/>
    <col min="1801" max="1801" width="3.7109375" style="4" customWidth="1"/>
    <col min="1802" max="1802" width="3.85546875" style="4" customWidth="1"/>
    <col min="1803" max="1803" width="0.42578125" style="4" customWidth="1"/>
    <col min="1804" max="1804" width="4.28515625" style="4" customWidth="1"/>
    <col min="1805" max="1805" width="5" style="4" customWidth="1"/>
    <col min="1806" max="1807" width="3.85546875" style="4" customWidth="1"/>
    <col min="1808" max="1808" width="5.28515625" style="4" customWidth="1"/>
    <col min="1809" max="1809" width="3.28515625" style="4" customWidth="1"/>
    <col min="1810" max="1810" width="0" style="4" hidden="1" customWidth="1"/>
    <col min="1811" max="1811" width="3" style="4" customWidth="1"/>
    <col min="1812" max="1812" width="4" style="4" customWidth="1"/>
    <col min="1813" max="1813" width="8.5703125" style="4" customWidth="1"/>
    <col min="1814" max="2038" width="9.140625" style="4"/>
    <col min="2039" max="2039" width="3.5703125" style="4" customWidth="1"/>
    <col min="2040" max="2040" width="5.85546875" style="4" customWidth="1"/>
    <col min="2041" max="2041" width="4.42578125" style="4" customWidth="1"/>
    <col min="2042" max="2042" width="4.5703125" style="4" customWidth="1"/>
    <col min="2043" max="2043" width="2.7109375" style="4" customWidth="1"/>
    <col min="2044" max="2044" width="4" style="4" customWidth="1"/>
    <col min="2045" max="2045" width="4.85546875" style="4" customWidth="1"/>
    <col min="2046" max="2046" width="4.140625" style="4" customWidth="1"/>
    <col min="2047" max="2047" width="4.85546875" style="4" customWidth="1"/>
    <col min="2048" max="2048" width="4.5703125" style="4" customWidth="1"/>
    <col min="2049" max="2049" width="6" style="4" customWidth="1"/>
    <col min="2050" max="2050" width="5.5703125" style="4" customWidth="1"/>
    <col min="2051" max="2051" width="0.28515625" style="4" customWidth="1"/>
    <col min="2052" max="2054" width="0" style="4" hidden="1" customWidth="1"/>
    <col min="2055" max="2055" width="5.5703125" style="4" customWidth="1"/>
    <col min="2056" max="2056" width="4.140625" style="4" customWidth="1"/>
    <col min="2057" max="2057" width="3.7109375" style="4" customWidth="1"/>
    <col min="2058" max="2058" width="3.85546875" style="4" customWidth="1"/>
    <col min="2059" max="2059" width="0.42578125" style="4" customWidth="1"/>
    <col min="2060" max="2060" width="4.28515625" style="4" customWidth="1"/>
    <col min="2061" max="2061" width="5" style="4" customWidth="1"/>
    <col min="2062" max="2063" width="3.85546875" style="4" customWidth="1"/>
    <col min="2064" max="2064" width="5.28515625" style="4" customWidth="1"/>
    <col min="2065" max="2065" width="3.28515625" style="4" customWidth="1"/>
    <col min="2066" max="2066" width="0" style="4" hidden="1" customWidth="1"/>
    <col min="2067" max="2067" width="3" style="4" customWidth="1"/>
    <col min="2068" max="2068" width="4" style="4" customWidth="1"/>
    <col min="2069" max="2069" width="8.5703125" style="4" customWidth="1"/>
    <col min="2070" max="2294" width="9.140625" style="4"/>
    <col min="2295" max="2295" width="3.5703125" style="4" customWidth="1"/>
    <col min="2296" max="2296" width="5.85546875" style="4" customWidth="1"/>
    <col min="2297" max="2297" width="4.42578125" style="4" customWidth="1"/>
    <col min="2298" max="2298" width="4.5703125" style="4" customWidth="1"/>
    <col min="2299" max="2299" width="2.7109375" style="4" customWidth="1"/>
    <col min="2300" max="2300" width="4" style="4" customWidth="1"/>
    <col min="2301" max="2301" width="4.85546875" style="4" customWidth="1"/>
    <col min="2302" max="2302" width="4.140625" style="4" customWidth="1"/>
    <col min="2303" max="2303" width="4.85546875" style="4" customWidth="1"/>
    <col min="2304" max="2304" width="4.5703125" style="4" customWidth="1"/>
    <col min="2305" max="2305" width="6" style="4" customWidth="1"/>
    <col min="2306" max="2306" width="5.5703125" style="4" customWidth="1"/>
    <col min="2307" max="2307" width="0.28515625" style="4" customWidth="1"/>
    <col min="2308" max="2310" width="0" style="4" hidden="1" customWidth="1"/>
    <col min="2311" max="2311" width="5.5703125" style="4" customWidth="1"/>
    <col min="2312" max="2312" width="4.140625" style="4" customWidth="1"/>
    <col min="2313" max="2313" width="3.7109375" style="4" customWidth="1"/>
    <col min="2314" max="2314" width="3.85546875" style="4" customWidth="1"/>
    <col min="2315" max="2315" width="0.42578125" style="4" customWidth="1"/>
    <col min="2316" max="2316" width="4.28515625" style="4" customWidth="1"/>
    <col min="2317" max="2317" width="5" style="4" customWidth="1"/>
    <col min="2318" max="2319" width="3.85546875" style="4" customWidth="1"/>
    <col min="2320" max="2320" width="5.28515625" style="4" customWidth="1"/>
    <col min="2321" max="2321" width="3.28515625" style="4" customWidth="1"/>
    <col min="2322" max="2322" width="0" style="4" hidden="1" customWidth="1"/>
    <col min="2323" max="2323" width="3" style="4" customWidth="1"/>
    <col min="2324" max="2324" width="4" style="4" customWidth="1"/>
    <col min="2325" max="2325" width="8.5703125" style="4" customWidth="1"/>
    <col min="2326" max="2550" width="9.140625" style="4"/>
    <col min="2551" max="2551" width="3.5703125" style="4" customWidth="1"/>
    <col min="2552" max="2552" width="5.85546875" style="4" customWidth="1"/>
    <col min="2553" max="2553" width="4.42578125" style="4" customWidth="1"/>
    <col min="2554" max="2554" width="4.5703125" style="4" customWidth="1"/>
    <col min="2555" max="2555" width="2.7109375" style="4" customWidth="1"/>
    <col min="2556" max="2556" width="4" style="4" customWidth="1"/>
    <col min="2557" max="2557" width="4.85546875" style="4" customWidth="1"/>
    <col min="2558" max="2558" width="4.140625" style="4" customWidth="1"/>
    <col min="2559" max="2559" width="4.85546875" style="4" customWidth="1"/>
    <col min="2560" max="2560" width="4.5703125" style="4" customWidth="1"/>
    <col min="2561" max="2561" width="6" style="4" customWidth="1"/>
    <col min="2562" max="2562" width="5.5703125" style="4" customWidth="1"/>
    <col min="2563" max="2563" width="0.28515625" style="4" customWidth="1"/>
    <col min="2564" max="2566" width="0" style="4" hidden="1" customWidth="1"/>
    <col min="2567" max="2567" width="5.5703125" style="4" customWidth="1"/>
    <col min="2568" max="2568" width="4.140625" style="4" customWidth="1"/>
    <col min="2569" max="2569" width="3.7109375" style="4" customWidth="1"/>
    <col min="2570" max="2570" width="3.85546875" style="4" customWidth="1"/>
    <col min="2571" max="2571" width="0.42578125" style="4" customWidth="1"/>
    <col min="2572" max="2572" width="4.28515625" style="4" customWidth="1"/>
    <col min="2573" max="2573" width="5" style="4" customWidth="1"/>
    <col min="2574" max="2575" width="3.85546875" style="4" customWidth="1"/>
    <col min="2576" max="2576" width="5.28515625" style="4" customWidth="1"/>
    <col min="2577" max="2577" width="3.28515625" style="4" customWidth="1"/>
    <col min="2578" max="2578" width="0" style="4" hidden="1" customWidth="1"/>
    <col min="2579" max="2579" width="3" style="4" customWidth="1"/>
    <col min="2580" max="2580" width="4" style="4" customWidth="1"/>
    <col min="2581" max="2581" width="8.5703125" style="4" customWidth="1"/>
    <col min="2582" max="2806" width="9.140625" style="4"/>
    <col min="2807" max="2807" width="3.5703125" style="4" customWidth="1"/>
    <col min="2808" max="2808" width="5.85546875" style="4" customWidth="1"/>
    <col min="2809" max="2809" width="4.42578125" style="4" customWidth="1"/>
    <col min="2810" max="2810" width="4.5703125" style="4" customWidth="1"/>
    <col min="2811" max="2811" width="2.7109375" style="4" customWidth="1"/>
    <col min="2812" max="2812" width="4" style="4" customWidth="1"/>
    <col min="2813" max="2813" width="4.85546875" style="4" customWidth="1"/>
    <col min="2814" max="2814" width="4.140625" style="4" customWidth="1"/>
    <col min="2815" max="2815" width="4.85546875" style="4" customWidth="1"/>
    <col min="2816" max="2816" width="4.5703125" style="4" customWidth="1"/>
    <col min="2817" max="2817" width="6" style="4" customWidth="1"/>
    <col min="2818" max="2818" width="5.5703125" style="4" customWidth="1"/>
    <col min="2819" max="2819" width="0.28515625" style="4" customWidth="1"/>
    <col min="2820" max="2822" width="0" style="4" hidden="1" customWidth="1"/>
    <col min="2823" max="2823" width="5.5703125" style="4" customWidth="1"/>
    <col min="2824" max="2824" width="4.140625" style="4" customWidth="1"/>
    <col min="2825" max="2825" width="3.7109375" style="4" customWidth="1"/>
    <col min="2826" max="2826" width="3.85546875" style="4" customWidth="1"/>
    <col min="2827" max="2827" width="0.42578125" style="4" customWidth="1"/>
    <col min="2828" max="2828" width="4.28515625" style="4" customWidth="1"/>
    <col min="2829" max="2829" width="5" style="4" customWidth="1"/>
    <col min="2830" max="2831" width="3.85546875" style="4" customWidth="1"/>
    <col min="2832" max="2832" width="5.28515625" style="4" customWidth="1"/>
    <col min="2833" max="2833" width="3.28515625" style="4" customWidth="1"/>
    <col min="2834" max="2834" width="0" style="4" hidden="1" customWidth="1"/>
    <col min="2835" max="2835" width="3" style="4" customWidth="1"/>
    <col min="2836" max="2836" width="4" style="4" customWidth="1"/>
    <col min="2837" max="2837" width="8.5703125" style="4" customWidth="1"/>
    <col min="2838" max="3062" width="9.140625" style="4"/>
    <col min="3063" max="3063" width="3.5703125" style="4" customWidth="1"/>
    <col min="3064" max="3064" width="5.85546875" style="4" customWidth="1"/>
    <col min="3065" max="3065" width="4.42578125" style="4" customWidth="1"/>
    <col min="3066" max="3066" width="4.5703125" style="4" customWidth="1"/>
    <col min="3067" max="3067" width="2.7109375" style="4" customWidth="1"/>
    <col min="3068" max="3068" width="4" style="4" customWidth="1"/>
    <col min="3069" max="3069" width="4.85546875" style="4" customWidth="1"/>
    <col min="3070" max="3070" width="4.140625" style="4" customWidth="1"/>
    <col min="3071" max="3071" width="4.85546875" style="4" customWidth="1"/>
    <col min="3072" max="3072" width="4.5703125" style="4" customWidth="1"/>
    <col min="3073" max="3073" width="6" style="4" customWidth="1"/>
    <col min="3074" max="3074" width="5.5703125" style="4" customWidth="1"/>
    <col min="3075" max="3075" width="0.28515625" style="4" customWidth="1"/>
    <col min="3076" max="3078" width="0" style="4" hidden="1" customWidth="1"/>
    <col min="3079" max="3079" width="5.5703125" style="4" customWidth="1"/>
    <col min="3080" max="3080" width="4.140625" style="4" customWidth="1"/>
    <col min="3081" max="3081" width="3.7109375" style="4" customWidth="1"/>
    <col min="3082" max="3082" width="3.85546875" style="4" customWidth="1"/>
    <col min="3083" max="3083" width="0.42578125" style="4" customWidth="1"/>
    <col min="3084" max="3084" width="4.28515625" style="4" customWidth="1"/>
    <col min="3085" max="3085" width="5" style="4" customWidth="1"/>
    <col min="3086" max="3087" width="3.85546875" style="4" customWidth="1"/>
    <col min="3088" max="3088" width="5.28515625" style="4" customWidth="1"/>
    <col min="3089" max="3089" width="3.28515625" style="4" customWidth="1"/>
    <col min="3090" max="3090" width="0" style="4" hidden="1" customWidth="1"/>
    <col min="3091" max="3091" width="3" style="4" customWidth="1"/>
    <col min="3092" max="3092" width="4" style="4" customWidth="1"/>
    <col min="3093" max="3093" width="8.5703125" style="4" customWidth="1"/>
    <col min="3094" max="3318" width="9.140625" style="4"/>
    <col min="3319" max="3319" width="3.5703125" style="4" customWidth="1"/>
    <col min="3320" max="3320" width="5.85546875" style="4" customWidth="1"/>
    <col min="3321" max="3321" width="4.42578125" style="4" customWidth="1"/>
    <col min="3322" max="3322" width="4.5703125" style="4" customWidth="1"/>
    <col min="3323" max="3323" width="2.7109375" style="4" customWidth="1"/>
    <col min="3324" max="3324" width="4" style="4" customWidth="1"/>
    <col min="3325" max="3325" width="4.85546875" style="4" customWidth="1"/>
    <col min="3326" max="3326" width="4.140625" style="4" customWidth="1"/>
    <col min="3327" max="3327" width="4.85546875" style="4" customWidth="1"/>
    <col min="3328" max="3328" width="4.5703125" style="4" customWidth="1"/>
    <col min="3329" max="3329" width="6" style="4" customWidth="1"/>
    <col min="3330" max="3330" width="5.5703125" style="4" customWidth="1"/>
    <col min="3331" max="3331" width="0.28515625" style="4" customWidth="1"/>
    <col min="3332" max="3334" width="0" style="4" hidden="1" customWidth="1"/>
    <col min="3335" max="3335" width="5.5703125" style="4" customWidth="1"/>
    <col min="3336" max="3336" width="4.140625" style="4" customWidth="1"/>
    <col min="3337" max="3337" width="3.7109375" style="4" customWidth="1"/>
    <col min="3338" max="3338" width="3.85546875" style="4" customWidth="1"/>
    <col min="3339" max="3339" width="0.42578125" style="4" customWidth="1"/>
    <col min="3340" max="3340" width="4.28515625" style="4" customWidth="1"/>
    <col min="3341" max="3341" width="5" style="4" customWidth="1"/>
    <col min="3342" max="3343" width="3.85546875" style="4" customWidth="1"/>
    <col min="3344" max="3344" width="5.28515625" style="4" customWidth="1"/>
    <col min="3345" max="3345" width="3.28515625" style="4" customWidth="1"/>
    <col min="3346" max="3346" width="0" style="4" hidden="1" customWidth="1"/>
    <col min="3347" max="3347" width="3" style="4" customWidth="1"/>
    <col min="3348" max="3348" width="4" style="4" customWidth="1"/>
    <col min="3349" max="3349" width="8.5703125" style="4" customWidth="1"/>
    <col min="3350" max="3574" width="9.140625" style="4"/>
    <col min="3575" max="3575" width="3.5703125" style="4" customWidth="1"/>
    <col min="3576" max="3576" width="5.85546875" style="4" customWidth="1"/>
    <col min="3577" max="3577" width="4.42578125" style="4" customWidth="1"/>
    <col min="3578" max="3578" width="4.5703125" style="4" customWidth="1"/>
    <col min="3579" max="3579" width="2.7109375" style="4" customWidth="1"/>
    <col min="3580" max="3580" width="4" style="4" customWidth="1"/>
    <col min="3581" max="3581" width="4.85546875" style="4" customWidth="1"/>
    <col min="3582" max="3582" width="4.140625" style="4" customWidth="1"/>
    <col min="3583" max="3583" width="4.85546875" style="4" customWidth="1"/>
    <col min="3584" max="3584" width="4.5703125" style="4" customWidth="1"/>
    <col min="3585" max="3585" width="6" style="4" customWidth="1"/>
    <col min="3586" max="3586" width="5.5703125" style="4" customWidth="1"/>
    <col min="3587" max="3587" width="0.28515625" style="4" customWidth="1"/>
    <col min="3588" max="3590" width="0" style="4" hidden="1" customWidth="1"/>
    <col min="3591" max="3591" width="5.5703125" style="4" customWidth="1"/>
    <col min="3592" max="3592" width="4.140625" style="4" customWidth="1"/>
    <col min="3593" max="3593" width="3.7109375" style="4" customWidth="1"/>
    <col min="3594" max="3594" width="3.85546875" style="4" customWidth="1"/>
    <col min="3595" max="3595" width="0.42578125" style="4" customWidth="1"/>
    <col min="3596" max="3596" width="4.28515625" style="4" customWidth="1"/>
    <col min="3597" max="3597" width="5" style="4" customWidth="1"/>
    <col min="3598" max="3599" width="3.85546875" style="4" customWidth="1"/>
    <col min="3600" max="3600" width="5.28515625" style="4" customWidth="1"/>
    <col min="3601" max="3601" width="3.28515625" style="4" customWidth="1"/>
    <col min="3602" max="3602" width="0" style="4" hidden="1" customWidth="1"/>
    <col min="3603" max="3603" width="3" style="4" customWidth="1"/>
    <col min="3604" max="3604" width="4" style="4" customWidth="1"/>
    <col min="3605" max="3605" width="8.5703125" style="4" customWidth="1"/>
    <col min="3606" max="3830" width="9.140625" style="4"/>
    <col min="3831" max="3831" width="3.5703125" style="4" customWidth="1"/>
    <col min="3832" max="3832" width="5.85546875" style="4" customWidth="1"/>
    <col min="3833" max="3833" width="4.42578125" style="4" customWidth="1"/>
    <col min="3834" max="3834" width="4.5703125" style="4" customWidth="1"/>
    <col min="3835" max="3835" width="2.7109375" style="4" customWidth="1"/>
    <col min="3836" max="3836" width="4" style="4" customWidth="1"/>
    <col min="3837" max="3837" width="4.85546875" style="4" customWidth="1"/>
    <col min="3838" max="3838" width="4.140625" style="4" customWidth="1"/>
    <col min="3839" max="3839" width="4.85546875" style="4" customWidth="1"/>
    <col min="3840" max="3840" width="4.5703125" style="4" customWidth="1"/>
    <col min="3841" max="3841" width="6" style="4" customWidth="1"/>
    <col min="3842" max="3842" width="5.5703125" style="4" customWidth="1"/>
    <col min="3843" max="3843" width="0.28515625" style="4" customWidth="1"/>
    <col min="3844" max="3846" width="0" style="4" hidden="1" customWidth="1"/>
    <col min="3847" max="3847" width="5.5703125" style="4" customWidth="1"/>
    <col min="3848" max="3848" width="4.140625" style="4" customWidth="1"/>
    <col min="3849" max="3849" width="3.7109375" style="4" customWidth="1"/>
    <col min="3850" max="3850" width="3.85546875" style="4" customWidth="1"/>
    <col min="3851" max="3851" width="0.42578125" style="4" customWidth="1"/>
    <col min="3852" max="3852" width="4.28515625" style="4" customWidth="1"/>
    <col min="3853" max="3853" width="5" style="4" customWidth="1"/>
    <col min="3854" max="3855" width="3.85546875" style="4" customWidth="1"/>
    <col min="3856" max="3856" width="5.28515625" style="4" customWidth="1"/>
    <col min="3857" max="3857" width="3.28515625" style="4" customWidth="1"/>
    <col min="3858" max="3858" width="0" style="4" hidden="1" customWidth="1"/>
    <col min="3859" max="3859" width="3" style="4" customWidth="1"/>
    <col min="3860" max="3860" width="4" style="4" customWidth="1"/>
    <col min="3861" max="3861" width="8.5703125" style="4" customWidth="1"/>
    <col min="3862" max="4086" width="9.140625" style="4"/>
    <col min="4087" max="4087" width="3.5703125" style="4" customWidth="1"/>
    <col min="4088" max="4088" width="5.85546875" style="4" customWidth="1"/>
    <col min="4089" max="4089" width="4.42578125" style="4" customWidth="1"/>
    <col min="4090" max="4090" width="4.5703125" style="4" customWidth="1"/>
    <col min="4091" max="4091" width="2.7109375" style="4" customWidth="1"/>
    <col min="4092" max="4092" width="4" style="4" customWidth="1"/>
    <col min="4093" max="4093" width="4.85546875" style="4" customWidth="1"/>
    <col min="4094" max="4094" width="4.140625" style="4" customWidth="1"/>
    <col min="4095" max="4095" width="4.85546875" style="4" customWidth="1"/>
    <col min="4096" max="4096" width="4.5703125" style="4" customWidth="1"/>
    <col min="4097" max="4097" width="6" style="4" customWidth="1"/>
    <col min="4098" max="4098" width="5.5703125" style="4" customWidth="1"/>
    <col min="4099" max="4099" width="0.28515625" style="4" customWidth="1"/>
    <col min="4100" max="4102" width="0" style="4" hidden="1" customWidth="1"/>
    <col min="4103" max="4103" width="5.5703125" style="4" customWidth="1"/>
    <col min="4104" max="4104" width="4.140625" style="4" customWidth="1"/>
    <col min="4105" max="4105" width="3.7109375" style="4" customWidth="1"/>
    <col min="4106" max="4106" width="3.85546875" style="4" customWidth="1"/>
    <col min="4107" max="4107" width="0.42578125" style="4" customWidth="1"/>
    <col min="4108" max="4108" width="4.28515625" style="4" customWidth="1"/>
    <col min="4109" max="4109" width="5" style="4" customWidth="1"/>
    <col min="4110" max="4111" width="3.85546875" style="4" customWidth="1"/>
    <col min="4112" max="4112" width="5.28515625" style="4" customWidth="1"/>
    <col min="4113" max="4113" width="3.28515625" style="4" customWidth="1"/>
    <col min="4114" max="4114" width="0" style="4" hidden="1" customWidth="1"/>
    <col min="4115" max="4115" width="3" style="4" customWidth="1"/>
    <col min="4116" max="4116" width="4" style="4" customWidth="1"/>
    <col min="4117" max="4117" width="8.5703125" style="4" customWidth="1"/>
    <col min="4118" max="4342" width="9.140625" style="4"/>
    <col min="4343" max="4343" width="3.5703125" style="4" customWidth="1"/>
    <col min="4344" max="4344" width="5.85546875" style="4" customWidth="1"/>
    <col min="4345" max="4345" width="4.42578125" style="4" customWidth="1"/>
    <col min="4346" max="4346" width="4.5703125" style="4" customWidth="1"/>
    <col min="4347" max="4347" width="2.7109375" style="4" customWidth="1"/>
    <col min="4348" max="4348" width="4" style="4" customWidth="1"/>
    <col min="4349" max="4349" width="4.85546875" style="4" customWidth="1"/>
    <col min="4350" max="4350" width="4.140625" style="4" customWidth="1"/>
    <col min="4351" max="4351" width="4.85546875" style="4" customWidth="1"/>
    <col min="4352" max="4352" width="4.5703125" style="4" customWidth="1"/>
    <col min="4353" max="4353" width="6" style="4" customWidth="1"/>
    <col min="4354" max="4354" width="5.5703125" style="4" customWidth="1"/>
    <col min="4355" max="4355" width="0.28515625" style="4" customWidth="1"/>
    <col min="4356" max="4358" width="0" style="4" hidden="1" customWidth="1"/>
    <col min="4359" max="4359" width="5.5703125" style="4" customWidth="1"/>
    <col min="4360" max="4360" width="4.140625" style="4" customWidth="1"/>
    <col min="4361" max="4361" width="3.7109375" style="4" customWidth="1"/>
    <col min="4362" max="4362" width="3.85546875" style="4" customWidth="1"/>
    <col min="4363" max="4363" width="0.42578125" style="4" customWidth="1"/>
    <col min="4364" max="4364" width="4.28515625" style="4" customWidth="1"/>
    <col min="4365" max="4365" width="5" style="4" customWidth="1"/>
    <col min="4366" max="4367" width="3.85546875" style="4" customWidth="1"/>
    <col min="4368" max="4368" width="5.28515625" style="4" customWidth="1"/>
    <col min="4369" max="4369" width="3.28515625" style="4" customWidth="1"/>
    <col min="4370" max="4370" width="0" style="4" hidden="1" customWidth="1"/>
    <col min="4371" max="4371" width="3" style="4" customWidth="1"/>
    <col min="4372" max="4372" width="4" style="4" customWidth="1"/>
    <col min="4373" max="4373" width="8.5703125" style="4" customWidth="1"/>
    <col min="4374" max="4598" width="9.140625" style="4"/>
    <col min="4599" max="4599" width="3.5703125" style="4" customWidth="1"/>
    <col min="4600" max="4600" width="5.85546875" style="4" customWidth="1"/>
    <col min="4601" max="4601" width="4.42578125" style="4" customWidth="1"/>
    <col min="4602" max="4602" width="4.5703125" style="4" customWidth="1"/>
    <col min="4603" max="4603" width="2.7109375" style="4" customWidth="1"/>
    <col min="4604" max="4604" width="4" style="4" customWidth="1"/>
    <col min="4605" max="4605" width="4.85546875" style="4" customWidth="1"/>
    <col min="4606" max="4606" width="4.140625" style="4" customWidth="1"/>
    <col min="4607" max="4607" width="4.85546875" style="4" customWidth="1"/>
    <col min="4608" max="4608" width="4.5703125" style="4" customWidth="1"/>
    <col min="4609" max="4609" width="6" style="4" customWidth="1"/>
    <col min="4610" max="4610" width="5.5703125" style="4" customWidth="1"/>
    <col min="4611" max="4611" width="0.28515625" style="4" customWidth="1"/>
    <col min="4612" max="4614" width="0" style="4" hidden="1" customWidth="1"/>
    <col min="4615" max="4615" width="5.5703125" style="4" customWidth="1"/>
    <col min="4616" max="4616" width="4.140625" style="4" customWidth="1"/>
    <col min="4617" max="4617" width="3.7109375" style="4" customWidth="1"/>
    <col min="4618" max="4618" width="3.85546875" style="4" customWidth="1"/>
    <col min="4619" max="4619" width="0.42578125" style="4" customWidth="1"/>
    <col min="4620" max="4620" width="4.28515625" style="4" customWidth="1"/>
    <col min="4621" max="4621" width="5" style="4" customWidth="1"/>
    <col min="4622" max="4623" width="3.85546875" style="4" customWidth="1"/>
    <col min="4624" max="4624" width="5.28515625" style="4" customWidth="1"/>
    <col min="4625" max="4625" width="3.28515625" style="4" customWidth="1"/>
    <col min="4626" max="4626" width="0" style="4" hidden="1" customWidth="1"/>
    <col min="4627" max="4627" width="3" style="4" customWidth="1"/>
    <col min="4628" max="4628" width="4" style="4" customWidth="1"/>
    <col min="4629" max="4629" width="8.5703125" style="4" customWidth="1"/>
    <col min="4630" max="4854" width="9.140625" style="4"/>
    <col min="4855" max="4855" width="3.5703125" style="4" customWidth="1"/>
    <col min="4856" max="4856" width="5.85546875" style="4" customWidth="1"/>
    <col min="4857" max="4857" width="4.42578125" style="4" customWidth="1"/>
    <col min="4858" max="4858" width="4.5703125" style="4" customWidth="1"/>
    <col min="4859" max="4859" width="2.7109375" style="4" customWidth="1"/>
    <col min="4860" max="4860" width="4" style="4" customWidth="1"/>
    <col min="4861" max="4861" width="4.85546875" style="4" customWidth="1"/>
    <col min="4862" max="4862" width="4.140625" style="4" customWidth="1"/>
    <col min="4863" max="4863" width="4.85546875" style="4" customWidth="1"/>
    <col min="4864" max="4864" width="4.5703125" style="4" customWidth="1"/>
    <col min="4865" max="4865" width="6" style="4" customWidth="1"/>
    <col min="4866" max="4866" width="5.5703125" style="4" customWidth="1"/>
    <col min="4867" max="4867" width="0.28515625" style="4" customWidth="1"/>
    <col min="4868" max="4870" width="0" style="4" hidden="1" customWidth="1"/>
    <col min="4871" max="4871" width="5.5703125" style="4" customWidth="1"/>
    <col min="4872" max="4872" width="4.140625" style="4" customWidth="1"/>
    <col min="4873" max="4873" width="3.7109375" style="4" customWidth="1"/>
    <col min="4874" max="4874" width="3.85546875" style="4" customWidth="1"/>
    <col min="4875" max="4875" width="0.42578125" style="4" customWidth="1"/>
    <col min="4876" max="4876" width="4.28515625" style="4" customWidth="1"/>
    <col min="4877" max="4877" width="5" style="4" customWidth="1"/>
    <col min="4878" max="4879" width="3.85546875" style="4" customWidth="1"/>
    <col min="4880" max="4880" width="5.28515625" style="4" customWidth="1"/>
    <col min="4881" max="4881" width="3.28515625" style="4" customWidth="1"/>
    <col min="4882" max="4882" width="0" style="4" hidden="1" customWidth="1"/>
    <col min="4883" max="4883" width="3" style="4" customWidth="1"/>
    <col min="4884" max="4884" width="4" style="4" customWidth="1"/>
    <col min="4885" max="4885" width="8.5703125" style="4" customWidth="1"/>
    <col min="4886" max="5110" width="9.140625" style="4"/>
    <col min="5111" max="5111" width="3.5703125" style="4" customWidth="1"/>
    <col min="5112" max="5112" width="5.85546875" style="4" customWidth="1"/>
    <col min="5113" max="5113" width="4.42578125" style="4" customWidth="1"/>
    <col min="5114" max="5114" width="4.5703125" style="4" customWidth="1"/>
    <col min="5115" max="5115" width="2.7109375" style="4" customWidth="1"/>
    <col min="5116" max="5116" width="4" style="4" customWidth="1"/>
    <col min="5117" max="5117" width="4.85546875" style="4" customWidth="1"/>
    <col min="5118" max="5118" width="4.140625" style="4" customWidth="1"/>
    <col min="5119" max="5119" width="4.85546875" style="4" customWidth="1"/>
    <col min="5120" max="5120" width="4.5703125" style="4" customWidth="1"/>
    <col min="5121" max="5121" width="6" style="4" customWidth="1"/>
    <col min="5122" max="5122" width="5.5703125" style="4" customWidth="1"/>
    <col min="5123" max="5123" width="0.28515625" style="4" customWidth="1"/>
    <col min="5124" max="5126" width="0" style="4" hidden="1" customWidth="1"/>
    <col min="5127" max="5127" width="5.5703125" style="4" customWidth="1"/>
    <col min="5128" max="5128" width="4.140625" style="4" customWidth="1"/>
    <col min="5129" max="5129" width="3.7109375" style="4" customWidth="1"/>
    <col min="5130" max="5130" width="3.85546875" style="4" customWidth="1"/>
    <col min="5131" max="5131" width="0.42578125" style="4" customWidth="1"/>
    <col min="5132" max="5132" width="4.28515625" style="4" customWidth="1"/>
    <col min="5133" max="5133" width="5" style="4" customWidth="1"/>
    <col min="5134" max="5135" width="3.85546875" style="4" customWidth="1"/>
    <col min="5136" max="5136" width="5.28515625" style="4" customWidth="1"/>
    <col min="5137" max="5137" width="3.28515625" style="4" customWidth="1"/>
    <col min="5138" max="5138" width="0" style="4" hidden="1" customWidth="1"/>
    <col min="5139" max="5139" width="3" style="4" customWidth="1"/>
    <col min="5140" max="5140" width="4" style="4" customWidth="1"/>
    <col min="5141" max="5141" width="8.5703125" style="4" customWidth="1"/>
    <col min="5142" max="5366" width="9.140625" style="4"/>
    <col min="5367" max="5367" width="3.5703125" style="4" customWidth="1"/>
    <col min="5368" max="5368" width="5.85546875" style="4" customWidth="1"/>
    <col min="5369" max="5369" width="4.42578125" style="4" customWidth="1"/>
    <col min="5370" max="5370" width="4.5703125" style="4" customWidth="1"/>
    <col min="5371" max="5371" width="2.7109375" style="4" customWidth="1"/>
    <col min="5372" max="5372" width="4" style="4" customWidth="1"/>
    <col min="5373" max="5373" width="4.85546875" style="4" customWidth="1"/>
    <col min="5374" max="5374" width="4.140625" style="4" customWidth="1"/>
    <col min="5375" max="5375" width="4.85546875" style="4" customWidth="1"/>
    <col min="5376" max="5376" width="4.5703125" style="4" customWidth="1"/>
    <col min="5377" max="5377" width="6" style="4" customWidth="1"/>
    <col min="5378" max="5378" width="5.5703125" style="4" customWidth="1"/>
    <col min="5379" max="5379" width="0.28515625" style="4" customWidth="1"/>
    <col min="5380" max="5382" width="0" style="4" hidden="1" customWidth="1"/>
    <col min="5383" max="5383" width="5.5703125" style="4" customWidth="1"/>
    <col min="5384" max="5384" width="4.140625" style="4" customWidth="1"/>
    <col min="5385" max="5385" width="3.7109375" style="4" customWidth="1"/>
    <col min="5386" max="5386" width="3.85546875" style="4" customWidth="1"/>
    <col min="5387" max="5387" width="0.42578125" style="4" customWidth="1"/>
    <col min="5388" max="5388" width="4.28515625" style="4" customWidth="1"/>
    <col min="5389" max="5389" width="5" style="4" customWidth="1"/>
    <col min="5390" max="5391" width="3.85546875" style="4" customWidth="1"/>
    <col min="5392" max="5392" width="5.28515625" style="4" customWidth="1"/>
    <col min="5393" max="5393" width="3.28515625" style="4" customWidth="1"/>
    <col min="5394" max="5394" width="0" style="4" hidden="1" customWidth="1"/>
    <col min="5395" max="5395" width="3" style="4" customWidth="1"/>
    <col min="5396" max="5396" width="4" style="4" customWidth="1"/>
    <col min="5397" max="5397" width="8.5703125" style="4" customWidth="1"/>
    <col min="5398" max="5622" width="9.140625" style="4"/>
    <col min="5623" max="5623" width="3.5703125" style="4" customWidth="1"/>
    <col min="5624" max="5624" width="5.85546875" style="4" customWidth="1"/>
    <col min="5625" max="5625" width="4.42578125" style="4" customWidth="1"/>
    <col min="5626" max="5626" width="4.5703125" style="4" customWidth="1"/>
    <col min="5627" max="5627" width="2.7109375" style="4" customWidth="1"/>
    <col min="5628" max="5628" width="4" style="4" customWidth="1"/>
    <col min="5629" max="5629" width="4.85546875" style="4" customWidth="1"/>
    <col min="5630" max="5630" width="4.140625" style="4" customWidth="1"/>
    <col min="5631" max="5631" width="4.85546875" style="4" customWidth="1"/>
    <col min="5632" max="5632" width="4.5703125" style="4" customWidth="1"/>
    <col min="5633" max="5633" width="6" style="4" customWidth="1"/>
    <col min="5634" max="5634" width="5.5703125" style="4" customWidth="1"/>
    <col min="5635" max="5635" width="0.28515625" style="4" customWidth="1"/>
    <col min="5636" max="5638" width="0" style="4" hidden="1" customWidth="1"/>
    <col min="5639" max="5639" width="5.5703125" style="4" customWidth="1"/>
    <col min="5640" max="5640" width="4.140625" style="4" customWidth="1"/>
    <col min="5641" max="5641" width="3.7109375" style="4" customWidth="1"/>
    <col min="5642" max="5642" width="3.85546875" style="4" customWidth="1"/>
    <col min="5643" max="5643" width="0.42578125" style="4" customWidth="1"/>
    <col min="5644" max="5644" width="4.28515625" style="4" customWidth="1"/>
    <col min="5645" max="5645" width="5" style="4" customWidth="1"/>
    <col min="5646" max="5647" width="3.85546875" style="4" customWidth="1"/>
    <col min="5648" max="5648" width="5.28515625" style="4" customWidth="1"/>
    <col min="5649" max="5649" width="3.28515625" style="4" customWidth="1"/>
    <col min="5650" max="5650" width="0" style="4" hidden="1" customWidth="1"/>
    <col min="5651" max="5651" width="3" style="4" customWidth="1"/>
    <col min="5652" max="5652" width="4" style="4" customWidth="1"/>
    <col min="5653" max="5653" width="8.5703125" style="4" customWidth="1"/>
    <col min="5654" max="5878" width="9.140625" style="4"/>
    <col min="5879" max="5879" width="3.5703125" style="4" customWidth="1"/>
    <col min="5880" max="5880" width="5.85546875" style="4" customWidth="1"/>
    <col min="5881" max="5881" width="4.42578125" style="4" customWidth="1"/>
    <col min="5882" max="5882" width="4.5703125" style="4" customWidth="1"/>
    <col min="5883" max="5883" width="2.7109375" style="4" customWidth="1"/>
    <col min="5884" max="5884" width="4" style="4" customWidth="1"/>
    <col min="5885" max="5885" width="4.85546875" style="4" customWidth="1"/>
    <col min="5886" max="5886" width="4.140625" style="4" customWidth="1"/>
    <col min="5887" max="5887" width="4.85546875" style="4" customWidth="1"/>
    <col min="5888" max="5888" width="4.5703125" style="4" customWidth="1"/>
    <col min="5889" max="5889" width="6" style="4" customWidth="1"/>
    <col min="5890" max="5890" width="5.5703125" style="4" customWidth="1"/>
    <col min="5891" max="5891" width="0.28515625" style="4" customWidth="1"/>
    <col min="5892" max="5894" width="0" style="4" hidden="1" customWidth="1"/>
    <col min="5895" max="5895" width="5.5703125" style="4" customWidth="1"/>
    <col min="5896" max="5896" width="4.140625" style="4" customWidth="1"/>
    <col min="5897" max="5897" width="3.7109375" style="4" customWidth="1"/>
    <col min="5898" max="5898" width="3.85546875" style="4" customWidth="1"/>
    <col min="5899" max="5899" width="0.42578125" style="4" customWidth="1"/>
    <col min="5900" max="5900" width="4.28515625" style="4" customWidth="1"/>
    <col min="5901" max="5901" width="5" style="4" customWidth="1"/>
    <col min="5902" max="5903" width="3.85546875" style="4" customWidth="1"/>
    <col min="5904" max="5904" width="5.28515625" style="4" customWidth="1"/>
    <col min="5905" max="5905" width="3.28515625" style="4" customWidth="1"/>
    <col min="5906" max="5906" width="0" style="4" hidden="1" customWidth="1"/>
    <col min="5907" max="5907" width="3" style="4" customWidth="1"/>
    <col min="5908" max="5908" width="4" style="4" customWidth="1"/>
    <col min="5909" max="5909" width="8.5703125" style="4" customWidth="1"/>
    <col min="5910" max="6134" width="9.140625" style="4"/>
    <col min="6135" max="6135" width="3.5703125" style="4" customWidth="1"/>
    <col min="6136" max="6136" width="5.85546875" style="4" customWidth="1"/>
    <col min="6137" max="6137" width="4.42578125" style="4" customWidth="1"/>
    <col min="6138" max="6138" width="4.5703125" style="4" customWidth="1"/>
    <col min="6139" max="6139" width="2.7109375" style="4" customWidth="1"/>
    <col min="6140" max="6140" width="4" style="4" customWidth="1"/>
    <col min="6141" max="6141" width="4.85546875" style="4" customWidth="1"/>
    <col min="6142" max="6142" width="4.140625" style="4" customWidth="1"/>
    <col min="6143" max="6143" width="4.85546875" style="4" customWidth="1"/>
    <col min="6144" max="6144" width="4.5703125" style="4" customWidth="1"/>
    <col min="6145" max="6145" width="6" style="4" customWidth="1"/>
    <col min="6146" max="6146" width="5.5703125" style="4" customWidth="1"/>
    <col min="6147" max="6147" width="0.28515625" style="4" customWidth="1"/>
    <col min="6148" max="6150" width="0" style="4" hidden="1" customWidth="1"/>
    <col min="6151" max="6151" width="5.5703125" style="4" customWidth="1"/>
    <col min="6152" max="6152" width="4.140625" style="4" customWidth="1"/>
    <col min="6153" max="6153" width="3.7109375" style="4" customWidth="1"/>
    <col min="6154" max="6154" width="3.85546875" style="4" customWidth="1"/>
    <col min="6155" max="6155" width="0.42578125" style="4" customWidth="1"/>
    <col min="6156" max="6156" width="4.28515625" style="4" customWidth="1"/>
    <col min="6157" max="6157" width="5" style="4" customWidth="1"/>
    <col min="6158" max="6159" width="3.85546875" style="4" customWidth="1"/>
    <col min="6160" max="6160" width="5.28515625" style="4" customWidth="1"/>
    <col min="6161" max="6161" width="3.28515625" style="4" customWidth="1"/>
    <col min="6162" max="6162" width="0" style="4" hidden="1" customWidth="1"/>
    <col min="6163" max="6163" width="3" style="4" customWidth="1"/>
    <col min="6164" max="6164" width="4" style="4" customWidth="1"/>
    <col min="6165" max="6165" width="8.5703125" style="4" customWidth="1"/>
    <col min="6166" max="6390" width="9.140625" style="4"/>
    <col min="6391" max="6391" width="3.5703125" style="4" customWidth="1"/>
    <col min="6392" max="6392" width="5.85546875" style="4" customWidth="1"/>
    <col min="6393" max="6393" width="4.42578125" style="4" customWidth="1"/>
    <col min="6394" max="6394" width="4.5703125" style="4" customWidth="1"/>
    <col min="6395" max="6395" width="2.7109375" style="4" customWidth="1"/>
    <col min="6396" max="6396" width="4" style="4" customWidth="1"/>
    <col min="6397" max="6397" width="4.85546875" style="4" customWidth="1"/>
    <col min="6398" max="6398" width="4.140625" style="4" customWidth="1"/>
    <col min="6399" max="6399" width="4.85546875" style="4" customWidth="1"/>
    <col min="6400" max="6400" width="4.5703125" style="4" customWidth="1"/>
    <col min="6401" max="6401" width="6" style="4" customWidth="1"/>
    <col min="6402" max="6402" width="5.5703125" style="4" customWidth="1"/>
    <col min="6403" max="6403" width="0.28515625" style="4" customWidth="1"/>
    <col min="6404" max="6406" width="0" style="4" hidden="1" customWidth="1"/>
    <col min="6407" max="6407" width="5.5703125" style="4" customWidth="1"/>
    <col min="6408" max="6408" width="4.140625" style="4" customWidth="1"/>
    <col min="6409" max="6409" width="3.7109375" style="4" customWidth="1"/>
    <col min="6410" max="6410" width="3.85546875" style="4" customWidth="1"/>
    <col min="6411" max="6411" width="0.42578125" style="4" customWidth="1"/>
    <col min="6412" max="6412" width="4.28515625" style="4" customWidth="1"/>
    <col min="6413" max="6413" width="5" style="4" customWidth="1"/>
    <col min="6414" max="6415" width="3.85546875" style="4" customWidth="1"/>
    <col min="6416" max="6416" width="5.28515625" style="4" customWidth="1"/>
    <col min="6417" max="6417" width="3.28515625" style="4" customWidth="1"/>
    <col min="6418" max="6418" width="0" style="4" hidden="1" customWidth="1"/>
    <col min="6419" max="6419" width="3" style="4" customWidth="1"/>
    <col min="6420" max="6420" width="4" style="4" customWidth="1"/>
    <col min="6421" max="6421" width="8.5703125" style="4" customWidth="1"/>
    <col min="6422" max="6646" width="9.140625" style="4"/>
    <col min="6647" max="6647" width="3.5703125" style="4" customWidth="1"/>
    <col min="6648" max="6648" width="5.85546875" style="4" customWidth="1"/>
    <col min="6649" max="6649" width="4.42578125" style="4" customWidth="1"/>
    <col min="6650" max="6650" width="4.5703125" style="4" customWidth="1"/>
    <col min="6651" max="6651" width="2.7109375" style="4" customWidth="1"/>
    <col min="6652" max="6652" width="4" style="4" customWidth="1"/>
    <col min="6653" max="6653" width="4.85546875" style="4" customWidth="1"/>
    <col min="6654" max="6654" width="4.140625" style="4" customWidth="1"/>
    <col min="6655" max="6655" width="4.85546875" style="4" customWidth="1"/>
    <col min="6656" max="6656" width="4.5703125" style="4" customWidth="1"/>
    <col min="6657" max="6657" width="6" style="4" customWidth="1"/>
    <col min="6658" max="6658" width="5.5703125" style="4" customWidth="1"/>
    <col min="6659" max="6659" width="0.28515625" style="4" customWidth="1"/>
    <col min="6660" max="6662" width="0" style="4" hidden="1" customWidth="1"/>
    <col min="6663" max="6663" width="5.5703125" style="4" customWidth="1"/>
    <col min="6664" max="6664" width="4.140625" style="4" customWidth="1"/>
    <col min="6665" max="6665" width="3.7109375" style="4" customWidth="1"/>
    <col min="6666" max="6666" width="3.85546875" style="4" customWidth="1"/>
    <col min="6667" max="6667" width="0.42578125" style="4" customWidth="1"/>
    <col min="6668" max="6668" width="4.28515625" style="4" customWidth="1"/>
    <col min="6669" max="6669" width="5" style="4" customWidth="1"/>
    <col min="6670" max="6671" width="3.85546875" style="4" customWidth="1"/>
    <col min="6672" max="6672" width="5.28515625" style="4" customWidth="1"/>
    <col min="6673" max="6673" width="3.28515625" style="4" customWidth="1"/>
    <col min="6674" max="6674" width="0" style="4" hidden="1" customWidth="1"/>
    <col min="6675" max="6675" width="3" style="4" customWidth="1"/>
    <col min="6676" max="6676" width="4" style="4" customWidth="1"/>
    <col min="6677" max="6677" width="8.5703125" style="4" customWidth="1"/>
    <col min="6678" max="6902" width="9.140625" style="4"/>
    <col min="6903" max="6903" width="3.5703125" style="4" customWidth="1"/>
    <col min="6904" max="6904" width="5.85546875" style="4" customWidth="1"/>
    <col min="6905" max="6905" width="4.42578125" style="4" customWidth="1"/>
    <col min="6906" max="6906" width="4.5703125" style="4" customWidth="1"/>
    <col min="6907" max="6907" width="2.7109375" style="4" customWidth="1"/>
    <col min="6908" max="6908" width="4" style="4" customWidth="1"/>
    <col min="6909" max="6909" width="4.85546875" style="4" customWidth="1"/>
    <col min="6910" max="6910" width="4.140625" style="4" customWidth="1"/>
    <col min="6911" max="6911" width="4.85546875" style="4" customWidth="1"/>
    <col min="6912" max="6912" width="4.5703125" style="4" customWidth="1"/>
    <col min="6913" max="6913" width="6" style="4" customWidth="1"/>
    <col min="6914" max="6914" width="5.5703125" style="4" customWidth="1"/>
    <col min="6915" max="6915" width="0.28515625" style="4" customWidth="1"/>
    <col min="6916" max="6918" width="0" style="4" hidden="1" customWidth="1"/>
    <col min="6919" max="6919" width="5.5703125" style="4" customWidth="1"/>
    <col min="6920" max="6920" width="4.140625" style="4" customWidth="1"/>
    <col min="6921" max="6921" width="3.7109375" style="4" customWidth="1"/>
    <col min="6922" max="6922" width="3.85546875" style="4" customWidth="1"/>
    <col min="6923" max="6923" width="0.42578125" style="4" customWidth="1"/>
    <col min="6924" max="6924" width="4.28515625" style="4" customWidth="1"/>
    <col min="6925" max="6925" width="5" style="4" customWidth="1"/>
    <col min="6926" max="6927" width="3.85546875" style="4" customWidth="1"/>
    <col min="6928" max="6928" width="5.28515625" style="4" customWidth="1"/>
    <col min="6929" max="6929" width="3.28515625" style="4" customWidth="1"/>
    <col min="6930" max="6930" width="0" style="4" hidden="1" customWidth="1"/>
    <col min="6931" max="6931" width="3" style="4" customWidth="1"/>
    <col min="6932" max="6932" width="4" style="4" customWidth="1"/>
    <col min="6933" max="6933" width="8.5703125" style="4" customWidth="1"/>
    <col min="6934" max="7158" width="9.140625" style="4"/>
    <col min="7159" max="7159" width="3.5703125" style="4" customWidth="1"/>
    <col min="7160" max="7160" width="5.85546875" style="4" customWidth="1"/>
    <col min="7161" max="7161" width="4.42578125" style="4" customWidth="1"/>
    <col min="7162" max="7162" width="4.5703125" style="4" customWidth="1"/>
    <col min="7163" max="7163" width="2.7109375" style="4" customWidth="1"/>
    <col min="7164" max="7164" width="4" style="4" customWidth="1"/>
    <col min="7165" max="7165" width="4.85546875" style="4" customWidth="1"/>
    <col min="7166" max="7166" width="4.140625" style="4" customWidth="1"/>
    <col min="7167" max="7167" width="4.85546875" style="4" customWidth="1"/>
    <col min="7168" max="7168" width="4.5703125" style="4" customWidth="1"/>
    <col min="7169" max="7169" width="6" style="4" customWidth="1"/>
    <col min="7170" max="7170" width="5.5703125" style="4" customWidth="1"/>
    <col min="7171" max="7171" width="0.28515625" style="4" customWidth="1"/>
    <col min="7172" max="7174" width="0" style="4" hidden="1" customWidth="1"/>
    <col min="7175" max="7175" width="5.5703125" style="4" customWidth="1"/>
    <col min="7176" max="7176" width="4.140625" style="4" customWidth="1"/>
    <col min="7177" max="7177" width="3.7109375" style="4" customWidth="1"/>
    <col min="7178" max="7178" width="3.85546875" style="4" customWidth="1"/>
    <col min="7179" max="7179" width="0.42578125" style="4" customWidth="1"/>
    <col min="7180" max="7180" width="4.28515625" style="4" customWidth="1"/>
    <col min="7181" max="7181" width="5" style="4" customWidth="1"/>
    <col min="7182" max="7183" width="3.85546875" style="4" customWidth="1"/>
    <col min="7184" max="7184" width="5.28515625" style="4" customWidth="1"/>
    <col min="7185" max="7185" width="3.28515625" style="4" customWidth="1"/>
    <col min="7186" max="7186" width="0" style="4" hidden="1" customWidth="1"/>
    <col min="7187" max="7187" width="3" style="4" customWidth="1"/>
    <col min="7188" max="7188" width="4" style="4" customWidth="1"/>
    <col min="7189" max="7189" width="8.5703125" style="4" customWidth="1"/>
    <col min="7190" max="7414" width="9.140625" style="4"/>
    <col min="7415" max="7415" width="3.5703125" style="4" customWidth="1"/>
    <col min="7416" max="7416" width="5.85546875" style="4" customWidth="1"/>
    <col min="7417" max="7417" width="4.42578125" style="4" customWidth="1"/>
    <col min="7418" max="7418" width="4.5703125" style="4" customWidth="1"/>
    <col min="7419" max="7419" width="2.7109375" style="4" customWidth="1"/>
    <col min="7420" max="7420" width="4" style="4" customWidth="1"/>
    <col min="7421" max="7421" width="4.85546875" style="4" customWidth="1"/>
    <col min="7422" max="7422" width="4.140625" style="4" customWidth="1"/>
    <col min="7423" max="7423" width="4.85546875" style="4" customWidth="1"/>
    <col min="7424" max="7424" width="4.5703125" style="4" customWidth="1"/>
    <col min="7425" max="7425" width="6" style="4" customWidth="1"/>
    <col min="7426" max="7426" width="5.5703125" style="4" customWidth="1"/>
    <col min="7427" max="7427" width="0.28515625" style="4" customWidth="1"/>
    <col min="7428" max="7430" width="0" style="4" hidden="1" customWidth="1"/>
    <col min="7431" max="7431" width="5.5703125" style="4" customWidth="1"/>
    <col min="7432" max="7432" width="4.140625" style="4" customWidth="1"/>
    <col min="7433" max="7433" width="3.7109375" style="4" customWidth="1"/>
    <col min="7434" max="7434" width="3.85546875" style="4" customWidth="1"/>
    <col min="7435" max="7435" width="0.42578125" style="4" customWidth="1"/>
    <col min="7436" max="7436" width="4.28515625" style="4" customWidth="1"/>
    <col min="7437" max="7437" width="5" style="4" customWidth="1"/>
    <col min="7438" max="7439" width="3.85546875" style="4" customWidth="1"/>
    <col min="7440" max="7440" width="5.28515625" style="4" customWidth="1"/>
    <col min="7441" max="7441" width="3.28515625" style="4" customWidth="1"/>
    <col min="7442" max="7442" width="0" style="4" hidden="1" customWidth="1"/>
    <col min="7443" max="7443" width="3" style="4" customWidth="1"/>
    <col min="7444" max="7444" width="4" style="4" customWidth="1"/>
    <col min="7445" max="7445" width="8.5703125" style="4" customWidth="1"/>
    <col min="7446" max="7670" width="9.140625" style="4"/>
    <col min="7671" max="7671" width="3.5703125" style="4" customWidth="1"/>
    <col min="7672" max="7672" width="5.85546875" style="4" customWidth="1"/>
    <col min="7673" max="7673" width="4.42578125" style="4" customWidth="1"/>
    <col min="7674" max="7674" width="4.5703125" style="4" customWidth="1"/>
    <col min="7675" max="7675" width="2.7109375" style="4" customWidth="1"/>
    <col min="7676" max="7676" width="4" style="4" customWidth="1"/>
    <col min="7677" max="7677" width="4.85546875" style="4" customWidth="1"/>
    <col min="7678" max="7678" width="4.140625" style="4" customWidth="1"/>
    <col min="7679" max="7679" width="4.85546875" style="4" customWidth="1"/>
    <col min="7680" max="7680" width="4.5703125" style="4" customWidth="1"/>
    <col min="7681" max="7681" width="6" style="4" customWidth="1"/>
    <col min="7682" max="7682" width="5.5703125" style="4" customWidth="1"/>
    <col min="7683" max="7683" width="0.28515625" style="4" customWidth="1"/>
    <col min="7684" max="7686" width="0" style="4" hidden="1" customWidth="1"/>
    <col min="7687" max="7687" width="5.5703125" style="4" customWidth="1"/>
    <col min="7688" max="7688" width="4.140625" style="4" customWidth="1"/>
    <col min="7689" max="7689" width="3.7109375" style="4" customWidth="1"/>
    <col min="7690" max="7690" width="3.85546875" style="4" customWidth="1"/>
    <col min="7691" max="7691" width="0.42578125" style="4" customWidth="1"/>
    <col min="7692" max="7692" width="4.28515625" style="4" customWidth="1"/>
    <col min="7693" max="7693" width="5" style="4" customWidth="1"/>
    <col min="7694" max="7695" width="3.85546875" style="4" customWidth="1"/>
    <col min="7696" max="7696" width="5.28515625" style="4" customWidth="1"/>
    <col min="7697" max="7697" width="3.28515625" style="4" customWidth="1"/>
    <col min="7698" max="7698" width="0" style="4" hidden="1" customWidth="1"/>
    <col min="7699" max="7699" width="3" style="4" customWidth="1"/>
    <col min="7700" max="7700" width="4" style="4" customWidth="1"/>
    <col min="7701" max="7701" width="8.5703125" style="4" customWidth="1"/>
    <col min="7702" max="7926" width="9.140625" style="4"/>
    <col min="7927" max="7927" width="3.5703125" style="4" customWidth="1"/>
    <col min="7928" max="7928" width="5.85546875" style="4" customWidth="1"/>
    <col min="7929" max="7929" width="4.42578125" style="4" customWidth="1"/>
    <col min="7930" max="7930" width="4.5703125" style="4" customWidth="1"/>
    <col min="7931" max="7931" width="2.7109375" style="4" customWidth="1"/>
    <col min="7932" max="7932" width="4" style="4" customWidth="1"/>
    <col min="7933" max="7933" width="4.85546875" style="4" customWidth="1"/>
    <col min="7934" max="7934" width="4.140625" style="4" customWidth="1"/>
    <col min="7935" max="7935" width="4.85546875" style="4" customWidth="1"/>
    <col min="7936" max="7936" width="4.5703125" style="4" customWidth="1"/>
    <col min="7937" max="7937" width="6" style="4" customWidth="1"/>
    <col min="7938" max="7938" width="5.5703125" style="4" customWidth="1"/>
    <col min="7939" max="7939" width="0.28515625" style="4" customWidth="1"/>
    <col min="7940" max="7942" width="0" style="4" hidden="1" customWidth="1"/>
    <col min="7943" max="7943" width="5.5703125" style="4" customWidth="1"/>
    <col min="7944" max="7944" width="4.140625" style="4" customWidth="1"/>
    <col min="7945" max="7945" width="3.7109375" style="4" customWidth="1"/>
    <col min="7946" max="7946" width="3.85546875" style="4" customWidth="1"/>
    <col min="7947" max="7947" width="0.42578125" style="4" customWidth="1"/>
    <col min="7948" max="7948" width="4.28515625" style="4" customWidth="1"/>
    <col min="7949" max="7949" width="5" style="4" customWidth="1"/>
    <col min="7950" max="7951" width="3.85546875" style="4" customWidth="1"/>
    <col min="7952" max="7952" width="5.28515625" style="4" customWidth="1"/>
    <col min="7953" max="7953" width="3.28515625" style="4" customWidth="1"/>
    <col min="7954" max="7954" width="0" style="4" hidden="1" customWidth="1"/>
    <col min="7955" max="7955" width="3" style="4" customWidth="1"/>
    <col min="7956" max="7956" width="4" style="4" customWidth="1"/>
    <col min="7957" max="7957" width="8.5703125" style="4" customWidth="1"/>
    <col min="7958" max="8182" width="9.140625" style="4"/>
    <col min="8183" max="8183" width="3.5703125" style="4" customWidth="1"/>
    <col min="8184" max="8184" width="5.85546875" style="4" customWidth="1"/>
    <col min="8185" max="8185" width="4.42578125" style="4" customWidth="1"/>
    <col min="8186" max="8186" width="4.5703125" style="4" customWidth="1"/>
    <col min="8187" max="8187" width="2.7109375" style="4" customWidth="1"/>
    <col min="8188" max="8188" width="4" style="4" customWidth="1"/>
    <col min="8189" max="8189" width="4.85546875" style="4" customWidth="1"/>
    <col min="8190" max="8190" width="4.140625" style="4" customWidth="1"/>
    <col min="8191" max="8191" width="4.85546875" style="4" customWidth="1"/>
    <col min="8192" max="8192" width="4.5703125" style="4" customWidth="1"/>
    <col min="8193" max="8193" width="6" style="4" customWidth="1"/>
    <col min="8194" max="8194" width="5.5703125" style="4" customWidth="1"/>
    <col min="8195" max="8195" width="0.28515625" style="4" customWidth="1"/>
    <col min="8196" max="8198" width="0" style="4" hidden="1" customWidth="1"/>
    <col min="8199" max="8199" width="5.5703125" style="4" customWidth="1"/>
    <col min="8200" max="8200" width="4.140625" style="4" customWidth="1"/>
    <col min="8201" max="8201" width="3.7109375" style="4" customWidth="1"/>
    <col min="8202" max="8202" width="3.85546875" style="4" customWidth="1"/>
    <col min="8203" max="8203" width="0.42578125" style="4" customWidth="1"/>
    <col min="8204" max="8204" width="4.28515625" style="4" customWidth="1"/>
    <col min="8205" max="8205" width="5" style="4" customWidth="1"/>
    <col min="8206" max="8207" width="3.85546875" style="4" customWidth="1"/>
    <col min="8208" max="8208" width="5.28515625" style="4" customWidth="1"/>
    <col min="8209" max="8209" width="3.28515625" style="4" customWidth="1"/>
    <col min="8210" max="8210" width="0" style="4" hidden="1" customWidth="1"/>
    <col min="8211" max="8211" width="3" style="4" customWidth="1"/>
    <col min="8212" max="8212" width="4" style="4" customWidth="1"/>
    <col min="8213" max="8213" width="8.5703125" style="4" customWidth="1"/>
    <col min="8214" max="8438" width="9.140625" style="4"/>
    <col min="8439" max="8439" width="3.5703125" style="4" customWidth="1"/>
    <col min="8440" max="8440" width="5.85546875" style="4" customWidth="1"/>
    <col min="8441" max="8441" width="4.42578125" style="4" customWidth="1"/>
    <col min="8442" max="8442" width="4.5703125" style="4" customWidth="1"/>
    <col min="8443" max="8443" width="2.7109375" style="4" customWidth="1"/>
    <col min="8444" max="8444" width="4" style="4" customWidth="1"/>
    <col min="8445" max="8445" width="4.85546875" style="4" customWidth="1"/>
    <col min="8446" max="8446" width="4.140625" style="4" customWidth="1"/>
    <col min="8447" max="8447" width="4.85546875" style="4" customWidth="1"/>
    <col min="8448" max="8448" width="4.5703125" style="4" customWidth="1"/>
    <col min="8449" max="8449" width="6" style="4" customWidth="1"/>
    <col min="8450" max="8450" width="5.5703125" style="4" customWidth="1"/>
    <col min="8451" max="8451" width="0.28515625" style="4" customWidth="1"/>
    <col min="8452" max="8454" width="0" style="4" hidden="1" customWidth="1"/>
    <col min="8455" max="8455" width="5.5703125" style="4" customWidth="1"/>
    <col min="8456" max="8456" width="4.140625" style="4" customWidth="1"/>
    <col min="8457" max="8457" width="3.7109375" style="4" customWidth="1"/>
    <col min="8458" max="8458" width="3.85546875" style="4" customWidth="1"/>
    <col min="8459" max="8459" width="0.42578125" style="4" customWidth="1"/>
    <col min="8460" max="8460" width="4.28515625" style="4" customWidth="1"/>
    <col min="8461" max="8461" width="5" style="4" customWidth="1"/>
    <col min="8462" max="8463" width="3.85546875" style="4" customWidth="1"/>
    <col min="8464" max="8464" width="5.28515625" style="4" customWidth="1"/>
    <col min="8465" max="8465" width="3.28515625" style="4" customWidth="1"/>
    <col min="8466" max="8466" width="0" style="4" hidden="1" customWidth="1"/>
    <col min="8467" max="8467" width="3" style="4" customWidth="1"/>
    <col min="8468" max="8468" width="4" style="4" customWidth="1"/>
    <col min="8469" max="8469" width="8.5703125" style="4" customWidth="1"/>
    <col min="8470" max="8694" width="9.140625" style="4"/>
    <col min="8695" max="8695" width="3.5703125" style="4" customWidth="1"/>
    <col min="8696" max="8696" width="5.85546875" style="4" customWidth="1"/>
    <col min="8697" max="8697" width="4.42578125" style="4" customWidth="1"/>
    <col min="8698" max="8698" width="4.5703125" style="4" customWidth="1"/>
    <col min="8699" max="8699" width="2.7109375" style="4" customWidth="1"/>
    <col min="8700" max="8700" width="4" style="4" customWidth="1"/>
    <col min="8701" max="8701" width="4.85546875" style="4" customWidth="1"/>
    <col min="8702" max="8702" width="4.140625" style="4" customWidth="1"/>
    <col min="8703" max="8703" width="4.85546875" style="4" customWidth="1"/>
    <col min="8704" max="8704" width="4.5703125" style="4" customWidth="1"/>
    <col min="8705" max="8705" width="6" style="4" customWidth="1"/>
    <col min="8706" max="8706" width="5.5703125" style="4" customWidth="1"/>
    <col min="8707" max="8707" width="0.28515625" style="4" customWidth="1"/>
    <col min="8708" max="8710" width="0" style="4" hidden="1" customWidth="1"/>
    <col min="8711" max="8711" width="5.5703125" style="4" customWidth="1"/>
    <col min="8712" max="8712" width="4.140625" style="4" customWidth="1"/>
    <col min="8713" max="8713" width="3.7109375" style="4" customWidth="1"/>
    <col min="8714" max="8714" width="3.85546875" style="4" customWidth="1"/>
    <col min="8715" max="8715" width="0.42578125" style="4" customWidth="1"/>
    <col min="8716" max="8716" width="4.28515625" style="4" customWidth="1"/>
    <col min="8717" max="8717" width="5" style="4" customWidth="1"/>
    <col min="8718" max="8719" width="3.85546875" style="4" customWidth="1"/>
    <col min="8720" max="8720" width="5.28515625" style="4" customWidth="1"/>
    <col min="8721" max="8721" width="3.28515625" style="4" customWidth="1"/>
    <col min="8722" max="8722" width="0" style="4" hidden="1" customWidth="1"/>
    <col min="8723" max="8723" width="3" style="4" customWidth="1"/>
    <col min="8724" max="8724" width="4" style="4" customWidth="1"/>
    <col min="8725" max="8725" width="8.5703125" style="4" customWidth="1"/>
    <col min="8726" max="8950" width="9.140625" style="4"/>
    <col min="8951" max="8951" width="3.5703125" style="4" customWidth="1"/>
    <col min="8952" max="8952" width="5.85546875" style="4" customWidth="1"/>
    <col min="8953" max="8953" width="4.42578125" style="4" customWidth="1"/>
    <col min="8954" max="8954" width="4.5703125" style="4" customWidth="1"/>
    <col min="8955" max="8955" width="2.7109375" style="4" customWidth="1"/>
    <col min="8956" max="8956" width="4" style="4" customWidth="1"/>
    <col min="8957" max="8957" width="4.85546875" style="4" customWidth="1"/>
    <col min="8958" max="8958" width="4.140625" style="4" customWidth="1"/>
    <col min="8959" max="8959" width="4.85546875" style="4" customWidth="1"/>
    <col min="8960" max="8960" width="4.5703125" style="4" customWidth="1"/>
    <col min="8961" max="8961" width="6" style="4" customWidth="1"/>
    <col min="8962" max="8962" width="5.5703125" style="4" customWidth="1"/>
    <col min="8963" max="8963" width="0.28515625" style="4" customWidth="1"/>
    <col min="8964" max="8966" width="0" style="4" hidden="1" customWidth="1"/>
    <col min="8967" max="8967" width="5.5703125" style="4" customWidth="1"/>
    <col min="8968" max="8968" width="4.140625" style="4" customWidth="1"/>
    <col min="8969" max="8969" width="3.7109375" style="4" customWidth="1"/>
    <col min="8970" max="8970" width="3.85546875" style="4" customWidth="1"/>
    <col min="8971" max="8971" width="0.42578125" style="4" customWidth="1"/>
    <col min="8972" max="8972" width="4.28515625" style="4" customWidth="1"/>
    <col min="8973" max="8973" width="5" style="4" customWidth="1"/>
    <col min="8974" max="8975" width="3.85546875" style="4" customWidth="1"/>
    <col min="8976" max="8976" width="5.28515625" style="4" customWidth="1"/>
    <col min="8977" max="8977" width="3.28515625" style="4" customWidth="1"/>
    <col min="8978" max="8978" width="0" style="4" hidden="1" customWidth="1"/>
    <col min="8979" max="8979" width="3" style="4" customWidth="1"/>
    <col min="8980" max="8980" width="4" style="4" customWidth="1"/>
    <col min="8981" max="8981" width="8.5703125" style="4" customWidth="1"/>
    <col min="8982" max="9206" width="9.140625" style="4"/>
    <col min="9207" max="9207" width="3.5703125" style="4" customWidth="1"/>
    <col min="9208" max="9208" width="5.85546875" style="4" customWidth="1"/>
    <col min="9209" max="9209" width="4.42578125" style="4" customWidth="1"/>
    <col min="9210" max="9210" width="4.5703125" style="4" customWidth="1"/>
    <col min="9211" max="9211" width="2.7109375" style="4" customWidth="1"/>
    <col min="9212" max="9212" width="4" style="4" customWidth="1"/>
    <col min="9213" max="9213" width="4.85546875" style="4" customWidth="1"/>
    <col min="9214" max="9214" width="4.140625" style="4" customWidth="1"/>
    <col min="9215" max="9215" width="4.85546875" style="4" customWidth="1"/>
    <col min="9216" max="9216" width="4.5703125" style="4" customWidth="1"/>
    <col min="9217" max="9217" width="6" style="4" customWidth="1"/>
    <col min="9218" max="9218" width="5.5703125" style="4" customWidth="1"/>
    <col min="9219" max="9219" width="0.28515625" style="4" customWidth="1"/>
    <col min="9220" max="9222" width="0" style="4" hidden="1" customWidth="1"/>
    <col min="9223" max="9223" width="5.5703125" style="4" customWidth="1"/>
    <col min="9224" max="9224" width="4.140625" style="4" customWidth="1"/>
    <col min="9225" max="9225" width="3.7109375" style="4" customWidth="1"/>
    <col min="9226" max="9226" width="3.85546875" style="4" customWidth="1"/>
    <col min="9227" max="9227" width="0.42578125" style="4" customWidth="1"/>
    <col min="9228" max="9228" width="4.28515625" style="4" customWidth="1"/>
    <col min="9229" max="9229" width="5" style="4" customWidth="1"/>
    <col min="9230" max="9231" width="3.85546875" style="4" customWidth="1"/>
    <col min="9232" max="9232" width="5.28515625" style="4" customWidth="1"/>
    <col min="9233" max="9233" width="3.28515625" style="4" customWidth="1"/>
    <col min="9234" max="9234" width="0" style="4" hidden="1" customWidth="1"/>
    <col min="9235" max="9235" width="3" style="4" customWidth="1"/>
    <col min="9236" max="9236" width="4" style="4" customWidth="1"/>
    <col min="9237" max="9237" width="8.5703125" style="4" customWidth="1"/>
    <col min="9238" max="9462" width="9.140625" style="4"/>
    <col min="9463" max="9463" width="3.5703125" style="4" customWidth="1"/>
    <col min="9464" max="9464" width="5.85546875" style="4" customWidth="1"/>
    <col min="9465" max="9465" width="4.42578125" style="4" customWidth="1"/>
    <col min="9466" max="9466" width="4.5703125" style="4" customWidth="1"/>
    <col min="9467" max="9467" width="2.7109375" style="4" customWidth="1"/>
    <col min="9468" max="9468" width="4" style="4" customWidth="1"/>
    <col min="9469" max="9469" width="4.85546875" style="4" customWidth="1"/>
    <col min="9470" max="9470" width="4.140625" style="4" customWidth="1"/>
    <col min="9471" max="9471" width="4.85546875" style="4" customWidth="1"/>
    <col min="9472" max="9472" width="4.5703125" style="4" customWidth="1"/>
    <col min="9473" max="9473" width="6" style="4" customWidth="1"/>
    <col min="9474" max="9474" width="5.5703125" style="4" customWidth="1"/>
    <col min="9475" max="9475" width="0.28515625" style="4" customWidth="1"/>
    <col min="9476" max="9478" width="0" style="4" hidden="1" customWidth="1"/>
    <col min="9479" max="9479" width="5.5703125" style="4" customWidth="1"/>
    <col min="9480" max="9480" width="4.140625" style="4" customWidth="1"/>
    <col min="9481" max="9481" width="3.7109375" style="4" customWidth="1"/>
    <col min="9482" max="9482" width="3.85546875" style="4" customWidth="1"/>
    <col min="9483" max="9483" width="0.42578125" style="4" customWidth="1"/>
    <col min="9484" max="9484" width="4.28515625" style="4" customWidth="1"/>
    <col min="9485" max="9485" width="5" style="4" customWidth="1"/>
    <col min="9486" max="9487" width="3.85546875" style="4" customWidth="1"/>
    <col min="9488" max="9488" width="5.28515625" style="4" customWidth="1"/>
    <col min="9489" max="9489" width="3.28515625" style="4" customWidth="1"/>
    <col min="9490" max="9490" width="0" style="4" hidden="1" customWidth="1"/>
    <col min="9491" max="9491" width="3" style="4" customWidth="1"/>
    <col min="9492" max="9492" width="4" style="4" customWidth="1"/>
    <col min="9493" max="9493" width="8.5703125" style="4" customWidth="1"/>
    <col min="9494" max="9718" width="9.140625" style="4"/>
    <col min="9719" max="9719" width="3.5703125" style="4" customWidth="1"/>
    <col min="9720" max="9720" width="5.85546875" style="4" customWidth="1"/>
    <col min="9721" max="9721" width="4.42578125" style="4" customWidth="1"/>
    <col min="9722" max="9722" width="4.5703125" style="4" customWidth="1"/>
    <col min="9723" max="9723" width="2.7109375" style="4" customWidth="1"/>
    <col min="9724" max="9724" width="4" style="4" customWidth="1"/>
    <col min="9725" max="9725" width="4.85546875" style="4" customWidth="1"/>
    <col min="9726" max="9726" width="4.140625" style="4" customWidth="1"/>
    <col min="9727" max="9727" width="4.85546875" style="4" customWidth="1"/>
    <col min="9728" max="9728" width="4.5703125" style="4" customWidth="1"/>
    <col min="9729" max="9729" width="6" style="4" customWidth="1"/>
    <col min="9730" max="9730" width="5.5703125" style="4" customWidth="1"/>
    <col min="9731" max="9731" width="0.28515625" style="4" customWidth="1"/>
    <col min="9732" max="9734" width="0" style="4" hidden="1" customWidth="1"/>
    <col min="9735" max="9735" width="5.5703125" style="4" customWidth="1"/>
    <col min="9736" max="9736" width="4.140625" style="4" customWidth="1"/>
    <col min="9737" max="9737" width="3.7109375" style="4" customWidth="1"/>
    <col min="9738" max="9738" width="3.85546875" style="4" customWidth="1"/>
    <col min="9739" max="9739" width="0.42578125" style="4" customWidth="1"/>
    <col min="9740" max="9740" width="4.28515625" style="4" customWidth="1"/>
    <col min="9741" max="9741" width="5" style="4" customWidth="1"/>
    <col min="9742" max="9743" width="3.85546875" style="4" customWidth="1"/>
    <col min="9744" max="9744" width="5.28515625" style="4" customWidth="1"/>
    <col min="9745" max="9745" width="3.28515625" style="4" customWidth="1"/>
    <col min="9746" max="9746" width="0" style="4" hidden="1" customWidth="1"/>
    <col min="9747" max="9747" width="3" style="4" customWidth="1"/>
    <col min="9748" max="9748" width="4" style="4" customWidth="1"/>
    <col min="9749" max="9749" width="8.5703125" style="4" customWidth="1"/>
    <col min="9750" max="9974" width="9.140625" style="4"/>
    <col min="9975" max="9975" width="3.5703125" style="4" customWidth="1"/>
    <col min="9976" max="9976" width="5.85546875" style="4" customWidth="1"/>
    <col min="9977" max="9977" width="4.42578125" style="4" customWidth="1"/>
    <col min="9978" max="9978" width="4.5703125" style="4" customWidth="1"/>
    <col min="9979" max="9979" width="2.7109375" style="4" customWidth="1"/>
    <col min="9980" max="9980" width="4" style="4" customWidth="1"/>
    <col min="9981" max="9981" width="4.85546875" style="4" customWidth="1"/>
    <col min="9982" max="9982" width="4.140625" style="4" customWidth="1"/>
    <col min="9983" max="9983" width="4.85546875" style="4" customWidth="1"/>
    <col min="9984" max="9984" width="4.5703125" style="4" customWidth="1"/>
    <col min="9985" max="9985" width="6" style="4" customWidth="1"/>
    <col min="9986" max="9986" width="5.5703125" style="4" customWidth="1"/>
    <col min="9987" max="9987" width="0.28515625" style="4" customWidth="1"/>
    <col min="9988" max="9990" width="0" style="4" hidden="1" customWidth="1"/>
    <col min="9991" max="9991" width="5.5703125" style="4" customWidth="1"/>
    <col min="9992" max="9992" width="4.140625" style="4" customWidth="1"/>
    <col min="9993" max="9993" width="3.7109375" style="4" customWidth="1"/>
    <col min="9994" max="9994" width="3.85546875" style="4" customWidth="1"/>
    <col min="9995" max="9995" width="0.42578125" style="4" customWidth="1"/>
    <col min="9996" max="9996" width="4.28515625" style="4" customWidth="1"/>
    <col min="9997" max="9997" width="5" style="4" customWidth="1"/>
    <col min="9998" max="9999" width="3.85546875" style="4" customWidth="1"/>
    <col min="10000" max="10000" width="5.28515625" style="4" customWidth="1"/>
    <col min="10001" max="10001" width="3.28515625" style="4" customWidth="1"/>
    <col min="10002" max="10002" width="0" style="4" hidden="1" customWidth="1"/>
    <col min="10003" max="10003" width="3" style="4" customWidth="1"/>
    <col min="10004" max="10004" width="4" style="4" customWidth="1"/>
    <col min="10005" max="10005" width="8.5703125" style="4" customWidth="1"/>
    <col min="10006" max="10230" width="9.140625" style="4"/>
    <col min="10231" max="10231" width="3.5703125" style="4" customWidth="1"/>
    <col min="10232" max="10232" width="5.85546875" style="4" customWidth="1"/>
    <col min="10233" max="10233" width="4.42578125" style="4" customWidth="1"/>
    <col min="10234" max="10234" width="4.5703125" style="4" customWidth="1"/>
    <col min="10235" max="10235" width="2.7109375" style="4" customWidth="1"/>
    <col min="10236" max="10236" width="4" style="4" customWidth="1"/>
    <col min="10237" max="10237" width="4.85546875" style="4" customWidth="1"/>
    <col min="10238" max="10238" width="4.140625" style="4" customWidth="1"/>
    <col min="10239" max="10239" width="4.85546875" style="4" customWidth="1"/>
    <col min="10240" max="10240" width="4.5703125" style="4" customWidth="1"/>
    <col min="10241" max="10241" width="6" style="4" customWidth="1"/>
    <col min="10242" max="10242" width="5.5703125" style="4" customWidth="1"/>
    <col min="10243" max="10243" width="0.28515625" style="4" customWidth="1"/>
    <col min="10244" max="10246" width="0" style="4" hidden="1" customWidth="1"/>
    <col min="10247" max="10247" width="5.5703125" style="4" customWidth="1"/>
    <col min="10248" max="10248" width="4.140625" style="4" customWidth="1"/>
    <col min="10249" max="10249" width="3.7109375" style="4" customWidth="1"/>
    <col min="10250" max="10250" width="3.85546875" style="4" customWidth="1"/>
    <col min="10251" max="10251" width="0.42578125" style="4" customWidth="1"/>
    <col min="10252" max="10252" width="4.28515625" style="4" customWidth="1"/>
    <col min="10253" max="10253" width="5" style="4" customWidth="1"/>
    <col min="10254" max="10255" width="3.85546875" style="4" customWidth="1"/>
    <col min="10256" max="10256" width="5.28515625" style="4" customWidth="1"/>
    <col min="10257" max="10257" width="3.28515625" style="4" customWidth="1"/>
    <col min="10258" max="10258" width="0" style="4" hidden="1" customWidth="1"/>
    <col min="10259" max="10259" width="3" style="4" customWidth="1"/>
    <col min="10260" max="10260" width="4" style="4" customWidth="1"/>
    <col min="10261" max="10261" width="8.5703125" style="4" customWidth="1"/>
    <col min="10262" max="10486" width="9.140625" style="4"/>
    <col min="10487" max="10487" width="3.5703125" style="4" customWidth="1"/>
    <col min="10488" max="10488" width="5.85546875" style="4" customWidth="1"/>
    <col min="10489" max="10489" width="4.42578125" style="4" customWidth="1"/>
    <col min="10490" max="10490" width="4.5703125" style="4" customWidth="1"/>
    <col min="10491" max="10491" width="2.7109375" style="4" customWidth="1"/>
    <col min="10492" max="10492" width="4" style="4" customWidth="1"/>
    <col min="10493" max="10493" width="4.85546875" style="4" customWidth="1"/>
    <col min="10494" max="10494" width="4.140625" style="4" customWidth="1"/>
    <col min="10495" max="10495" width="4.85546875" style="4" customWidth="1"/>
    <col min="10496" max="10496" width="4.5703125" style="4" customWidth="1"/>
    <col min="10497" max="10497" width="6" style="4" customWidth="1"/>
    <col min="10498" max="10498" width="5.5703125" style="4" customWidth="1"/>
    <col min="10499" max="10499" width="0.28515625" style="4" customWidth="1"/>
    <col min="10500" max="10502" width="0" style="4" hidden="1" customWidth="1"/>
    <col min="10503" max="10503" width="5.5703125" style="4" customWidth="1"/>
    <col min="10504" max="10504" width="4.140625" style="4" customWidth="1"/>
    <col min="10505" max="10505" width="3.7109375" style="4" customWidth="1"/>
    <col min="10506" max="10506" width="3.85546875" style="4" customWidth="1"/>
    <col min="10507" max="10507" width="0.42578125" style="4" customWidth="1"/>
    <col min="10508" max="10508" width="4.28515625" style="4" customWidth="1"/>
    <col min="10509" max="10509" width="5" style="4" customWidth="1"/>
    <col min="10510" max="10511" width="3.85546875" style="4" customWidth="1"/>
    <col min="10512" max="10512" width="5.28515625" style="4" customWidth="1"/>
    <col min="10513" max="10513" width="3.28515625" style="4" customWidth="1"/>
    <col min="10514" max="10514" width="0" style="4" hidden="1" customWidth="1"/>
    <col min="10515" max="10515" width="3" style="4" customWidth="1"/>
    <col min="10516" max="10516" width="4" style="4" customWidth="1"/>
    <col min="10517" max="10517" width="8.5703125" style="4" customWidth="1"/>
    <col min="10518" max="10742" width="9.140625" style="4"/>
    <col min="10743" max="10743" width="3.5703125" style="4" customWidth="1"/>
    <col min="10744" max="10744" width="5.85546875" style="4" customWidth="1"/>
    <col min="10745" max="10745" width="4.42578125" style="4" customWidth="1"/>
    <col min="10746" max="10746" width="4.5703125" style="4" customWidth="1"/>
    <col min="10747" max="10747" width="2.7109375" style="4" customWidth="1"/>
    <col min="10748" max="10748" width="4" style="4" customWidth="1"/>
    <col min="10749" max="10749" width="4.85546875" style="4" customWidth="1"/>
    <col min="10750" max="10750" width="4.140625" style="4" customWidth="1"/>
    <col min="10751" max="10751" width="4.85546875" style="4" customWidth="1"/>
    <col min="10752" max="10752" width="4.5703125" style="4" customWidth="1"/>
    <col min="10753" max="10753" width="6" style="4" customWidth="1"/>
    <col min="10754" max="10754" width="5.5703125" style="4" customWidth="1"/>
    <col min="10755" max="10755" width="0.28515625" style="4" customWidth="1"/>
    <col min="10756" max="10758" width="0" style="4" hidden="1" customWidth="1"/>
    <col min="10759" max="10759" width="5.5703125" style="4" customWidth="1"/>
    <col min="10760" max="10760" width="4.140625" style="4" customWidth="1"/>
    <col min="10761" max="10761" width="3.7109375" style="4" customWidth="1"/>
    <col min="10762" max="10762" width="3.85546875" style="4" customWidth="1"/>
    <col min="10763" max="10763" width="0.42578125" style="4" customWidth="1"/>
    <col min="10764" max="10764" width="4.28515625" style="4" customWidth="1"/>
    <col min="10765" max="10765" width="5" style="4" customWidth="1"/>
    <col min="10766" max="10767" width="3.85546875" style="4" customWidth="1"/>
    <col min="10768" max="10768" width="5.28515625" style="4" customWidth="1"/>
    <col min="10769" max="10769" width="3.28515625" style="4" customWidth="1"/>
    <col min="10770" max="10770" width="0" style="4" hidden="1" customWidth="1"/>
    <col min="10771" max="10771" width="3" style="4" customWidth="1"/>
    <col min="10772" max="10772" width="4" style="4" customWidth="1"/>
    <col min="10773" max="10773" width="8.5703125" style="4" customWidth="1"/>
    <col min="10774" max="10998" width="9.140625" style="4"/>
    <col min="10999" max="10999" width="3.5703125" style="4" customWidth="1"/>
    <col min="11000" max="11000" width="5.85546875" style="4" customWidth="1"/>
    <col min="11001" max="11001" width="4.42578125" style="4" customWidth="1"/>
    <col min="11002" max="11002" width="4.5703125" style="4" customWidth="1"/>
    <col min="11003" max="11003" width="2.7109375" style="4" customWidth="1"/>
    <col min="11004" max="11004" width="4" style="4" customWidth="1"/>
    <col min="11005" max="11005" width="4.85546875" style="4" customWidth="1"/>
    <col min="11006" max="11006" width="4.140625" style="4" customWidth="1"/>
    <col min="11007" max="11007" width="4.85546875" style="4" customWidth="1"/>
    <col min="11008" max="11008" width="4.5703125" style="4" customWidth="1"/>
    <col min="11009" max="11009" width="6" style="4" customWidth="1"/>
    <col min="11010" max="11010" width="5.5703125" style="4" customWidth="1"/>
    <col min="11011" max="11011" width="0.28515625" style="4" customWidth="1"/>
    <col min="11012" max="11014" width="0" style="4" hidden="1" customWidth="1"/>
    <col min="11015" max="11015" width="5.5703125" style="4" customWidth="1"/>
    <col min="11016" max="11016" width="4.140625" style="4" customWidth="1"/>
    <col min="11017" max="11017" width="3.7109375" style="4" customWidth="1"/>
    <col min="11018" max="11018" width="3.85546875" style="4" customWidth="1"/>
    <col min="11019" max="11019" width="0.42578125" style="4" customWidth="1"/>
    <col min="11020" max="11020" width="4.28515625" style="4" customWidth="1"/>
    <col min="11021" max="11021" width="5" style="4" customWidth="1"/>
    <col min="11022" max="11023" width="3.85546875" style="4" customWidth="1"/>
    <col min="11024" max="11024" width="5.28515625" style="4" customWidth="1"/>
    <col min="11025" max="11025" width="3.28515625" style="4" customWidth="1"/>
    <col min="11026" max="11026" width="0" style="4" hidden="1" customWidth="1"/>
    <col min="11027" max="11027" width="3" style="4" customWidth="1"/>
    <col min="11028" max="11028" width="4" style="4" customWidth="1"/>
    <col min="11029" max="11029" width="8.5703125" style="4" customWidth="1"/>
    <col min="11030" max="11254" width="9.140625" style="4"/>
    <col min="11255" max="11255" width="3.5703125" style="4" customWidth="1"/>
    <col min="11256" max="11256" width="5.85546875" style="4" customWidth="1"/>
    <col min="11257" max="11257" width="4.42578125" style="4" customWidth="1"/>
    <col min="11258" max="11258" width="4.5703125" style="4" customWidth="1"/>
    <col min="11259" max="11259" width="2.7109375" style="4" customWidth="1"/>
    <col min="11260" max="11260" width="4" style="4" customWidth="1"/>
    <col min="11261" max="11261" width="4.85546875" style="4" customWidth="1"/>
    <col min="11262" max="11262" width="4.140625" style="4" customWidth="1"/>
    <col min="11263" max="11263" width="4.85546875" style="4" customWidth="1"/>
    <col min="11264" max="11264" width="4.5703125" style="4" customWidth="1"/>
    <col min="11265" max="11265" width="6" style="4" customWidth="1"/>
    <col min="11266" max="11266" width="5.5703125" style="4" customWidth="1"/>
    <col min="11267" max="11267" width="0.28515625" style="4" customWidth="1"/>
    <col min="11268" max="11270" width="0" style="4" hidden="1" customWidth="1"/>
    <col min="11271" max="11271" width="5.5703125" style="4" customWidth="1"/>
    <col min="11272" max="11272" width="4.140625" style="4" customWidth="1"/>
    <col min="11273" max="11273" width="3.7109375" style="4" customWidth="1"/>
    <col min="11274" max="11274" width="3.85546875" style="4" customWidth="1"/>
    <col min="11275" max="11275" width="0.42578125" style="4" customWidth="1"/>
    <col min="11276" max="11276" width="4.28515625" style="4" customWidth="1"/>
    <col min="11277" max="11277" width="5" style="4" customWidth="1"/>
    <col min="11278" max="11279" width="3.85546875" style="4" customWidth="1"/>
    <col min="11280" max="11280" width="5.28515625" style="4" customWidth="1"/>
    <col min="11281" max="11281" width="3.28515625" style="4" customWidth="1"/>
    <col min="11282" max="11282" width="0" style="4" hidden="1" customWidth="1"/>
    <col min="11283" max="11283" width="3" style="4" customWidth="1"/>
    <col min="11284" max="11284" width="4" style="4" customWidth="1"/>
    <col min="11285" max="11285" width="8.5703125" style="4" customWidth="1"/>
    <col min="11286" max="11510" width="9.140625" style="4"/>
    <col min="11511" max="11511" width="3.5703125" style="4" customWidth="1"/>
    <col min="11512" max="11512" width="5.85546875" style="4" customWidth="1"/>
    <col min="11513" max="11513" width="4.42578125" style="4" customWidth="1"/>
    <col min="11514" max="11514" width="4.5703125" style="4" customWidth="1"/>
    <col min="11515" max="11515" width="2.7109375" style="4" customWidth="1"/>
    <col min="11516" max="11516" width="4" style="4" customWidth="1"/>
    <col min="11517" max="11517" width="4.85546875" style="4" customWidth="1"/>
    <col min="11518" max="11518" width="4.140625" style="4" customWidth="1"/>
    <col min="11519" max="11519" width="4.85546875" style="4" customWidth="1"/>
    <col min="11520" max="11520" width="4.5703125" style="4" customWidth="1"/>
    <col min="11521" max="11521" width="6" style="4" customWidth="1"/>
    <col min="11522" max="11522" width="5.5703125" style="4" customWidth="1"/>
    <col min="11523" max="11523" width="0.28515625" style="4" customWidth="1"/>
    <col min="11524" max="11526" width="0" style="4" hidden="1" customWidth="1"/>
    <col min="11527" max="11527" width="5.5703125" style="4" customWidth="1"/>
    <col min="11528" max="11528" width="4.140625" style="4" customWidth="1"/>
    <col min="11529" max="11529" width="3.7109375" style="4" customWidth="1"/>
    <col min="11530" max="11530" width="3.85546875" style="4" customWidth="1"/>
    <col min="11531" max="11531" width="0.42578125" style="4" customWidth="1"/>
    <col min="11532" max="11532" width="4.28515625" style="4" customWidth="1"/>
    <col min="11533" max="11533" width="5" style="4" customWidth="1"/>
    <col min="11534" max="11535" width="3.85546875" style="4" customWidth="1"/>
    <col min="11536" max="11536" width="5.28515625" style="4" customWidth="1"/>
    <col min="11537" max="11537" width="3.28515625" style="4" customWidth="1"/>
    <col min="11538" max="11538" width="0" style="4" hidden="1" customWidth="1"/>
    <col min="11539" max="11539" width="3" style="4" customWidth="1"/>
    <col min="11540" max="11540" width="4" style="4" customWidth="1"/>
    <col min="11541" max="11541" width="8.5703125" style="4" customWidth="1"/>
    <col min="11542" max="11766" width="9.140625" style="4"/>
    <col min="11767" max="11767" width="3.5703125" style="4" customWidth="1"/>
    <col min="11768" max="11768" width="5.85546875" style="4" customWidth="1"/>
    <col min="11769" max="11769" width="4.42578125" style="4" customWidth="1"/>
    <col min="11770" max="11770" width="4.5703125" style="4" customWidth="1"/>
    <col min="11771" max="11771" width="2.7109375" style="4" customWidth="1"/>
    <col min="11772" max="11772" width="4" style="4" customWidth="1"/>
    <col min="11773" max="11773" width="4.85546875" style="4" customWidth="1"/>
    <col min="11774" max="11774" width="4.140625" style="4" customWidth="1"/>
    <col min="11775" max="11775" width="4.85546875" style="4" customWidth="1"/>
    <col min="11776" max="11776" width="4.5703125" style="4" customWidth="1"/>
    <col min="11777" max="11777" width="6" style="4" customWidth="1"/>
    <col min="11778" max="11778" width="5.5703125" style="4" customWidth="1"/>
    <col min="11779" max="11779" width="0.28515625" style="4" customWidth="1"/>
    <col min="11780" max="11782" width="0" style="4" hidden="1" customWidth="1"/>
    <col min="11783" max="11783" width="5.5703125" style="4" customWidth="1"/>
    <col min="11784" max="11784" width="4.140625" style="4" customWidth="1"/>
    <col min="11785" max="11785" width="3.7109375" style="4" customWidth="1"/>
    <col min="11786" max="11786" width="3.85546875" style="4" customWidth="1"/>
    <col min="11787" max="11787" width="0.42578125" style="4" customWidth="1"/>
    <col min="11788" max="11788" width="4.28515625" style="4" customWidth="1"/>
    <col min="11789" max="11789" width="5" style="4" customWidth="1"/>
    <col min="11790" max="11791" width="3.85546875" style="4" customWidth="1"/>
    <col min="11792" max="11792" width="5.28515625" style="4" customWidth="1"/>
    <col min="11793" max="11793" width="3.28515625" style="4" customWidth="1"/>
    <col min="11794" max="11794" width="0" style="4" hidden="1" customWidth="1"/>
    <col min="11795" max="11795" width="3" style="4" customWidth="1"/>
    <col min="11796" max="11796" width="4" style="4" customWidth="1"/>
    <col min="11797" max="11797" width="8.5703125" style="4" customWidth="1"/>
    <col min="11798" max="12022" width="9.140625" style="4"/>
    <col min="12023" max="12023" width="3.5703125" style="4" customWidth="1"/>
    <col min="12024" max="12024" width="5.85546875" style="4" customWidth="1"/>
    <col min="12025" max="12025" width="4.42578125" style="4" customWidth="1"/>
    <col min="12026" max="12026" width="4.5703125" style="4" customWidth="1"/>
    <col min="12027" max="12027" width="2.7109375" style="4" customWidth="1"/>
    <col min="12028" max="12028" width="4" style="4" customWidth="1"/>
    <col min="12029" max="12029" width="4.85546875" style="4" customWidth="1"/>
    <col min="12030" max="12030" width="4.140625" style="4" customWidth="1"/>
    <col min="12031" max="12031" width="4.85546875" style="4" customWidth="1"/>
    <col min="12032" max="12032" width="4.5703125" style="4" customWidth="1"/>
    <col min="12033" max="12033" width="6" style="4" customWidth="1"/>
    <col min="12034" max="12034" width="5.5703125" style="4" customWidth="1"/>
    <col min="12035" max="12035" width="0.28515625" style="4" customWidth="1"/>
    <col min="12036" max="12038" width="0" style="4" hidden="1" customWidth="1"/>
    <col min="12039" max="12039" width="5.5703125" style="4" customWidth="1"/>
    <col min="12040" max="12040" width="4.140625" style="4" customWidth="1"/>
    <col min="12041" max="12041" width="3.7109375" style="4" customWidth="1"/>
    <col min="12042" max="12042" width="3.85546875" style="4" customWidth="1"/>
    <col min="12043" max="12043" width="0.42578125" style="4" customWidth="1"/>
    <col min="12044" max="12044" width="4.28515625" style="4" customWidth="1"/>
    <col min="12045" max="12045" width="5" style="4" customWidth="1"/>
    <col min="12046" max="12047" width="3.85546875" style="4" customWidth="1"/>
    <col min="12048" max="12048" width="5.28515625" style="4" customWidth="1"/>
    <col min="12049" max="12049" width="3.28515625" style="4" customWidth="1"/>
    <col min="12050" max="12050" width="0" style="4" hidden="1" customWidth="1"/>
    <col min="12051" max="12051" width="3" style="4" customWidth="1"/>
    <col min="12052" max="12052" width="4" style="4" customWidth="1"/>
    <col min="12053" max="12053" width="8.5703125" style="4" customWidth="1"/>
    <col min="12054" max="12278" width="9.140625" style="4"/>
    <col min="12279" max="12279" width="3.5703125" style="4" customWidth="1"/>
    <col min="12280" max="12280" width="5.85546875" style="4" customWidth="1"/>
    <col min="12281" max="12281" width="4.42578125" style="4" customWidth="1"/>
    <col min="12282" max="12282" width="4.5703125" style="4" customWidth="1"/>
    <col min="12283" max="12283" width="2.7109375" style="4" customWidth="1"/>
    <col min="12284" max="12284" width="4" style="4" customWidth="1"/>
    <col min="12285" max="12285" width="4.85546875" style="4" customWidth="1"/>
    <col min="12286" max="12286" width="4.140625" style="4" customWidth="1"/>
    <col min="12287" max="12287" width="4.85546875" style="4" customWidth="1"/>
    <col min="12288" max="12288" width="4.5703125" style="4" customWidth="1"/>
    <col min="12289" max="12289" width="6" style="4" customWidth="1"/>
    <col min="12290" max="12290" width="5.5703125" style="4" customWidth="1"/>
    <col min="12291" max="12291" width="0.28515625" style="4" customWidth="1"/>
    <col min="12292" max="12294" width="0" style="4" hidden="1" customWidth="1"/>
    <col min="12295" max="12295" width="5.5703125" style="4" customWidth="1"/>
    <col min="12296" max="12296" width="4.140625" style="4" customWidth="1"/>
    <col min="12297" max="12297" width="3.7109375" style="4" customWidth="1"/>
    <col min="12298" max="12298" width="3.85546875" style="4" customWidth="1"/>
    <col min="12299" max="12299" width="0.42578125" style="4" customWidth="1"/>
    <col min="12300" max="12300" width="4.28515625" style="4" customWidth="1"/>
    <col min="12301" max="12301" width="5" style="4" customWidth="1"/>
    <col min="12302" max="12303" width="3.85546875" style="4" customWidth="1"/>
    <col min="12304" max="12304" width="5.28515625" style="4" customWidth="1"/>
    <col min="12305" max="12305" width="3.28515625" style="4" customWidth="1"/>
    <col min="12306" max="12306" width="0" style="4" hidden="1" customWidth="1"/>
    <col min="12307" max="12307" width="3" style="4" customWidth="1"/>
    <col min="12308" max="12308" width="4" style="4" customWidth="1"/>
    <col min="12309" max="12309" width="8.5703125" style="4" customWidth="1"/>
    <col min="12310" max="12534" width="9.140625" style="4"/>
    <col min="12535" max="12535" width="3.5703125" style="4" customWidth="1"/>
    <col min="12536" max="12536" width="5.85546875" style="4" customWidth="1"/>
    <col min="12537" max="12537" width="4.42578125" style="4" customWidth="1"/>
    <col min="12538" max="12538" width="4.5703125" style="4" customWidth="1"/>
    <col min="12539" max="12539" width="2.7109375" style="4" customWidth="1"/>
    <col min="12540" max="12540" width="4" style="4" customWidth="1"/>
    <col min="12541" max="12541" width="4.85546875" style="4" customWidth="1"/>
    <col min="12542" max="12542" width="4.140625" style="4" customWidth="1"/>
    <col min="12543" max="12543" width="4.85546875" style="4" customWidth="1"/>
    <col min="12544" max="12544" width="4.5703125" style="4" customWidth="1"/>
    <col min="12545" max="12545" width="6" style="4" customWidth="1"/>
    <col min="12546" max="12546" width="5.5703125" style="4" customWidth="1"/>
    <col min="12547" max="12547" width="0.28515625" style="4" customWidth="1"/>
    <col min="12548" max="12550" width="0" style="4" hidden="1" customWidth="1"/>
    <col min="12551" max="12551" width="5.5703125" style="4" customWidth="1"/>
    <col min="12552" max="12552" width="4.140625" style="4" customWidth="1"/>
    <col min="12553" max="12553" width="3.7109375" style="4" customWidth="1"/>
    <col min="12554" max="12554" width="3.85546875" style="4" customWidth="1"/>
    <col min="12555" max="12555" width="0.42578125" style="4" customWidth="1"/>
    <col min="12556" max="12556" width="4.28515625" style="4" customWidth="1"/>
    <col min="12557" max="12557" width="5" style="4" customWidth="1"/>
    <col min="12558" max="12559" width="3.85546875" style="4" customWidth="1"/>
    <col min="12560" max="12560" width="5.28515625" style="4" customWidth="1"/>
    <col min="12561" max="12561" width="3.28515625" style="4" customWidth="1"/>
    <col min="12562" max="12562" width="0" style="4" hidden="1" customWidth="1"/>
    <col min="12563" max="12563" width="3" style="4" customWidth="1"/>
    <col min="12564" max="12564" width="4" style="4" customWidth="1"/>
    <col min="12565" max="12565" width="8.5703125" style="4" customWidth="1"/>
    <col min="12566" max="12790" width="9.140625" style="4"/>
    <col min="12791" max="12791" width="3.5703125" style="4" customWidth="1"/>
    <col min="12792" max="12792" width="5.85546875" style="4" customWidth="1"/>
    <col min="12793" max="12793" width="4.42578125" style="4" customWidth="1"/>
    <col min="12794" max="12794" width="4.5703125" style="4" customWidth="1"/>
    <col min="12795" max="12795" width="2.7109375" style="4" customWidth="1"/>
    <col min="12796" max="12796" width="4" style="4" customWidth="1"/>
    <col min="12797" max="12797" width="4.85546875" style="4" customWidth="1"/>
    <col min="12798" max="12798" width="4.140625" style="4" customWidth="1"/>
    <col min="12799" max="12799" width="4.85546875" style="4" customWidth="1"/>
    <col min="12800" max="12800" width="4.5703125" style="4" customWidth="1"/>
    <col min="12801" max="12801" width="6" style="4" customWidth="1"/>
    <col min="12802" max="12802" width="5.5703125" style="4" customWidth="1"/>
    <col min="12803" max="12803" width="0.28515625" style="4" customWidth="1"/>
    <col min="12804" max="12806" width="0" style="4" hidden="1" customWidth="1"/>
    <col min="12807" max="12807" width="5.5703125" style="4" customWidth="1"/>
    <col min="12808" max="12808" width="4.140625" style="4" customWidth="1"/>
    <col min="12809" max="12809" width="3.7109375" style="4" customWidth="1"/>
    <col min="12810" max="12810" width="3.85546875" style="4" customWidth="1"/>
    <col min="12811" max="12811" width="0.42578125" style="4" customWidth="1"/>
    <col min="12812" max="12812" width="4.28515625" style="4" customWidth="1"/>
    <col min="12813" max="12813" width="5" style="4" customWidth="1"/>
    <col min="12814" max="12815" width="3.85546875" style="4" customWidth="1"/>
    <col min="12816" max="12816" width="5.28515625" style="4" customWidth="1"/>
    <col min="12817" max="12817" width="3.28515625" style="4" customWidth="1"/>
    <col min="12818" max="12818" width="0" style="4" hidden="1" customWidth="1"/>
    <col min="12819" max="12819" width="3" style="4" customWidth="1"/>
    <col min="12820" max="12820" width="4" style="4" customWidth="1"/>
    <col min="12821" max="12821" width="8.5703125" style="4" customWidth="1"/>
    <col min="12822" max="13046" width="9.140625" style="4"/>
    <col min="13047" max="13047" width="3.5703125" style="4" customWidth="1"/>
    <col min="13048" max="13048" width="5.85546875" style="4" customWidth="1"/>
    <col min="13049" max="13049" width="4.42578125" style="4" customWidth="1"/>
    <col min="13050" max="13050" width="4.5703125" style="4" customWidth="1"/>
    <col min="13051" max="13051" width="2.7109375" style="4" customWidth="1"/>
    <col min="13052" max="13052" width="4" style="4" customWidth="1"/>
    <col min="13053" max="13053" width="4.85546875" style="4" customWidth="1"/>
    <col min="13054" max="13054" width="4.140625" style="4" customWidth="1"/>
    <col min="13055" max="13055" width="4.85546875" style="4" customWidth="1"/>
    <col min="13056" max="13056" width="4.5703125" style="4" customWidth="1"/>
    <col min="13057" max="13057" width="6" style="4" customWidth="1"/>
    <col min="13058" max="13058" width="5.5703125" style="4" customWidth="1"/>
    <col min="13059" max="13059" width="0.28515625" style="4" customWidth="1"/>
    <col min="13060" max="13062" width="0" style="4" hidden="1" customWidth="1"/>
    <col min="13063" max="13063" width="5.5703125" style="4" customWidth="1"/>
    <col min="13064" max="13064" width="4.140625" style="4" customWidth="1"/>
    <col min="13065" max="13065" width="3.7109375" style="4" customWidth="1"/>
    <col min="13066" max="13066" width="3.85546875" style="4" customWidth="1"/>
    <col min="13067" max="13067" width="0.42578125" style="4" customWidth="1"/>
    <col min="13068" max="13068" width="4.28515625" style="4" customWidth="1"/>
    <col min="13069" max="13069" width="5" style="4" customWidth="1"/>
    <col min="13070" max="13071" width="3.85546875" style="4" customWidth="1"/>
    <col min="13072" max="13072" width="5.28515625" style="4" customWidth="1"/>
    <col min="13073" max="13073" width="3.28515625" style="4" customWidth="1"/>
    <col min="13074" max="13074" width="0" style="4" hidden="1" customWidth="1"/>
    <col min="13075" max="13075" width="3" style="4" customWidth="1"/>
    <col min="13076" max="13076" width="4" style="4" customWidth="1"/>
    <col min="13077" max="13077" width="8.5703125" style="4" customWidth="1"/>
    <col min="13078" max="13302" width="9.140625" style="4"/>
    <col min="13303" max="13303" width="3.5703125" style="4" customWidth="1"/>
    <col min="13304" max="13304" width="5.85546875" style="4" customWidth="1"/>
    <col min="13305" max="13305" width="4.42578125" style="4" customWidth="1"/>
    <col min="13306" max="13306" width="4.5703125" style="4" customWidth="1"/>
    <col min="13307" max="13307" width="2.7109375" style="4" customWidth="1"/>
    <col min="13308" max="13308" width="4" style="4" customWidth="1"/>
    <col min="13309" max="13309" width="4.85546875" style="4" customWidth="1"/>
    <col min="13310" max="13310" width="4.140625" style="4" customWidth="1"/>
    <col min="13311" max="13311" width="4.85546875" style="4" customWidth="1"/>
    <col min="13312" max="13312" width="4.5703125" style="4" customWidth="1"/>
    <col min="13313" max="13313" width="6" style="4" customWidth="1"/>
    <col min="13314" max="13314" width="5.5703125" style="4" customWidth="1"/>
    <col min="13315" max="13315" width="0.28515625" style="4" customWidth="1"/>
    <col min="13316" max="13318" width="0" style="4" hidden="1" customWidth="1"/>
    <col min="13319" max="13319" width="5.5703125" style="4" customWidth="1"/>
    <col min="13320" max="13320" width="4.140625" style="4" customWidth="1"/>
    <col min="13321" max="13321" width="3.7109375" style="4" customWidth="1"/>
    <col min="13322" max="13322" width="3.85546875" style="4" customWidth="1"/>
    <col min="13323" max="13323" width="0.42578125" style="4" customWidth="1"/>
    <col min="13324" max="13324" width="4.28515625" style="4" customWidth="1"/>
    <col min="13325" max="13325" width="5" style="4" customWidth="1"/>
    <col min="13326" max="13327" width="3.85546875" style="4" customWidth="1"/>
    <col min="13328" max="13328" width="5.28515625" style="4" customWidth="1"/>
    <col min="13329" max="13329" width="3.28515625" style="4" customWidth="1"/>
    <col min="13330" max="13330" width="0" style="4" hidden="1" customWidth="1"/>
    <col min="13331" max="13331" width="3" style="4" customWidth="1"/>
    <col min="13332" max="13332" width="4" style="4" customWidth="1"/>
    <col min="13333" max="13333" width="8.5703125" style="4" customWidth="1"/>
    <col min="13334" max="13558" width="9.140625" style="4"/>
    <col min="13559" max="13559" width="3.5703125" style="4" customWidth="1"/>
    <col min="13560" max="13560" width="5.85546875" style="4" customWidth="1"/>
    <col min="13561" max="13561" width="4.42578125" style="4" customWidth="1"/>
    <col min="13562" max="13562" width="4.5703125" style="4" customWidth="1"/>
    <col min="13563" max="13563" width="2.7109375" style="4" customWidth="1"/>
    <col min="13564" max="13564" width="4" style="4" customWidth="1"/>
    <col min="13565" max="13565" width="4.85546875" style="4" customWidth="1"/>
    <col min="13566" max="13566" width="4.140625" style="4" customWidth="1"/>
    <col min="13567" max="13567" width="4.85546875" style="4" customWidth="1"/>
    <col min="13568" max="13568" width="4.5703125" style="4" customWidth="1"/>
    <col min="13569" max="13569" width="6" style="4" customWidth="1"/>
    <col min="13570" max="13570" width="5.5703125" style="4" customWidth="1"/>
    <col min="13571" max="13571" width="0.28515625" style="4" customWidth="1"/>
    <col min="13572" max="13574" width="0" style="4" hidden="1" customWidth="1"/>
    <col min="13575" max="13575" width="5.5703125" style="4" customWidth="1"/>
    <col min="13576" max="13576" width="4.140625" style="4" customWidth="1"/>
    <col min="13577" max="13577" width="3.7109375" style="4" customWidth="1"/>
    <col min="13578" max="13578" width="3.85546875" style="4" customWidth="1"/>
    <col min="13579" max="13579" width="0.42578125" style="4" customWidth="1"/>
    <col min="13580" max="13580" width="4.28515625" style="4" customWidth="1"/>
    <col min="13581" max="13581" width="5" style="4" customWidth="1"/>
    <col min="13582" max="13583" width="3.85546875" style="4" customWidth="1"/>
    <col min="13584" max="13584" width="5.28515625" style="4" customWidth="1"/>
    <col min="13585" max="13585" width="3.28515625" style="4" customWidth="1"/>
    <col min="13586" max="13586" width="0" style="4" hidden="1" customWidth="1"/>
    <col min="13587" max="13587" width="3" style="4" customWidth="1"/>
    <col min="13588" max="13588" width="4" style="4" customWidth="1"/>
    <col min="13589" max="13589" width="8.5703125" style="4" customWidth="1"/>
    <col min="13590" max="13814" width="9.140625" style="4"/>
    <col min="13815" max="13815" width="3.5703125" style="4" customWidth="1"/>
    <col min="13816" max="13816" width="5.85546875" style="4" customWidth="1"/>
    <col min="13817" max="13817" width="4.42578125" style="4" customWidth="1"/>
    <col min="13818" max="13818" width="4.5703125" style="4" customWidth="1"/>
    <col min="13819" max="13819" width="2.7109375" style="4" customWidth="1"/>
    <col min="13820" max="13820" width="4" style="4" customWidth="1"/>
    <col min="13821" max="13821" width="4.85546875" style="4" customWidth="1"/>
    <col min="13822" max="13822" width="4.140625" style="4" customWidth="1"/>
    <col min="13823" max="13823" width="4.85546875" style="4" customWidth="1"/>
    <col min="13824" max="13824" width="4.5703125" style="4" customWidth="1"/>
    <col min="13825" max="13825" width="6" style="4" customWidth="1"/>
    <col min="13826" max="13826" width="5.5703125" style="4" customWidth="1"/>
    <col min="13827" max="13827" width="0.28515625" style="4" customWidth="1"/>
    <col min="13828" max="13830" width="0" style="4" hidden="1" customWidth="1"/>
    <col min="13831" max="13831" width="5.5703125" style="4" customWidth="1"/>
    <col min="13832" max="13832" width="4.140625" style="4" customWidth="1"/>
    <col min="13833" max="13833" width="3.7109375" style="4" customWidth="1"/>
    <col min="13834" max="13834" width="3.85546875" style="4" customWidth="1"/>
    <col min="13835" max="13835" width="0.42578125" style="4" customWidth="1"/>
    <col min="13836" max="13836" width="4.28515625" style="4" customWidth="1"/>
    <col min="13837" max="13837" width="5" style="4" customWidth="1"/>
    <col min="13838" max="13839" width="3.85546875" style="4" customWidth="1"/>
    <col min="13840" max="13840" width="5.28515625" style="4" customWidth="1"/>
    <col min="13841" max="13841" width="3.28515625" style="4" customWidth="1"/>
    <col min="13842" max="13842" width="0" style="4" hidden="1" customWidth="1"/>
    <col min="13843" max="13843" width="3" style="4" customWidth="1"/>
    <col min="13844" max="13844" width="4" style="4" customWidth="1"/>
    <col min="13845" max="13845" width="8.5703125" style="4" customWidth="1"/>
    <col min="13846" max="14070" width="9.140625" style="4"/>
    <col min="14071" max="14071" width="3.5703125" style="4" customWidth="1"/>
    <col min="14072" max="14072" width="5.85546875" style="4" customWidth="1"/>
    <col min="14073" max="14073" width="4.42578125" style="4" customWidth="1"/>
    <col min="14074" max="14074" width="4.5703125" style="4" customWidth="1"/>
    <col min="14075" max="14075" width="2.7109375" style="4" customWidth="1"/>
    <col min="14076" max="14076" width="4" style="4" customWidth="1"/>
    <col min="14077" max="14077" width="4.85546875" style="4" customWidth="1"/>
    <col min="14078" max="14078" width="4.140625" style="4" customWidth="1"/>
    <col min="14079" max="14079" width="4.85546875" style="4" customWidth="1"/>
    <col min="14080" max="14080" width="4.5703125" style="4" customWidth="1"/>
    <col min="14081" max="14081" width="6" style="4" customWidth="1"/>
    <col min="14082" max="14082" width="5.5703125" style="4" customWidth="1"/>
    <col min="14083" max="14083" width="0.28515625" style="4" customWidth="1"/>
    <col min="14084" max="14086" width="0" style="4" hidden="1" customWidth="1"/>
    <col min="14087" max="14087" width="5.5703125" style="4" customWidth="1"/>
    <col min="14088" max="14088" width="4.140625" style="4" customWidth="1"/>
    <col min="14089" max="14089" width="3.7109375" style="4" customWidth="1"/>
    <col min="14090" max="14090" width="3.85546875" style="4" customWidth="1"/>
    <col min="14091" max="14091" width="0.42578125" style="4" customWidth="1"/>
    <col min="14092" max="14092" width="4.28515625" style="4" customWidth="1"/>
    <col min="14093" max="14093" width="5" style="4" customWidth="1"/>
    <col min="14094" max="14095" width="3.85546875" style="4" customWidth="1"/>
    <col min="14096" max="14096" width="5.28515625" style="4" customWidth="1"/>
    <col min="14097" max="14097" width="3.28515625" style="4" customWidth="1"/>
    <col min="14098" max="14098" width="0" style="4" hidden="1" customWidth="1"/>
    <col min="14099" max="14099" width="3" style="4" customWidth="1"/>
    <col min="14100" max="14100" width="4" style="4" customWidth="1"/>
    <col min="14101" max="14101" width="8.5703125" style="4" customWidth="1"/>
    <col min="14102" max="14326" width="9.140625" style="4"/>
    <col min="14327" max="14327" width="3.5703125" style="4" customWidth="1"/>
    <col min="14328" max="14328" width="5.85546875" style="4" customWidth="1"/>
    <col min="14329" max="14329" width="4.42578125" style="4" customWidth="1"/>
    <col min="14330" max="14330" width="4.5703125" style="4" customWidth="1"/>
    <col min="14331" max="14331" width="2.7109375" style="4" customWidth="1"/>
    <col min="14332" max="14332" width="4" style="4" customWidth="1"/>
    <col min="14333" max="14333" width="4.85546875" style="4" customWidth="1"/>
    <col min="14334" max="14334" width="4.140625" style="4" customWidth="1"/>
    <col min="14335" max="14335" width="4.85546875" style="4" customWidth="1"/>
    <col min="14336" max="14336" width="4.5703125" style="4" customWidth="1"/>
    <col min="14337" max="14337" width="6" style="4" customWidth="1"/>
    <col min="14338" max="14338" width="5.5703125" style="4" customWidth="1"/>
    <col min="14339" max="14339" width="0.28515625" style="4" customWidth="1"/>
    <col min="14340" max="14342" width="0" style="4" hidden="1" customWidth="1"/>
    <col min="14343" max="14343" width="5.5703125" style="4" customWidth="1"/>
    <col min="14344" max="14344" width="4.140625" style="4" customWidth="1"/>
    <col min="14345" max="14345" width="3.7109375" style="4" customWidth="1"/>
    <col min="14346" max="14346" width="3.85546875" style="4" customWidth="1"/>
    <col min="14347" max="14347" width="0.42578125" style="4" customWidth="1"/>
    <col min="14348" max="14348" width="4.28515625" style="4" customWidth="1"/>
    <col min="14349" max="14349" width="5" style="4" customWidth="1"/>
    <col min="14350" max="14351" width="3.85546875" style="4" customWidth="1"/>
    <col min="14352" max="14352" width="5.28515625" style="4" customWidth="1"/>
    <col min="14353" max="14353" width="3.28515625" style="4" customWidth="1"/>
    <col min="14354" max="14354" width="0" style="4" hidden="1" customWidth="1"/>
    <col min="14355" max="14355" width="3" style="4" customWidth="1"/>
    <col min="14356" max="14356" width="4" style="4" customWidth="1"/>
    <col min="14357" max="14357" width="8.5703125" style="4" customWidth="1"/>
    <col min="14358" max="14582" width="9.140625" style="4"/>
    <col min="14583" max="14583" width="3.5703125" style="4" customWidth="1"/>
    <col min="14584" max="14584" width="5.85546875" style="4" customWidth="1"/>
    <col min="14585" max="14585" width="4.42578125" style="4" customWidth="1"/>
    <col min="14586" max="14586" width="4.5703125" style="4" customWidth="1"/>
    <col min="14587" max="14587" width="2.7109375" style="4" customWidth="1"/>
    <col min="14588" max="14588" width="4" style="4" customWidth="1"/>
    <col min="14589" max="14589" width="4.85546875" style="4" customWidth="1"/>
    <col min="14590" max="14590" width="4.140625" style="4" customWidth="1"/>
    <col min="14591" max="14591" width="4.85546875" style="4" customWidth="1"/>
    <col min="14592" max="14592" width="4.5703125" style="4" customWidth="1"/>
    <col min="14593" max="14593" width="6" style="4" customWidth="1"/>
    <col min="14594" max="14594" width="5.5703125" style="4" customWidth="1"/>
    <col min="14595" max="14595" width="0.28515625" style="4" customWidth="1"/>
    <col min="14596" max="14598" width="0" style="4" hidden="1" customWidth="1"/>
    <col min="14599" max="14599" width="5.5703125" style="4" customWidth="1"/>
    <col min="14600" max="14600" width="4.140625" style="4" customWidth="1"/>
    <col min="14601" max="14601" width="3.7109375" style="4" customWidth="1"/>
    <col min="14602" max="14602" width="3.85546875" style="4" customWidth="1"/>
    <col min="14603" max="14603" width="0.42578125" style="4" customWidth="1"/>
    <col min="14604" max="14604" width="4.28515625" style="4" customWidth="1"/>
    <col min="14605" max="14605" width="5" style="4" customWidth="1"/>
    <col min="14606" max="14607" width="3.85546875" style="4" customWidth="1"/>
    <col min="14608" max="14608" width="5.28515625" style="4" customWidth="1"/>
    <col min="14609" max="14609" width="3.28515625" style="4" customWidth="1"/>
    <col min="14610" max="14610" width="0" style="4" hidden="1" customWidth="1"/>
    <col min="14611" max="14611" width="3" style="4" customWidth="1"/>
    <col min="14612" max="14612" width="4" style="4" customWidth="1"/>
    <col min="14613" max="14613" width="8.5703125" style="4" customWidth="1"/>
    <col min="14614" max="14838" width="9.140625" style="4"/>
    <col min="14839" max="14839" width="3.5703125" style="4" customWidth="1"/>
    <col min="14840" max="14840" width="5.85546875" style="4" customWidth="1"/>
    <col min="14841" max="14841" width="4.42578125" style="4" customWidth="1"/>
    <col min="14842" max="14842" width="4.5703125" style="4" customWidth="1"/>
    <col min="14843" max="14843" width="2.7109375" style="4" customWidth="1"/>
    <col min="14844" max="14844" width="4" style="4" customWidth="1"/>
    <col min="14845" max="14845" width="4.85546875" style="4" customWidth="1"/>
    <col min="14846" max="14846" width="4.140625" style="4" customWidth="1"/>
    <col min="14847" max="14847" width="4.85546875" style="4" customWidth="1"/>
    <col min="14848" max="14848" width="4.5703125" style="4" customWidth="1"/>
    <col min="14849" max="14849" width="6" style="4" customWidth="1"/>
    <col min="14850" max="14850" width="5.5703125" style="4" customWidth="1"/>
    <col min="14851" max="14851" width="0.28515625" style="4" customWidth="1"/>
    <col min="14852" max="14854" width="0" style="4" hidden="1" customWidth="1"/>
    <col min="14855" max="14855" width="5.5703125" style="4" customWidth="1"/>
    <col min="14856" max="14856" width="4.140625" style="4" customWidth="1"/>
    <col min="14857" max="14857" width="3.7109375" style="4" customWidth="1"/>
    <col min="14858" max="14858" width="3.85546875" style="4" customWidth="1"/>
    <col min="14859" max="14859" width="0.42578125" style="4" customWidth="1"/>
    <col min="14860" max="14860" width="4.28515625" style="4" customWidth="1"/>
    <col min="14861" max="14861" width="5" style="4" customWidth="1"/>
    <col min="14862" max="14863" width="3.85546875" style="4" customWidth="1"/>
    <col min="14864" max="14864" width="5.28515625" style="4" customWidth="1"/>
    <col min="14865" max="14865" width="3.28515625" style="4" customWidth="1"/>
    <col min="14866" max="14866" width="0" style="4" hidden="1" customWidth="1"/>
    <col min="14867" max="14867" width="3" style="4" customWidth="1"/>
    <col min="14868" max="14868" width="4" style="4" customWidth="1"/>
    <col min="14869" max="14869" width="8.5703125" style="4" customWidth="1"/>
    <col min="14870" max="15094" width="9.140625" style="4"/>
    <col min="15095" max="15095" width="3.5703125" style="4" customWidth="1"/>
    <col min="15096" max="15096" width="5.85546875" style="4" customWidth="1"/>
    <col min="15097" max="15097" width="4.42578125" style="4" customWidth="1"/>
    <col min="15098" max="15098" width="4.5703125" style="4" customWidth="1"/>
    <col min="15099" max="15099" width="2.7109375" style="4" customWidth="1"/>
    <col min="15100" max="15100" width="4" style="4" customWidth="1"/>
    <col min="15101" max="15101" width="4.85546875" style="4" customWidth="1"/>
    <col min="15102" max="15102" width="4.140625" style="4" customWidth="1"/>
    <col min="15103" max="15103" width="4.85546875" style="4" customWidth="1"/>
    <col min="15104" max="15104" width="4.5703125" style="4" customWidth="1"/>
    <col min="15105" max="15105" width="6" style="4" customWidth="1"/>
    <col min="15106" max="15106" width="5.5703125" style="4" customWidth="1"/>
    <col min="15107" max="15107" width="0.28515625" style="4" customWidth="1"/>
    <col min="15108" max="15110" width="0" style="4" hidden="1" customWidth="1"/>
    <col min="15111" max="15111" width="5.5703125" style="4" customWidth="1"/>
    <col min="15112" max="15112" width="4.140625" style="4" customWidth="1"/>
    <col min="15113" max="15113" width="3.7109375" style="4" customWidth="1"/>
    <col min="15114" max="15114" width="3.85546875" style="4" customWidth="1"/>
    <col min="15115" max="15115" width="0.42578125" style="4" customWidth="1"/>
    <col min="15116" max="15116" width="4.28515625" style="4" customWidth="1"/>
    <col min="15117" max="15117" width="5" style="4" customWidth="1"/>
    <col min="15118" max="15119" width="3.85546875" style="4" customWidth="1"/>
    <col min="15120" max="15120" width="5.28515625" style="4" customWidth="1"/>
    <col min="15121" max="15121" width="3.28515625" style="4" customWidth="1"/>
    <col min="15122" max="15122" width="0" style="4" hidden="1" customWidth="1"/>
    <col min="15123" max="15123" width="3" style="4" customWidth="1"/>
    <col min="15124" max="15124" width="4" style="4" customWidth="1"/>
    <col min="15125" max="15125" width="8.5703125" style="4" customWidth="1"/>
    <col min="15126" max="15350" width="9.140625" style="4"/>
    <col min="15351" max="15351" width="3.5703125" style="4" customWidth="1"/>
    <col min="15352" max="15352" width="5.85546875" style="4" customWidth="1"/>
    <col min="15353" max="15353" width="4.42578125" style="4" customWidth="1"/>
    <col min="15354" max="15354" width="4.5703125" style="4" customWidth="1"/>
    <col min="15355" max="15355" width="2.7109375" style="4" customWidth="1"/>
    <col min="15356" max="15356" width="4" style="4" customWidth="1"/>
    <col min="15357" max="15357" width="4.85546875" style="4" customWidth="1"/>
    <col min="15358" max="15358" width="4.140625" style="4" customWidth="1"/>
    <col min="15359" max="15359" width="4.85546875" style="4" customWidth="1"/>
    <col min="15360" max="15360" width="4.5703125" style="4" customWidth="1"/>
    <col min="15361" max="15361" width="6" style="4" customWidth="1"/>
    <col min="15362" max="15362" width="5.5703125" style="4" customWidth="1"/>
    <col min="15363" max="15363" width="0.28515625" style="4" customWidth="1"/>
    <col min="15364" max="15366" width="0" style="4" hidden="1" customWidth="1"/>
    <col min="15367" max="15367" width="5.5703125" style="4" customWidth="1"/>
    <col min="15368" max="15368" width="4.140625" style="4" customWidth="1"/>
    <col min="15369" max="15369" width="3.7109375" style="4" customWidth="1"/>
    <col min="15370" max="15370" width="3.85546875" style="4" customWidth="1"/>
    <col min="15371" max="15371" width="0.42578125" style="4" customWidth="1"/>
    <col min="15372" max="15372" width="4.28515625" style="4" customWidth="1"/>
    <col min="15373" max="15373" width="5" style="4" customWidth="1"/>
    <col min="15374" max="15375" width="3.85546875" style="4" customWidth="1"/>
    <col min="15376" max="15376" width="5.28515625" style="4" customWidth="1"/>
    <col min="15377" max="15377" width="3.28515625" style="4" customWidth="1"/>
    <col min="15378" max="15378" width="0" style="4" hidden="1" customWidth="1"/>
    <col min="15379" max="15379" width="3" style="4" customWidth="1"/>
    <col min="15380" max="15380" width="4" style="4" customWidth="1"/>
    <col min="15381" max="15381" width="8.5703125" style="4" customWidth="1"/>
    <col min="15382" max="15606" width="9.140625" style="4"/>
    <col min="15607" max="15607" width="3.5703125" style="4" customWidth="1"/>
    <col min="15608" max="15608" width="5.85546875" style="4" customWidth="1"/>
    <col min="15609" max="15609" width="4.42578125" style="4" customWidth="1"/>
    <col min="15610" max="15610" width="4.5703125" style="4" customWidth="1"/>
    <col min="15611" max="15611" width="2.7109375" style="4" customWidth="1"/>
    <col min="15612" max="15612" width="4" style="4" customWidth="1"/>
    <col min="15613" max="15613" width="4.85546875" style="4" customWidth="1"/>
    <col min="15614" max="15614" width="4.140625" style="4" customWidth="1"/>
    <col min="15615" max="15615" width="4.85546875" style="4" customWidth="1"/>
    <col min="15616" max="15616" width="4.5703125" style="4" customWidth="1"/>
    <col min="15617" max="15617" width="6" style="4" customWidth="1"/>
    <col min="15618" max="15618" width="5.5703125" style="4" customWidth="1"/>
    <col min="15619" max="15619" width="0.28515625" style="4" customWidth="1"/>
    <col min="15620" max="15622" width="0" style="4" hidden="1" customWidth="1"/>
    <col min="15623" max="15623" width="5.5703125" style="4" customWidth="1"/>
    <col min="15624" max="15624" width="4.140625" style="4" customWidth="1"/>
    <col min="15625" max="15625" width="3.7109375" style="4" customWidth="1"/>
    <col min="15626" max="15626" width="3.85546875" style="4" customWidth="1"/>
    <col min="15627" max="15627" width="0.42578125" style="4" customWidth="1"/>
    <col min="15628" max="15628" width="4.28515625" style="4" customWidth="1"/>
    <col min="15629" max="15629" width="5" style="4" customWidth="1"/>
    <col min="15630" max="15631" width="3.85546875" style="4" customWidth="1"/>
    <col min="15632" max="15632" width="5.28515625" style="4" customWidth="1"/>
    <col min="15633" max="15633" width="3.28515625" style="4" customWidth="1"/>
    <col min="15634" max="15634" width="0" style="4" hidden="1" customWidth="1"/>
    <col min="15635" max="15635" width="3" style="4" customWidth="1"/>
    <col min="15636" max="15636" width="4" style="4" customWidth="1"/>
    <col min="15637" max="15637" width="8.5703125" style="4" customWidth="1"/>
    <col min="15638" max="15862" width="9.140625" style="4"/>
    <col min="15863" max="15863" width="3.5703125" style="4" customWidth="1"/>
    <col min="15864" max="15864" width="5.85546875" style="4" customWidth="1"/>
    <col min="15865" max="15865" width="4.42578125" style="4" customWidth="1"/>
    <col min="15866" max="15866" width="4.5703125" style="4" customWidth="1"/>
    <col min="15867" max="15867" width="2.7109375" style="4" customWidth="1"/>
    <col min="15868" max="15868" width="4" style="4" customWidth="1"/>
    <col min="15869" max="15869" width="4.85546875" style="4" customWidth="1"/>
    <col min="15870" max="15870" width="4.140625" style="4" customWidth="1"/>
    <col min="15871" max="15871" width="4.85546875" style="4" customWidth="1"/>
    <col min="15872" max="15872" width="4.5703125" style="4" customWidth="1"/>
    <col min="15873" max="15873" width="6" style="4" customWidth="1"/>
    <col min="15874" max="15874" width="5.5703125" style="4" customWidth="1"/>
    <col min="15875" max="15875" width="0.28515625" style="4" customWidth="1"/>
    <col min="15876" max="15878" width="0" style="4" hidden="1" customWidth="1"/>
    <col min="15879" max="15879" width="5.5703125" style="4" customWidth="1"/>
    <col min="15880" max="15880" width="4.140625" style="4" customWidth="1"/>
    <col min="15881" max="15881" width="3.7109375" style="4" customWidth="1"/>
    <col min="15882" max="15882" width="3.85546875" style="4" customWidth="1"/>
    <col min="15883" max="15883" width="0.42578125" style="4" customWidth="1"/>
    <col min="15884" max="15884" width="4.28515625" style="4" customWidth="1"/>
    <col min="15885" max="15885" width="5" style="4" customWidth="1"/>
    <col min="15886" max="15887" width="3.85546875" style="4" customWidth="1"/>
    <col min="15888" max="15888" width="5.28515625" style="4" customWidth="1"/>
    <col min="15889" max="15889" width="3.28515625" style="4" customWidth="1"/>
    <col min="15890" max="15890" width="0" style="4" hidden="1" customWidth="1"/>
    <col min="15891" max="15891" width="3" style="4" customWidth="1"/>
    <col min="15892" max="15892" width="4" style="4" customWidth="1"/>
    <col min="15893" max="15893" width="8.5703125" style="4" customWidth="1"/>
    <col min="15894" max="16118" width="9.140625" style="4"/>
    <col min="16119" max="16119" width="3.5703125" style="4" customWidth="1"/>
    <col min="16120" max="16120" width="5.85546875" style="4" customWidth="1"/>
    <col min="16121" max="16121" width="4.42578125" style="4" customWidth="1"/>
    <col min="16122" max="16122" width="4.5703125" style="4" customWidth="1"/>
    <col min="16123" max="16123" width="2.7109375" style="4" customWidth="1"/>
    <col min="16124" max="16124" width="4" style="4" customWidth="1"/>
    <col min="16125" max="16125" width="4.85546875" style="4" customWidth="1"/>
    <col min="16126" max="16126" width="4.140625" style="4" customWidth="1"/>
    <col min="16127" max="16127" width="4.85546875" style="4" customWidth="1"/>
    <col min="16128" max="16128" width="4.5703125" style="4" customWidth="1"/>
    <col min="16129" max="16129" width="6" style="4" customWidth="1"/>
    <col min="16130" max="16130" width="5.5703125" style="4" customWidth="1"/>
    <col min="16131" max="16131" width="0.28515625" style="4" customWidth="1"/>
    <col min="16132" max="16134" width="0" style="4" hidden="1" customWidth="1"/>
    <col min="16135" max="16135" width="5.5703125" style="4" customWidth="1"/>
    <col min="16136" max="16136" width="4.140625" style="4" customWidth="1"/>
    <col min="16137" max="16137" width="3.7109375" style="4" customWidth="1"/>
    <col min="16138" max="16138" width="3.85546875" style="4" customWidth="1"/>
    <col min="16139" max="16139" width="0.42578125" style="4" customWidth="1"/>
    <col min="16140" max="16140" width="4.28515625" style="4" customWidth="1"/>
    <col min="16141" max="16141" width="5" style="4" customWidth="1"/>
    <col min="16142" max="16143" width="3.85546875" style="4" customWidth="1"/>
    <col min="16144" max="16144" width="5.28515625" style="4" customWidth="1"/>
    <col min="16145" max="16145" width="3.28515625" style="4" customWidth="1"/>
    <col min="16146" max="16146" width="0" style="4" hidden="1" customWidth="1"/>
    <col min="16147" max="16147" width="3" style="4" customWidth="1"/>
    <col min="16148" max="16148" width="4" style="4" customWidth="1"/>
    <col min="16149" max="16149" width="8.5703125" style="4" customWidth="1"/>
    <col min="16150" max="16379" width="9.140625" style="4"/>
    <col min="16380" max="16384" width="8.85546875" style="4" customWidth="1"/>
  </cols>
  <sheetData>
    <row r="1" spans="1:28" ht="14.4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633</v>
      </c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</row>
    <row r="2" spans="1:28" ht="14.4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1"/>
      <c r="L2" s="5" t="s">
        <v>0</v>
      </c>
      <c r="M2" s="5"/>
      <c r="N2" s="5"/>
      <c r="O2" s="5"/>
      <c r="P2" s="5"/>
      <c r="Q2" s="5"/>
      <c r="R2" s="5"/>
      <c r="S2" s="5"/>
      <c r="T2" s="5"/>
      <c r="U2" s="6"/>
      <c r="V2" s="6"/>
      <c r="W2" s="6"/>
      <c r="X2" s="6"/>
      <c r="Y2" s="6"/>
      <c r="Z2" s="6"/>
      <c r="AA2" s="6"/>
    </row>
    <row r="3" spans="1:28" ht="14.45" customHeight="1" x14ac:dyDescent="0.25">
      <c r="A3" s="2" t="s">
        <v>636</v>
      </c>
      <c r="B3" s="2"/>
      <c r="C3" s="2"/>
      <c r="D3" s="2"/>
      <c r="E3" s="2"/>
      <c r="F3" s="2"/>
      <c r="G3" s="3"/>
      <c r="H3" s="3"/>
      <c r="I3" s="3"/>
      <c r="J3" s="3"/>
      <c r="K3" s="1"/>
      <c r="L3" s="2" t="s">
        <v>634</v>
      </c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3"/>
      <c r="Z3" s="3"/>
      <c r="AA3" s="3"/>
    </row>
    <row r="4" spans="1:28" ht="14.45" customHeight="1" x14ac:dyDescent="0.25">
      <c r="A4" s="7" t="s">
        <v>1</v>
      </c>
      <c r="B4" s="7"/>
      <c r="C4" s="7"/>
      <c r="D4" s="7"/>
      <c r="E4" s="7"/>
      <c r="F4" s="7"/>
      <c r="G4" s="8"/>
      <c r="H4" s="8"/>
      <c r="I4" s="8"/>
      <c r="J4" s="8"/>
      <c r="K4" s="3"/>
      <c r="L4" s="5" t="s">
        <v>2</v>
      </c>
      <c r="M4" s="5"/>
      <c r="N4" s="5"/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</row>
    <row r="5" spans="1:28" ht="140.25" customHeight="1" x14ac:dyDescent="0.25">
      <c r="A5" s="9"/>
      <c r="B5" s="9"/>
      <c r="C5" s="9"/>
      <c r="D5" s="9"/>
      <c r="E5" s="9"/>
      <c r="F5" s="9"/>
      <c r="G5" s="1"/>
      <c r="H5" s="1"/>
      <c r="I5" s="1"/>
      <c r="J5" s="1"/>
      <c r="K5" s="1"/>
      <c r="L5" s="10" t="s">
        <v>635</v>
      </c>
      <c r="M5" s="10"/>
      <c r="N5" s="10"/>
      <c r="O5" s="10"/>
      <c r="P5" s="10"/>
      <c r="Q5" s="10"/>
      <c r="R5" s="10"/>
      <c r="S5" s="10"/>
      <c r="T5" s="10"/>
      <c r="U5" s="11"/>
      <c r="V5" s="11"/>
      <c r="W5" s="11"/>
      <c r="X5" s="11"/>
      <c r="Y5" s="11"/>
      <c r="Z5" s="11"/>
      <c r="AA5" s="11"/>
    </row>
    <row r="6" spans="1:28" ht="14.45" customHeight="1" x14ac:dyDescent="0.25">
      <c r="A6" s="5" t="s">
        <v>3</v>
      </c>
      <c r="B6" s="5"/>
      <c r="C6" s="5"/>
      <c r="D6" s="5"/>
      <c r="E6" s="5"/>
      <c r="F6" s="5"/>
      <c r="G6" s="6"/>
      <c r="H6" s="6"/>
      <c r="I6" s="6"/>
      <c r="J6" s="6"/>
      <c r="K6" s="1"/>
      <c r="L6" s="5" t="s">
        <v>4</v>
      </c>
      <c r="M6" s="5"/>
      <c r="N6" s="5"/>
      <c r="O6" s="5"/>
      <c r="P6" s="5"/>
      <c r="Q6" s="5"/>
      <c r="R6" s="5"/>
      <c r="S6" s="5"/>
      <c r="T6" s="5"/>
      <c r="U6" s="6"/>
      <c r="V6" s="6"/>
      <c r="W6" s="6"/>
      <c r="X6" s="6"/>
      <c r="Y6" s="6"/>
      <c r="Z6" s="6"/>
      <c r="AA6" s="6"/>
    </row>
    <row r="7" spans="1:28" ht="14.45" customHeight="1" x14ac:dyDescent="0.25">
      <c r="A7" s="9"/>
      <c r="B7" s="9"/>
      <c r="C7" s="9"/>
      <c r="D7" s="9"/>
      <c r="E7" s="9"/>
      <c r="F7" s="9"/>
      <c r="G7" s="1"/>
      <c r="H7" s="1"/>
      <c r="I7" s="1"/>
      <c r="J7" s="1"/>
      <c r="K7" s="1"/>
      <c r="L7" s="12">
        <v>45625</v>
      </c>
      <c r="M7" s="12"/>
      <c r="N7" s="12"/>
      <c r="O7" s="12"/>
      <c r="P7" s="12"/>
      <c r="Q7" s="12"/>
      <c r="R7" s="12"/>
      <c r="S7" s="12"/>
      <c r="T7" s="12"/>
      <c r="U7" s="3"/>
      <c r="V7" s="3"/>
      <c r="W7" s="3"/>
      <c r="X7" s="3"/>
      <c r="Y7" s="3"/>
      <c r="Z7" s="3"/>
      <c r="AA7" s="3"/>
    </row>
    <row r="8" spans="1:28" ht="14.45" customHeight="1" x14ac:dyDescent="0.25">
      <c r="A8" s="5" t="s">
        <v>5</v>
      </c>
      <c r="B8" s="5"/>
      <c r="C8" s="5"/>
      <c r="D8" s="5"/>
      <c r="E8" s="5"/>
      <c r="F8" s="5"/>
      <c r="G8" s="6"/>
      <c r="H8" s="6"/>
      <c r="I8" s="6"/>
      <c r="J8" s="6"/>
      <c r="K8" s="1"/>
      <c r="L8" s="5" t="s">
        <v>6</v>
      </c>
      <c r="M8" s="5"/>
      <c r="N8" s="5"/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</row>
    <row r="9" spans="1:2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3"/>
      <c r="T9" s="13"/>
      <c r="U9" s="14"/>
    </row>
    <row r="10" spans="1:28" ht="34.15" customHeight="1" x14ac:dyDescent="0.25">
      <c r="A10" s="15" t="s">
        <v>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4"/>
      <c r="V10" s="16"/>
      <c r="W10" s="16"/>
      <c r="X10" s="16"/>
      <c r="Y10" s="16"/>
      <c r="Z10" s="16"/>
      <c r="AA10" s="16"/>
    </row>
    <row r="11" spans="1:28" ht="28.5" customHeight="1" x14ac:dyDescent="0.25">
      <c r="A11" s="17" t="s">
        <v>8</v>
      </c>
      <c r="B11" s="18" t="s">
        <v>9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 t="s">
        <v>10</v>
      </c>
      <c r="Q11" s="18"/>
      <c r="R11" s="18" t="s">
        <v>11</v>
      </c>
      <c r="S11" s="18"/>
      <c r="T11" s="18"/>
      <c r="U11" s="14"/>
      <c r="V11" s="19"/>
      <c r="W11" s="19"/>
      <c r="X11" s="19"/>
      <c r="Y11" s="19"/>
      <c r="Z11" s="19"/>
      <c r="AA11" s="19"/>
    </row>
    <row r="12" spans="1:28" ht="18.600000000000001" customHeight="1" x14ac:dyDescent="0.25">
      <c r="A12" s="20"/>
      <c r="B12" s="21" t="s">
        <v>12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4"/>
      <c r="S12" s="25"/>
      <c r="T12" s="26"/>
      <c r="U12" s="27"/>
      <c r="V12" s="28"/>
      <c r="W12" s="28"/>
      <c r="X12" s="28"/>
      <c r="Y12" s="28"/>
      <c r="Z12" s="28"/>
      <c r="AA12" s="28"/>
      <c r="AB12" s="29"/>
    </row>
    <row r="13" spans="1:28" ht="15" customHeight="1" x14ac:dyDescent="0.25">
      <c r="A13" s="17" t="s">
        <v>13</v>
      </c>
      <c r="B13" s="30" t="s">
        <v>14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2"/>
      <c r="P13" s="24"/>
      <c r="Q13" s="25"/>
      <c r="R13" s="24"/>
      <c r="S13" s="25"/>
      <c r="T13" s="26"/>
      <c r="U13" s="27"/>
      <c r="V13" s="28"/>
      <c r="W13" s="28"/>
      <c r="X13" s="28"/>
      <c r="Y13" s="28"/>
      <c r="Z13" s="28"/>
      <c r="AA13" s="28"/>
      <c r="AB13" s="29"/>
    </row>
    <row r="14" spans="1:28" ht="15.75" x14ac:dyDescent="0.25">
      <c r="A14" s="20" t="s">
        <v>15</v>
      </c>
      <c r="B14" s="33" t="s">
        <v>16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24" t="s">
        <v>17</v>
      </c>
      <c r="Q14" s="25"/>
      <c r="R14" s="36">
        <f>SUM(R15:T16)</f>
        <v>1.3743300000000001</v>
      </c>
      <c r="S14" s="37"/>
      <c r="T14" s="38"/>
      <c r="U14" s="27"/>
      <c r="V14" s="28"/>
      <c r="W14" s="28"/>
      <c r="X14" s="28"/>
      <c r="Y14" s="28"/>
      <c r="Z14" s="28"/>
      <c r="AA14" s="28"/>
      <c r="AB14" s="29"/>
    </row>
    <row r="15" spans="1:28" ht="31.15" customHeight="1" x14ac:dyDescent="0.25">
      <c r="A15" s="20" t="s">
        <v>18</v>
      </c>
      <c r="B15" s="33" t="s">
        <v>19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5"/>
      <c r="P15" s="24" t="s">
        <v>17</v>
      </c>
      <c r="Q15" s="25"/>
      <c r="R15" s="36">
        <f>(80.62+53.72+18.33+11.36+26.46+52.56+54.25+55.63+56.72+36.8+39.7+37.17+39.19+10.92)/1000</f>
        <v>0.57343</v>
      </c>
      <c r="S15" s="37"/>
      <c r="T15" s="38"/>
      <c r="U15" s="27"/>
      <c r="V15" s="28"/>
      <c r="W15" s="28"/>
      <c r="X15" s="28"/>
      <c r="Y15" s="28"/>
      <c r="Z15" s="28"/>
      <c r="AA15" s="28"/>
      <c r="AB15" s="29"/>
    </row>
    <row r="16" spans="1:28" ht="15.75" x14ac:dyDescent="0.25">
      <c r="A16" s="20" t="s">
        <v>20</v>
      </c>
      <c r="B16" s="33" t="s">
        <v>21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5"/>
      <c r="P16" s="24" t="s">
        <v>17</v>
      </c>
      <c r="Q16" s="25"/>
      <c r="R16" s="36">
        <f>(21.5+306.5+251.5+85.5+0.9+128.2+0.1+6.7)/1000</f>
        <v>0.80089999999999995</v>
      </c>
      <c r="S16" s="37"/>
      <c r="T16" s="38"/>
      <c r="U16" s="27"/>
      <c r="V16" s="28"/>
      <c r="W16" s="28"/>
      <c r="X16" s="28"/>
      <c r="Y16" s="28"/>
      <c r="Z16" s="28"/>
      <c r="AA16" s="28"/>
      <c r="AB16" s="29"/>
    </row>
    <row r="17" spans="1:28" ht="15.75" x14ac:dyDescent="0.25">
      <c r="A17" s="20" t="s">
        <v>22</v>
      </c>
      <c r="B17" s="33" t="s">
        <v>23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24" t="s">
        <v>24</v>
      </c>
      <c r="Q17" s="25"/>
      <c r="R17" s="24" t="str">
        <f>CONCATENATE(SUM(R40:T42),"/",SUM(R40,R41*2,R42*3))</f>
        <v>15/20</v>
      </c>
      <c r="S17" s="25"/>
      <c r="T17" s="26"/>
      <c r="U17" s="27"/>
      <c r="V17" s="28"/>
      <c r="W17" s="28"/>
      <c r="X17" s="28"/>
      <c r="Y17" s="28"/>
      <c r="Z17" s="28"/>
      <c r="AA17" s="28"/>
      <c r="AB17" s="29"/>
    </row>
    <row r="18" spans="1:28" ht="34.5" customHeight="1" x14ac:dyDescent="0.25">
      <c r="A18" s="20" t="s">
        <v>25</v>
      </c>
      <c r="B18" s="33" t="s">
        <v>26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/>
      <c r="P18" s="24" t="s">
        <v>27</v>
      </c>
      <c r="Q18" s="25"/>
      <c r="R18" s="24" t="s">
        <v>28</v>
      </c>
      <c r="S18" s="25"/>
      <c r="T18" s="26"/>
      <c r="U18" s="27"/>
      <c r="V18" s="28"/>
      <c r="W18" s="28"/>
      <c r="X18" s="28"/>
      <c r="Y18" s="28"/>
      <c r="Z18" s="28"/>
      <c r="AA18" s="28"/>
      <c r="AB18" s="29"/>
    </row>
    <row r="19" spans="1:28" ht="15.75" x14ac:dyDescent="0.25">
      <c r="A19" s="20" t="s">
        <v>29</v>
      </c>
      <c r="B19" s="33" t="s">
        <v>30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5"/>
      <c r="P19" s="24" t="s">
        <v>27</v>
      </c>
      <c r="Q19" s="25"/>
      <c r="R19" s="24" t="str">
        <f>R18</f>
        <v>0,56</v>
      </c>
      <c r="S19" s="25"/>
      <c r="T19" s="26"/>
      <c r="U19" s="27"/>
      <c r="V19" s="28"/>
      <c r="W19" s="28"/>
      <c r="X19" s="28"/>
      <c r="Y19" s="28"/>
      <c r="Z19" s="28"/>
      <c r="AA19" s="28"/>
      <c r="AB19" s="29"/>
    </row>
    <row r="20" spans="1:28" ht="15.75" x14ac:dyDescent="0.25">
      <c r="A20" s="20" t="s">
        <v>31</v>
      </c>
      <c r="B20" s="33" t="s">
        <v>32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5"/>
      <c r="P20" s="24" t="s">
        <v>27</v>
      </c>
      <c r="Q20" s="25"/>
      <c r="R20" s="24" t="s">
        <v>33</v>
      </c>
      <c r="S20" s="25"/>
      <c r="T20" s="26"/>
      <c r="U20" s="27"/>
      <c r="V20" s="28"/>
      <c r="W20" s="28"/>
      <c r="X20" s="28"/>
      <c r="Y20" s="28"/>
      <c r="Z20" s="28"/>
      <c r="AA20" s="28"/>
      <c r="AB20" s="29"/>
    </row>
    <row r="21" spans="1:28" ht="15.75" x14ac:dyDescent="0.25">
      <c r="A21" s="17" t="s">
        <v>34</v>
      </c>
      <c r="B21" s="30" t="s">
        <v>35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2"/>
      <c r="P21" s="24" t="s">
        <v>36</v>
      </c>
      <c r="Q21" s="25"/>
      <c r="R21" s="24" t="s">
        <v>36</v>
      </c>
      <c r="S21" s="25"/>
      <c r="T21" s="26"/>
      <c r="U21" s="27"/>
      <c r="V21" s="28"/>
      <c r="W21" s="28"/>
      <c r="X21" s="28"/>
      <c r="Y21" s="28"/>
      <c r="Z21" s="28"/>
      <c r="AA21" s="28"/>
      <c r="AB21" s="29"/>
    </row>
    <row r="22" spans="1:28" ht="15.75" x14ac:dyDescent="0.25">
      <c r="A22" s="20" t="s">
        <v>37</v>
      </c>
      <c r="B22" s="33" t="s">
        <v>38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5"/>
      <c r="P22" s="24" t="s">
        <v>27</v>
      </c>
      <c r="Q22" s="25"/>
      <c r="R22" s="24" t="str">
        <f>R18</f>
        <v>0,56</v>
      </c>
      <c r="S22" s="25"/>
      <c r="T22" s="26"/>
      <c r="U22" s="27"/>
      <c r="V22" s="28"/>
      <c r="W22" s="28"/>
      <c r="X22" s="28"/>
      <c r="Y22" s="28"/>
      <c r="Z22" s="28"/>
      <c r="AA22" s="28"/>
      <c r="AB22" s="29"/>
    </row>
    <row r="23" spans="1:28" ht="15.75" x14ac:dyDescent="0.25">
      <c r="A23" s="17" t="s">
        <v>39</v>
      </c>
      <c r="B23" s="30" t="s">
        <v>40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2"/>
      <c r="P23" s="24" t="s">
        <v>36</v>
      </c>
      <c r="Q23" s="25"/>
      <c r="R23" s="24" t="s">
        <v>36</v>
      </c>
      <c r="S23" s="25"/>
      <c r="T23" s="26"/>
      <c r="U23" s="27"/>
      <c r="V23" s="28"/>
      <c r="W23" s="28"/>
      <c r="X23" s="28"/>
      <c r="Y23" s="28"/>
      <c r="Z23" s="28"/>
      <c r="AA23" s="28"/>
      <c r="AB23" s="29"/>
    </row>
    <row r="24" spans="1:28" ht="32.25" customHeight="1" x14ac:dyDescent="0.25">
      <c r="A24" s="20" t="s">
        <v>41</v>
      </c>
      <c r="B24" s="33" t="s">
        <v>42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5"/>
      <c r="P24" s="24" t="s">
        <v>43</v>
      </c>
      <c r="Q24" s="25"/>
      <c r="R24" s="24">
        <f>R47</f>
        <v>22.5</v>
      </c>
      <c r="S24" s="25"/>
      <c r="T24" s="26"/>
      <c r="U24" s="27"/>
      <c r="V24" s="28"/>
      <c r="W24" s="28"/>
      <c r="X24" s="28"/>
      <c r="Y24" s="28"/>
      <c r="Z24" s="28"/>
      <c r="AA24" s="28"/>
      <c r="AB24" s="29"/>
    </row>
    <row r="25" spans="1:28" ht="32.25" customHeight="1" x14ac:dyDescent="0.25">
      <c r="A25" s="20" t="s">
        <v>44</v>
      </c>
      <c r="B25" s="33" t="s">
        <v>45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5"/>
      <c r="P25" s="24" t="s">
        <v>43</v>
      </c>
      <c r="Q25" s="25"/>
      <c r="R25" s="24" t="s">
        <v>46</v>
      </c>
      <c r="S25" s="25"/>
      <c r="T25" s="26"/>
      <c r="U25" s="27"/>
      <c r="V25" s="28"/>
      <c r="W25" s="28"/>
      <c r="X25" s="28"/>
      <c r="Y25" s="28"/>
      <c r="Z25" s="28"/>
      <c r="AA25" s="28"/>
      <c r="AB25" s="29"/>
    </row>
    <row r="26" spans="1:28" ht="32.25" customHeight="1" x14ac:dyDescent="0.25">
      <c r="A26" s="20" t="s">
        <v>47</v>
      </c>
      <c r="B26" s="33" t="s">
        <v>48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5"/>
      <c r="P26" s="24" t="s">
        <v>43</v>
      </c>
      <c r="Q26" s="25"/>
      <c r="R26" s="24" t="s">
        <v>49</v>
      </c>
      <c r="S26" s="25"/>
      <c r="T26" s="26"/>
      <c r="U26" s="27"/>
      <c r="V26" s="28"/>
      <c r="W26" s="28"/>
      <c r="X26" s="28"/>
      <c r="Y26" s="28"/>
      <c r="Z26" s="28"/>
      <c r="AA26" s="28"/>
      <c r="AB26" s="29"/>
    </row>
    <row r="27" spans="1:28" ht="32.25" customHeight="1" x14ac:dyDescent="0.25">
      <c r="A27" s="20" t="s">
        <v>50</v>
      </c>
      <c r="B27" s="33" t="s">
        <v>51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5"/>
      <c r="P27" s="24" t="s">
        <v>43</v>
      </c>
      <c r="Q27" s="25"/>
      <c r="R27" s="39">
        <v>3.8820000000000001</v>
      </c>
      <c r="S27" s="40"/>
      <c r="T27" s="41"/>
      <c r="U27" s="27"/>
      <c r="V27" s="28"/>
      <c r="W27" s="28"/>
      <c r="X27" s="28"/>
      <c r="Y27" s="28"/>
      <c r="Z27" s="28"/>
      <c r="AA27" s="28"/>
      <c r="AB27" s="29"/>
    </row>
    <row r="28" spans="1:28" ht="30" customHeight="1" x14ac:dyDescent="0.25">
      <c r="A28" s="20" t="s">
        <v>52</v>
      </c>
      <c r="B28" s="33" t="s">
        <v>53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5"/>
      <c r="P28" s="24" t="s">
        <v>43</v>
      </c>
      <c r="Q28" s="25"/>
      <c r="R28" s="24" t="s">
        <v>54</v>
      </c>
      <c r="S28" s="25"/>
      <c r="T28" s="26"/>
      <c r="U28" s="27"/>
      <c r="V28" s="28"/>
      <c r="W28" s="28"/>
      <c r="X28" s="28"/>
      <c r="Y28" s="28"/>
      <c r="Z28" s="28"/>
      <c r="AA28" s="28"/>
    </row>
    <row r="29" spans="1:28" ht="32.25" customHeight="1" x14ac:dyDescent="0.25">
      <c r="A29" s="20" t="s">
        <v>55</v>
      </c>
      <c r="B29" s="33" t="s">
        <v>56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5"/>
      <c r="P29" s="24" t="s">
        <v>43</v>
      </c>
      <c r="Q29" s="25"/>
      <c r="R29" s="39">
        <v>331.267</v>
      </c>
      <c r="S29" s="40"/>
      <c r="T29" s="41"/>
      <c r="U29" s="27"/>
      <c r="V29" s="28"/>
      <c r="W29" s="28"/>
      <c r="X29" s="28"/>
      <c r="Y29" s="28"/>
      <c r="Z29" s="28"/>
      <c r="AA29" s="28"/>
    </row>
    <row r="30" spans="1:28" ht="32.25" customHeight="1" x14ac:dyDescent="0.25">
      <c r="A30" s="20" t="s">
        <v>57</v>
      </c>
      <c r="B30" s="33" t="s">
        <v>58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5"/>
      <c r="P30" s="24" t="s">
        <v>43</v>
      </c>
      <c r="Q30" s="25"/>
      <c r="R30" s="24" t="s">
        <v>59</v>
      </c>
      <c r="S30" s="25"/>
      <c r="T30" s="26"/>
      <c r="U30" s="27"/>
      <c r="V30" s="28"/>
      <c r="W30" s="28"/>
      <c r="X30" s="28"/>
      <c r="Y30" s="28"/>
      <c r="Z30" s="28"/>
      <c r="AA30" s="28"/>
    </row>
    <row r="31" spans="1:28" ht="46.5" customHeight="1" x14ac:dyDescent="0.25">
      <c r="A31" s="20" t="s">
        <v>60</v>
      </c>
      <c r="B31" s="33" t="s">
        <v>61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5"/>
      <c r="P31" s="24" t="s">
        <v>43</v>
      </c>
      <c r="Q31" s="25"/>
      <c r="R31" s="24" t="s">
        <v>62</v>
      </c>
      <c r="S31" s="25"/>
      <c r="T31" s="26"/>
      <c r="U31" s="27"/>
      <c r="V31" s="28"/>
      <c r="W31" s="28"/>
      <c r="X31" s="28"/>
      <c r="Y31" s="28"/>
      <c r="Z31" s="28"/>
      <c r="AA31" s="28"/>
    </row>
    <row r="32" spans="1:28" ht="46.5" customHeight="1" x14ac:dyDescent="0.25">
      <c r="A32" s="20" t="s">
        <v>63</v>
      </c>
      <c r="B32" s="33" t="s">
        <v>64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5"/>
      <c r="P32" s="24" t="s">
        <v>43</v>
      </c>
      <c r="Q32" s="25"/>
      <c r="R32" s="24" t="s">
        <v>59</v>
      </c>
      <c r="S32" s="25"/>
      <c r="T32" s="26"/>
      <c r="U32" s="27"/>
      <c r="V32" s="28"/>
      <c r="W32" s="28"/>
      <c r="X32" s="28"/>
      <c r="Y32" s="28"/>
      <c r="Z32" s="28"/>
      <c r="AA32" s="28"/>
    </row>
    <row r="33" spans="1:27" ht="46.5" customHeight="1" x14ac:dyDescent="0.25">
      <c r="A33" s="20" t="s">
        <v>65</v>
      </c>
      <c r="B33" s="33" t="s">
        <v>66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/>
      <c r="P33" s="24" t="s">
        <v>43</v>
      </c>
      <c r="Q33" s="25"/>
      <c r="R33" s="24" t="s">
        <v>67</v>
      </c>
      <c r="S33" s="25"/>
      <c r="T33" s="26"/>
      <c r="U33" s="27"/>
      <c r="V33" s="28"/>
      <c r="W33" s="28"/>
      <c r="X33" s="28"/>
      <c r="Y33" s="28"/>
      <c r="Z33" s="28"/>
      <c r="AA33" s="28"/>
    </row>
    <row r="34" spans="1:27" ht="32.25" customHeight="1" x14ac:dyDescent="0.25">
      <c r="A34" s="20" t="s">
        <v>68</v>
      </c>
      <c r="B34" s="33" t="s">
        <v>69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5"/>
      <c r="P34" s="24" t="s">
        <v>43</v>
      </c>
      <c r="Q34" s="25"/>
      <c r="R34" s="24" t="s">
        <v>70</v>
      </c>
      <c r="S34" s="25"/>
      <c r="T34" s="26"/>
      <c r="U34" s="27"/>
      <c r="V34" s="28"/>
      <c r="W34" s="28"/>
      <c r="X34" s="28"/>
      <c r="Y34" s="28"/>
      <c r="Z34" s="28"/>
      <c r="AA34" s="28"/>
    </row>
    <row r="35" spans="1:27" ht="32.25" customHeight="1" x14ac:dyDescent="0.25">
      <c r="A35" s="20" t="s">
        <v>71</v>
      </c>
      <c r="B35" s="33" t="s">
        <v>72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5"/>
      <c r="P35" s="24" t="s">
        <v>43</v>
      </c>
      <c r="Q35" s="25"/>
      <c r="R35" s="24" t="s">
        <v>73</v>
      </c>
      <c r="S35" s="25"/>
      <c r="T35" s="26"/>
      <c r="U35" s="27"/>
      <c r="V35" s="28"/>
      <c r="W35" s="28"/>
      <c r="X35" s="28"/>
      <c r="Y35" s="28"/>
      <c r="Z35" s="28"/>
      <c r="AA35" s="28"/>
    </row>
    <row r="36" spans="1:27" ht="32.25" customHeight="1" x14ac:dyDescent="0.25">
      <c r="A36" s="20" t="s">
        <v>74</v>
      </c>
      <c r="B36" s="33" t="s">
        <v>75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5"/>
      <c r="P36" s="24" t="s">
        <v>76</v>
      </c>
      <c r="Q36" s="25"/>
      <c r="R36" s="24" t="s">
        <v>77</v>
      </c>
      <c r="S36" s="25"/>
      <c r="T36" s="26"/>
      <c r="U36" s="27"/>
      <c r="V36" s="28"/>
      <c r="W36" s="28"/>
      <c r="X36" s="28"/>
      <c r="Y36" s="28"/>
      <c r="Z36" s="28"/>
      <c r="AA36" s="28"/>
    </row>
    <row r="37" spans="1:27" ht="15.75" x14ac:dyDescent="0.25">
      <c r="A37" s="17" t="s">
        <v>78</v>
      </c>
      <c r="B37" s="30" t="s">
        <v>79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2"/>
      <c r="P37" s="24" t="s">
        <v>36</v>
      </c>
      <c r="Q37" s="25"/>
      <c r="R37" s="24" t="s">
        <v>36</v>
      </c>
      <c r="S37" s="25"/>
      <c r="T37" s="26"/>
      <c r="U37" s="27"/>
      <c r="V37" s="28"/>
      <c r="W37" s="28"/>
      <c r="X37" s="28"/>
      <c r="Y37" s="28"/>
      <c r="Z37" s="28"/>
      <c r="AA37" s="28"/>
    </row>
    <row r="38" spans="1:27" ht="15.75" x14ac:dyDescent="0.25">
      <c r="A38" s="17" t="s">
        <v>80</v>
      </c>
      <c r="B38" s="30" t="s">
        <v>81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2"/>
      <c r="P38" s="24" t="s">
        <v>36</v>
      </c>
      <c r="Q38" s="25"/>
      <c r="R38" s="24" t="s">
        <v>36</v>
      </c>
      <c r="S38" s="25"/>
      <c r="T38" s="26"/>
      <c r="U38" s="27"/>
      <c r="V38" s="28"/>
      <c r="W38" s="28"/>
      <c r="X38" s="28"/>
      <c r="Y38" s="28"/>
      <c r="Z38" s="28"/>
      <c r="AA38" s="28"/>
    </row>
    <row r="39" spans="1:27" ht="48.6" customHeight="1" x14ac:dyDescent="0.25">
      <c r="A39" s="20" t="s">
        <v>82</v>
      </c>
      <c r="B39" s="33" t="s">
        <v>83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5"/>
      <c r="P39" s="24" t="s">
        <v>36</v>
      </c>
      <c r="Q39" s="25"/>
      <c r="R39" s="24" t="s">
        <v>36</v>
      </c>
      <c r="S39" s="25"/>
      <c r="T39" s="26"/>
      <c r="U39" s="27"/>
      <c r="V39" s="28"/>
      <c r="W39" s="28"/>
      <c r="X39" s="28"/>
      <c r="Y39" s="28"/>
      <c r="Z39" s="28"/>
      <c r="AA39" s="28"/>
    </row>
    <row r="40" spans="1:27" ht="15.75" x14ac:dyDescent="0.25">
      <c r="A40" s="20" t="s">
        <v>84</v>
      </c>
      <c r="B40" s="33" t="s">
        <v>85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5"/>
      <c r="P40" s="24" t="s">
        <v>24</v>
      </c>
      <c r="Q40" s="25"/>
      <c r="R40" s="24">
        <v>11</v>
      </c>
      <c r="S40" s="25"/>
      <c r="T40" s="26"/>
      <c r="U40" s="27"/>
      <c r="V40" s="28"/>
      <c r="W40" s="28"/>
      <c r="X40" s="28"/>
      <c r="Y40" s="28"/>
      <c r="Z40" s="28"/>
      <c r="AA40" s="28"/>
    </row>
    <row r="41" spans="1:27" ht="15.75" x14ac:dyDescent="0.25">
      <c r="A41" s="20" t="s">
        <v>86</v>
      </c>
      <c r="B41" s="33" t="s">
        <v>87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5"/>
      <c r="P41" s="24" t="s">
        <v>24</v>
      </c>
      <c r="Q41" s="25"/>
      <c r="R41" s="24">
        <v>3</v>
      </c>
      <c r="S41" s="25"/>
      <c r="T41" s="26"/>
      <c r="U41" s="27"/>
      <c r="V41" s="28"/>
      <c r="W41" s="28"/>
      <c r="X41" s="28"/>
      <c r="Y41" s="28"/>
      <c r="Z41" s="28"/>
      <c r="AA41" s="28"/>
    </row>
    <row r="42" spans="1:27" ht="15.75" x14ac:dyDescent="0.25">
      <c r="A42" s="20" t="s">
        <v>88</v>
      </c>
      <c r="B42" s="33" t="s">
        <v>89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5"/>
      <c r="P42" s="24" t="s">
        <v>24</v>
      </c>
      <c r="Q42" s="25"/>
      <c r="R42" s="24">
        <v>1</v>
      </c>
      <c r="S42" s="25"/>
      <c r="T42" s="26"/>
      <c r="U42" s="27"/>
      <c r="V42" s="28"/>
      <c r="W42" s="28"/>
      <c r="X42" s="28"/>
      <c r="Y42" s="28"/>
      <c r="Z42" s="28"/>
      <c r="AA42" s="28"/>
    </row>
    <row r="43" spans="1:27" ht="15.75" x14ac:dyDescent="0.25">
      <c r="A43" s="20" t="s">
        <v>90</v>
      </c>
      <c r="B43" s="33" t="s">
        <v>91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5"/>
      <c r="P43" s="24" t="s">
        <v>24</v>
      </c>
      <c r="Q43" s="25"/>
      <c r="R43" s="24">
        <f>R40</f>
        <v>11</v>
      </c>
      <c r="S43" s="25"/>
      <c r="T43" s="26"/>
      <c r="U43" s="27"/>
      <c r="V43" s="28"/>
      <c r="W43" s="28"/>
      <c r="X43" s="28"/>
      <c r="Y43" s="28"/>
      <c r="Z43" s="28"/>
      <c r="AA43" s="28"/>
    </row>
    <row r="44" spans="1:27" ht="15.75" x14ac:dyDescent="0.25">
      <c r="A44" s="20" t="s">
        <v>92</v>
      </c>
      <c r="B44" s="33" t="s">
        <v>93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5"/>
      <c r="P44" s="24" t="s">
        <v>24</v>
      </c>
      <c r="Q44" s="25"/>
      <c r="R44" s="24">
        <f>R41</f>
        <v>3</v>
      </c>
      <c r="S44" s="25"/>
      <c r="T44" s="26"/>
      <c r="U44" s="27"/>
      <c r="V44" s="28"/>
      <c r="W44" s="28"/>
      <c r="X44" s="28"/>
      <c r="Y44" s="28"/>
      <c r="Z44" s="28"/>
      <c r="AA44" s="28"/>
    </row>
    <row r="45" spans="1:27" ht="15.75" x14ac:dyDescent="0.25">
      <c r="A45" s="20" t="s">
        <v>94</v>
      </c>
      <c r="B45" s="33" t="s">
        <v>95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5"/>
      <c r="P45" s="24" t="s">
        <v>24</v>
      </c>
      <c r="Q45" s="25"/>
      <c r="R45" s="24">
        <f>R42</f>
        <v>1</v>
      </c>
      <c r="S45" s="25"/>
      <c r="T45" s="26"/>
      <c r="U45" s="27"/>
      <c r="V45" s="28"/>
      <c r="W45" s="28"/>
      <c r="X45" s="28"/>
      <c r="Y45" s="28"/>
      <c r="Z45" s="28"/>
      <c r="AA45" s="28"/>
    </row>
    <row r="46" spans="1:27" ht="15.75" x14ac:dyDescent="0.25">
      <c r="A46" s="20" t="s">
        <v>96</v>
      </c>
      <c r="B46" s="33" t="s">
        <v>97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5"/>
      <c r="P46" s="24" t="s">
        <v>43</v>
      </c>
      <c r="Q46" s="25"/>
      <c r="R46" s="24" t="s">
        <v>98</v>
      </c>
      <c r="S46" s="25"/>
      <c r="T46" s="26"/>
      <c r="U46" s="27"/>
      <c r="V46" s="28"/>
      <c r="W46" s="28"/>
      <c r="X46" s="28"/>
      <c r="Y46" s="28"/>
      <c r="Z46" s="28"/>
      <c r="AA46" s="28"/>
    </row>
    <row r="47" spans="1:27" ht="15.75" x14ac:dyDescent="0.25">
      <c r="A47" s="20" t="s">
        <v>99</v>
      </c>
      <c r="B47" s="33" t="s">
        <v>42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5"/>
      <c r="P47" s="24" t="s">
        <v>43</v>
      </c>
      <c r="Q47" s="25"/>
      <c r="R47" s="24">
        <f>1.125*(R40+R41*2+R42*3)</f>
        <v>22.5</v>
      </c>
      <c r="S47" s="25"/>
      <c r="T47" s="26"/>
      <c r="U47" s="27"/>
      <c r="V47" s="28"/>
      <c r="W47" s="28"/>
      <c r="X47" s="28"/>
      <c r="Y47" s="28"/>
      <c r="Z47" s="28"/>
      <c r="AA47" s="28"/>
    </row>
    <row r="48" spans="1:27" ht="34.15" customHeight="1" x14ac:dyDescent="0.25">
      <c r="A48" s="20" t="s">
        <v>100</v>
      </c>
      <c r="B48" s="33" t="s">
        <v>45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5"/>
      <c r="P48" s="24" t="s">
        <v>43</v>
      </c>
      <c r="Q48" s="25"/>
      <c r="R48" s="24" t="s">
        <v>101</v>
      </c>
      <c r="S48" s="25"/>
      <c r="T48" s="26"/>
      <c r="U48" s="27"/>
      <c r="V48" s="28"/>
      <c r="W48" s="28"/>
      <c r="X48" s="28"/>
      <c r="Y48" s="28"/>
      <c r="Z48" s="28"/>
      <c r="AA48" s="28"/>
    </row>
    <row r="49" spans="1:27" ht="15.75" x14ac:dyDescent="0.25">
      <c r="A49" s="20" t="s">
        <v>102</v>
      </c>
      <c r="B49" s="33" t="s">
        <v>48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5"/>
      <c r="P49" s="24" t="s">
        <v>43</v>
      </c>
      <c r="Q49" s="25"/>
      <c r="R49" s="24" t="s">
        <v>49</v>
      </c>
      <c r="S49" s="25"/>
      <c r="T49" s="26"/>
      <c r="U49" s="27"/>
      <c r="V49" s="28"/>
      <c r="W49" s="28"/>
      <c r="X49" s="28"/>
      <c r="Y49" s="28"/>
      <c r="Z49" s="28"/>
      <c r="AA49" s="28"/>
    </row>
    <row r="50" spans="1:27" ht="15.75" x14ac:dyDescent="0.25">
      <c r="A50" s="20" t="s">
        <v>103</v>
      </c>
      <c r="B50" s="33" t="s">
        <v>51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5"/>
      <c r="P50" s="24" t="s">
        <v>43</v>
      </c>
      <c r="Q50" s="25"/>
      <c r="R50" s="24" t="s">
        <v>104</v>
      </c>
      <c r="S50" s="25"/>
      <c r="T50" s="26"/>
      <c r="U50" s="27"/>
      <c r="V50" s="28"/>
      <c r="W50" s="28"/>
      <c r="X50" s="28"/>
      <c r="Y50" s="28"/>
      <c r="Z50" s="28"/>
      <c r="AA50" s="28"/>
    </row>
    <row r="51" spans="1:27" ht="35.450000000000003" customHeight="1" x14ac:dyDescent="0.25">
      <c r="A51" s="20" t="s">
        <v>105</v>
      </c>
      <c r="B51" s="33" t="s">
        <v>53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5"/>
      <c r="P51" s="24" t="s">
        <v>43</v>
      </c>
      <c r="Q51" s="25"/>
      <c r="R51" s="24" t="s">
        <v>54</v>
      </c>
      <c r="S51" s="25"/>
      <c r="T51" s="26"/>
      <c r="U51" s="27"/>
      <c r="V51" s="28"/>
      <c r="W51" s="28"/>
      <c r="X51" s="28"/>
      <c r="Y51" s="28"/>
      <c r="Z51" s="28"/>
      <c r="AA51" s="28"/>
    </row>
    <row r="52" spans="1:27" ht="15.75" x14ac:dyDescent="0.25">
      <c r="A52" s="20" t="s">
        <v>106</v>
      </c>
      <c r="B52" s="33" t="s">
        <v>56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5"/>
      <c r="P52" s="24" t="s">
        <v>43</v>
      </c>
      <c r="Q52" s="25"/>
      <c r="R52" s="24" t="s">
        <v>107</v>
      </c>
      <c r="S52" s="25"/>
      <c r="T52" s="26"/>
      <c r="U52" s="27"/>
      <c r="V52" s="28"/>
      <c r="W52" s="28"/>
      <c r="X52" s="28"/>
      <c r="Y52" s="28"/>
      <c r="Z52" s="28"/>
      <c r="AA52" s="28"/>
    </row>
    <row r="53" spans="1:27" ht="15.75" x14ac:dyDescent="0.25">
      <c r="A53" s="17" t="s">
        <v>108</v>
      </c>
      <c r="B53" s="30" t="s">
        <v>109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2"/>
      <c r="P53" s="24" t="s">
        <v>36</v>
      </c>
      <c r="Q53" s="25"/>
      <c r="R53" s="24" t="s">
        <v>36</v>
      </c>
      <c r="S53" s="25"/>
      <c r="T53" s="26"/>
      <c r="U53" s="27"/>
      <c r="V53" s="28"/>
      <c r="W53" s="28"/>
      <c r="X53" s="28"/>
      <c r="Y53" s="28"/>
      <c r="Z53" s="28"/>
      <c r="AA53" s="28"/>
    </row>
    <row r="54" spans="1:27" ht="15.75" x14ac:dyDescent="0.25">
      <c r="A54" s="20" t="s">
        <v>110</v>
      </c>
      <c r="B54" s="33" t="s">
        <v>111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5"/>
      <c r="P54" s="24" t="s">
        <v>112</v>
      </c>
      <c r="Q54" s="25"/>
      <c r="R54" s="24" t="str">
        <f>CONCATENATE(R40+R41*2+R42*3,"/",(R40+R41*2+R42*3)*0.31)</f>
        <v>20/6,2</v>
      </c>
      <c r="S54" s="25"/>
      <c r="T54" s="26"/>
      <c r="U54" s="27"/>
      <c r="V54" s="28"/>
      <c r="W54" s="28"/>
      <c r="X54" s="28"/>
      <c r="Y54" s="28"/>
      <c r="Z54" s="28"/>
      <c r="AA54" s="28"/>
    </row>
    <row r="55" spans="1:27" ht="15.75" x14ac:dyDescent="0.25">
      <c r="A55" s="20" t="s">
        <v>113</v>
      </c>
      <c r="B55" s="33" t="s">
        <v>114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5"/>
      <c r="P55" s="24" t="s">
        <v>24</v>
      </c>
      <c r="Q55" s="25"/>
      <c r="R55" s="24">
        <f>R40</f>
        <v>11</v>
      </c>
      <c r="S55" s="25"/>
      <c r="T55" s="26"/>
      <c r="U55" s="27"/>
      <c r="V55" s="28"/>
      <c r="W55" s="28"/>
      <c r="X55" s="28"/>
      <c r="Y55" s="28"/>
      <c r="Z55" s="28"/>
      <c r="AA55" s="28"/>
    </row>
    <row r="56" spans="1:27" ht="15.75" x14ac:dyDescent="0.25">
      <c r="A56" s="20" t="s">
        <v>115</v>
      </c>
      <c r="B56" s="33" t="s">
        <v>116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5"/>
      <c r="P56" s="24" t="s">
        <v>24</v>
      </c>
      <c r="Q56" s="25"/>
      <c r="R56" s="24">
        <f>R41</f>
        <v>3</v>
      </c>
      <c r="S56" s="25"/>
      <c r="T56" s="26"/>
      <c r="U56" s="27"/>
      <c r="V56" s="28"/>
      <c r="W56" s="28"/>
      <c r="X56" s="28"/>
      <c r="Y56" s="28"/>
      <c r="Z56" s="28"/>
      <c r="AA56" s="28"/>
    </row>
    <row r="57" spans="1:27" ht="15.75" x14ac:dyDescent="0.25">
      <c r="A57" s="20" t="s">
        <v>117</v>
      </c>
      <c r="B57" s="33" t="s">
        <v>118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5"/>
      <c r="P57" s="24" t="s">
        <v>24</v>
      </c>
      <c r="Q57" s="25"/>
      <c r="R57" s="24">
        <f>R42</f>
        <v>1</v>
      </c>
      <c r="S57" s="25"/>
      <c r="T57" s="26"/>
      <c r="U57" s="27"/>
      <c r="V57" s="28"/>
      <c r="W57" s="28"/>
      <c r="X57" s="28"/>
      <c r="Y57" s="28"/>
      <c r="Z57" s="28"/>
      <c r="AA57" s="28"/>
    </row>
    <row r="58" spans="1:27" ht="33" customHeight="1" x14ac:dyDescent="0.25">
      <c r="A58" s="20" t="s">
        <v>119</v>
      </c>
      <c r="B58" s="33" t="s">
        <v>120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5"/>
      <c r="P58" s="24" t="s">
        <v>121</v>
      </c>
      <c r="Q58" s="25"/>
      <c r="R58" s="24">
        <f>(R40+R41*2+R42*3)*0.31</f>
        <v>6.2</v>
      </c>
      <c r="S58" s="25"/>
      <c r="T58" s="26"/>
      <c r="U58" s="27"/>
      <c r="V58" s="28"/>
      <c r="W58" s="28"/>
      <c r="X58" s="28"/>
      <c r="Y58" s="28"/>
      <c r="Z58" s="28"/>
      <c r="AA58" s="28"/>
    </row>
    <row r="59" spans="1:27" ht="15.75" x14ac:dyDescent="0.25">
      <c r="A59" s="20" t="s">
        <v>122</v>
      </c>
      <c r="B59" s="33" t="s">
        <v>123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5"/>
      <c r="P59" s="24" t="s">
        <v>24</v>
      </c>
      <c r="Q59" s="25"/>
      <c r="R59" s="24">
        <f>R40+R41*2+R42*3</f>
        <v>20</v>
      </c>
      <c r="S59" s="25"/>
      <c r="T59" s="26"/>
      <c r="U59" s="27"/>
      <c r="V59" s="28"/>
      <c r="W59" s="28"/>
      <c r="X59" s="28"/>
      <c r="Y59" s="28"/>
      <c r="Z59" s="28"/>
      <c r="AA59" s="28"/>
    </row>
    <row r="60" spans="1:27" ht="15.75" x14ac:dyDescent="0.25">
      <c r="A60" s="17" t="s">
        <v>124</v>
      </c>
      <c r="B60" s="30" t="s">
        <v>125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24" t="s">
        <v>36</v>
      </c>
      <c r="Q60" s="25"/>
      <c r="R60" s="24" t="s">
        <v>36</v>
      </c>
      <c r="S60" s="25"/>
      <c r="T60" s="26"/>
      <c r="U60" s="27"/>
      <c r="V60" s="28"/>
      <c r="W60" s="28"/>
      <c r="X60" s="28"/>
      <c r="Y60" s="28"/>
      <c r="Z60" s="28"/>
      <c r="AA60" s="28"/>
    </row>
    <row r="61" spans="1:27" ht="54" customHeight="1" x14ac:dyDescent="0.25">
      <c r="A61" s="20" t="s">
        <v>126</v>
      </c>
      <c r="B61" s="33" t="s">
        <v>127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5"/>
      <c r="P61" s="24" t="s">
        <v>121</v>
      </c>
      <c r="Q61" s="25"/>
      <c r="R61" s="39">
        <f>SUM(R55:T57)*3.78</f>
        <v>56.699999999999996</v>
      </c>
      <c r="S61" s="40"/>
      <c r="T61" s="41"/>
      <c r="U61" s="27"/>
      <c r="V61" s="28"/>
      <c r="W61" s="28"/>
      <c r="X61" s="28"/>
      <c r="Y61" s="28"/>
      <c r="Z61" s="28"/>
      <c r="AA61" s="28"/>
    </row>
    <row r="62" spans="1:27" ht="15.75" x14ac:dyDescent="0.25">
      <c r="A62" s="20" t="s">
        <v>128</v>
      </c>
      <c r="B62" s="33" t="s">
        <v>129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5"/>
      <c r="P62" s="24" t="s">
        <v>121</v>
      </c>
      <c r="Q62" s="25"/>
      <c r="R62" s="39">
        <f>R61*0.7</f>
        <v>39.69</v>
      </c>
      <c r="S62" s="40"/>
      <c r="T62" s="41"/>
      <c r="U62" s="27"/>
      <c r="V62" s="28"/>
      <c r="W62" s="28"/>
      <c r="X62" s="28"/>
      <c r="Y62" s="28"/>
      <c r="Z62" s="28"/>
      <c r="AA62" s="28"/>
    </row>
    <row r="63" spans="1:27" ht="15.75" x14ac:dyDescent="0.25">
      <c r="A63" s="20" t="s">
        <v>130</v>
      </c>
      <c r="B63" s="33" t="s">
        <v>131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5"/>
      <c r="P63" s="24" t="s">
        <v>121</v>
      </c>
      <c r="Q63" s="25"/>
      <c r="R63" s="39">
        <f>R61*0.3</f>
        <v>17.009999999999998</v>
      </c>
      <c r="S63" s="40"/>
      <c r="T63" s="41"/>
      <c r="U63" s="27"/>
      <c r="V63" s="28"/>
      <c r="W63" s="28"/>
      <c r="X63" s="28"/>
      <c r="Y63" s="28"/>
      <c r="Z63" s="28"/>
      <c r="AA63" s="28"/>
    </row>
    <row r="64" spans="1:27" ht="15.75" x14ac:dyDescent="0.25">
      <c r="A64" s="20" t="s">
        <v>132</v>
      </c>
      <c r="B64" s="33" t="s">
        <v>133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5"/>
      <c r="P64" s="24" t="s">
        <v>121</v>
      </c>
      <c r="Q64" s="25"/>
      <c r="R64" s="39">
        <f>R62</f>
        <v>39.69</v>
      </c>
      <c r="S64" s="40"/>
      <c r="T64" s="41"/>
      <c r="U64" s="27"/>
      <c r="V64" s="28"/>
      <c r="W64" s="28"/>
      <c r="X64" s="28"/>
      <c r="Y64" s="28"/>
      <c r="Z64" s="28"/>
      <c r="AA64" s="28"/>
    </row>
    <row r="65" spans="1:27" ht="15.75" x14ac:dyDescent="0.25">
      <c r="A65" s="20" t="s">
        <v>134</v>
      </c>
      <c r="B65" s="33" t="s">
        <v>135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5"/>
      <c r="P65" s="24" t="s">
        <v>121</v>
      </c>
      <c r="Q65" s="25"/>
      <c r="R65" s="39">
        <f>R63</f>
        <v>17.009999999999998</v>
      </c>
      <c r="S65" s="40"/>
      <c r="T65" s="41"/>
      <c r="U65" s="27"/>
      <c r="V65" s="28"/>
      <c r="W65" s="28"/>
      <c r="X65" s="28"/>
      <c r="Y65" s="28"/>
      <c r="Z65" s="28"/>
      <c r="AA65" s="28"/>
    </row>
    <row r="66" spans="1:27" ht="15.75" x14ac:dyDescent="0.25">
      <c r="A66" s="20" t="s">
        <v>136</v>
      </c>
      <c r="B66" s="33" t="s">
        <v>137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5"/>
      <c r="P66" s="24" t="s">
        <v>121</v>
      </c>
      <c r="Q66" s="25"/>
      <c r="R66" s="39">
        <f>R65*0.1</f>
        <v>1.7009999999999998</v>
      </c>
      <c r="S66" s="40"/>
      <c r="T66" s="41"/>
      <c r="U66" s="27"/>
      <c r="V66" s="28"/>
      <c r="W66" s="28"/>
      <c r="X66" s="28"/>
      <c r="Y66" s="28"/>
      <c r="Z66" s="28"/>
      <c r="AA66" s="28"/>
    </row>
    <row r="67" spans="1:27" ht="15.75" x14ac:dyDescent="0.25">
      <c r="A67" s="20" t="s">
        <v>138</v>
      </c>
      <c r="B67" s="33" t="s">
        <v>139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5"/>
      <c r="P67" s="24" t="s">
        <v>36</v>
      </c>
      <c r="Q67" s="25"/>
      <c r="R67" s="24" t="s">
        <v>36</v>
      </c>
      <c r="S67" s="25"/>
      <c r="T67" s="26"/>
      <c r="U67" s="27"/>
      <c r="V67" s="28"/>
      <c r="W67" s="28"/>
      <c r="X67" s="28"/>
      <c r="Y67" s="28"/>
      <c r="Z67" s="28"/>
      <c r="AA67" s="28"/>
    </row>
    <row r="68" spans="1:27" ht="15.75" x14ac:dyDescent="0.25">
      <c r="A68" s="20" t="s">
        <v>140</v>
      </c>
      <c r="B68" s="33" t="s">
        <v>141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5"/>
      <c r="P68" s="24" t="s">
        <v>142</v>
      </c>
      <c r="Q68" s="25"/>
      <c r="R68" s="24" t="str">
        <f>CONCATENATE(SUM(R40:T42)*4,"/",SUM(R40:T42)*4*3)</f>
        <v>60/180</v>
      </c>
      <c r="S68" s="25"/>
      <c r="T68" s="26"/>
      <c r="U68" s="27"/>
      <c r="V68" s="28"/>
      <c r="W68" s="28"/>
      <c r="X68" s="28"/>
      <c r="Y68" s="28"/>
      <c r="Z68" s="28"/>
      <c r="AA68" s="28"/>
    </row>
    <row r="69" spans="1:27" ht="31.9" customHeight="1" x14ac:dyDescent="0.25">
      <c r="A69" s="20" t="s">
        <v>143</v>
      </c>
      <c r="B69" s="33" t="s">
        <v>144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5"/>
      <c r="P69" s="24" t="s">
        <v>142</v>
      </c>
      <c r="Q69" s="25"/>
      <c r="R69" s="24" t="str">
        <f>CONCATENATE(SUM(R40:T42),"/",SUM(R40:T42)*10)</f>
        <v>15/150</v>
      </c>
      <c r="S69" s="25"/>
      <c r="T69" s="26"/>
      <c r="U69" s="27"/>
      <c r="V69" s="28"/>
      <c r="W69" s="28"/>
      <c r="X69" s="28"/>
      <c r="Y69" s="28"/>
      <c r="Z69" s="28"/>
      <c r="AA69" s="28"/>
    </row>
    <row r="70" spans="1:27" ht="25.5" customHeight="1" x14ac:dyDescent="0.25">
      <c r="A70" s="20" t="s">
        <v>145</v>
      </c>
      <c r="B70" s="33" t="s">
        <v>146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5"/>
      <c r="P70" s="24" t="s">
        <v>142</v>
      </c>
      <c r="Q70" s="25"/>
      <c r="R70" s="24" t="s">
        <v>147</v>
      </c>
      <c r="S70" s="25"/>
      <c r="T70" s="26"/>
      <c r="U70" s="27"/>
      <c r="V70" s="28"/>
      <c r="W70" s="28"/>
      <c r="X70" s="28"/>
      <c r="Y70" s="28"/>
      <c r="Z70" s="28"/>
      <c r="AA70" s="28"/>
    </row>
    <row r="71" spans="1:27" ht="45.75" customHeight="1" x14ac:dyDescent="0.25">
      <c r="A71" s="20" t="s">
        <v>148</v>
      </c>
      <c r="B71" s="33" t="s">
        <v>149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5"/>
      <c r="P71" s="24" t="s">
        <v>24</v>
      </c>
      <c r="Q71" s="25"/>
      <c r="R71" s="24">
        <f>SUM(R55:T57)*5</f>
        <v>75</v>
      </c>
      <c r="S71" s="25"/>
      <c r="T71" s="26"/>
      <c r="U71" s="27"/>
      <c r="V71" s="28"/>
      <c r="W71" s="28"/>
      <c r="X71" s="28"/>
      <c r="Y71" s="28"/>
      <c r="Z71" s="28"/>
      <c r="AA71" s="28"/>
    </row>
    <row r="72" spans="1:27" ht="15.75" x14ac:dyDescent="0.25">
      <c r="A72" s="20" t="s">
        <v>150</v>
      </c>
      <c r="B72" s="33" t="s">
        <v>151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5"/>
      <c r="P72" s="24" t="s">
        <v>142</v>
      </c>
      <c r="Q72" s="25"/>
      <c r="R72" s="24" t="s">
        <v>152</v>
      </c>
      <c r="S72" s="25"/>
      <c r="T72" s="26"/>
      <c r="U72" s="27"/>
      <c r="V72" s="28"/>
      <c r="W72" s="28"/>
      <c r="X72" s="28"/>
      <c r="Y72" s="28"/>
      <c r="Z72" s="28"/>
      <c r="AA72" s="28"/>
    </row>
    <row r="73" spans="1:27" ht="15.75" x14ac:dyDescent="0.25">
      <c r="A73" s="20" t="s">
        <v>153</v>
      </c>
      <c r="B73" s="33" t="s">
        <v>154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5"/>
      <c r="P73" s="24" t="s">
        <v>155</v>
      </c>
      <c r="Q73" s="25"/>
      <c r="R73" s="24">
        <v>49</v>
      </c>
      <c r="S73" s="25"/>
      <c r="T73" s="26"/>
      <c r="U73" s="27"/>
      <c r="V73" s="28"/>
      <c r="W73" s="28"/>
      <c r="X73" s="28"/>
      <c r="Y73" s="28"/>
      <c r="Z73" s="28"/>
      <c r="AA73" s="28"/>
    </row>
    <row r="74" spans="1:27" ht="15.75" x14ac:dyDescent="0.25">
      <c r="A74" s="20" t="s">
        <v>156</v>
      </c>
      <c r="B74" s="33" t="s">
        <v>157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5"/>
      <c r="P74" s="24" t="s">
        <v>24</v>
      </c>
      <c r="Q74" s="25"/>
      <c r="R74" s="24" t="s">
        <v>158</v>
      </c>
      <c r="S74" s="25"/>
      <c r="T74" s="26"/>
      <c r="U74" s="27"/>
      <c r="V74" s="28"/>
      <c r="W74" s="28"/>
      <c r="X74" s="28"/>
      <c r="Y74" s="28"/>
      <c r="Z74" s="28"/>
      <c r="AA74" s="28"/>
    </row>
    <row r="75" spans="1:27" ht="15.75" x14ac:dyDescent="0.25">
      <c r="A75" s="20" t="s">
        <v>159</v>
      </c>
      <c r="B75" s="33" t="s">
        <v>160</v>
      </c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5"/>
      <c r="P75" s="24" t="s">
        <v>142</v>
      </c>
      <c r="Q75" s="25"/>
      <c r="R75" s="24" t="str">
        <f>CONCATENATE(R71,"/",SUM(R55:T57)*0.98)</f>
        <v>75/14,7</v>
      </c>
      <c r="S75" s="25"/>
      <c r="T75" s="26"/>
      <c r="U75" s="27"/>
      <c r="V75" s="28"/>
      <c r="W75" s="28"/>
      <c r="X75" s="28"/>
      <c r="Y75" s="28"/>
      <c r="Z75" s="28"/>
      <c r="AA75" s="28"/>
    </row>
    <row r="76" spans="1:27" ht="15.75" x14ac:dyDescent="0.25">
      <c r="A76" s="20" t="s">
        <v>161</v>
      </c>
      <c r="B76" s="33" t="s">
        <v>162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5"/>
      <c r="P76" s="24" t="s">
        <v>163</v>
      </c>
      <c r="Q76" s="25"/>
      <c r="R76" s="24" t="str">
        <f>CONCATENATE(R71,"/",R71*0.0022)</f>
        <v>75/0,165</v>
      </c>
      <c r="S76" s="25"/>
      <c r="T76" s="26"/>
      <c r="U76" s="27"/>
      <c r="V76" s="28"/>
      <c r="W76" s="28"/>
      <c r="X76" s="28"/>
      <c r="Y76" s="28"/>
      <c r="Z76" s="28"/>
      <c r="AA76" s="28"/>
    </row>
    <row r="77" spans="1:27" ht="15.75" x14ac:dyDescent="0.25">
      <c r="A77" s="20" t="s">
        <v>164</v>
      </c>
      <c r="B77" s="33" t="s">
        <v>165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5"/>
      <c r="P77" s="24" t="s">
        <v>121</v>
      </c>
      <c r="Q77" s="25"/>
      <c r="R77" s="39">
        <f>R61</f>
        <v>56.699999999999996</v>
      </c>
      <c r="S77" s="25"/>
      <c r="T77" s="26"/>
      <c r="U77" s="27"/>
      <c r="V77" s="28"/>
      <c r="W77" s="28"/>
      <c r="X77" s="28"/>
      <c r="Y77" s="28"/>
      <c r="Z77" s="28"/>
      <c r="AA77" s="28"/>
    </row>
    <row r="78" spans="1:27" ht="15.75" x14ac:dyDescent="0.25">
      <c r="A78" s="20" t="s">
        <v>166</v>
      </c>
      <c r="B78" s="33" t="s">
        <v>129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5"/>
      <c r="P78" s="24" t="s">
        <v>121</v>
      </c>
      <c r="Q78" s="25"/>
      <c r="R78" s="39">
        <f>R77*0.7</f>
        <v>39.69</v>
      </c>
      <c r="S78" s="40"/>
      <c r="T78" s="41"/>
      <c r="U78" s="27"/>
      <c r="V78" s="28"/>
      <c r="W78" s="28"/>
      <c r="X78" s="28"/>
      <c r="Y78" s="28"/>
      <c r="Z78" s="28"/>
      <c r="AA78" s="28"/>
    </row>
    <row r="79" spans="1:27" ht="15.75" x14ac:dyDescent="0.25">
      <c r="A79" s="20" t="s">
        <v>167</v>
      </c>
      <c r="B79" s="33" t="s">
        <v>131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5"/>
      <c r="P79" s="24" t="s">
        <v>121</v>
      </c>
      <c r="Q79" s="25"/>
      <c r="R79" s="39">
        <f>R77*0.3</f>
        <v>17.009999999999998</v>
      </c>
      <c r="S79" s="40"/>
      <c r="T79" s="41"/>
      <c r="U79" s="27"/>
      <c r="V79" s="28"/>
      <c r="W79" s="28"/>
      <c r="X79" s="28"/>
      <c r="Y79" s="28"/>
      <c r="Z79" s="28"/>
      <c r="AA79" s="28"/>
    </row>
    <row r="80" spans="1:27" ht="15.75" x14ac:dyDescent="0.25">
      <c r="A80" s="17" t="s">
        <v>168</v>
      </c>
      <c r="B80" s="30" t="s">
        <v>169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2"/>
      <c r="P80" s="24" t="s">
        <v>36</v>
      </c>
      <c r="Q80" s="25"/>
      <c r="R80" s="24" t="s">
        <v>36</v>
      </c>
      <c r="S80" s="25"/>
      <c r="T80" s="26"/>
      <c r="U80" s="27"/>
      <c r="V80" s="28"/>
      <c r="W80" s="28"/>
      <c r="X80" s="28"/>
      <c r="Y80" s="28"/>
      <c r="Z80" s="28"/>
      <c r="AA80" s="28"/>
    </row>
    <row r="81" spans="1:27" ht="15.75" x14ac:dyDescent="0.25">
      <c r="A81" s="20" t="s">
        <v>170</v>
      </c>
      <c r="B81" s="33" t="s">
        <v>171</v>
      </c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5"/>
      <c r="P81" s="24" t="s">
        <v>24</v>
      </c>
      <c r="Q81" s="25"/>
      <c r="R81" s="24">
        <v>21</v>
      </c>
      <c r="S81" s="25"/>
      <c r="T81" s="26"/>
      <c r="U81" s="27"/>
      <c r="V81" s="28"/>
      <c r="W81" s="28"/>
      <c r="X81" s="28"/>
      <c r="Y81" s="28"/>
      <c r="Z81" s="28"/>
      <c r="AA81" s="28"/>
    </row>
    <row r="82" spans="1:27" ht="15.75" x14ac:dyDescent="0.25">
      <c r="A82" s="20" t="s">
        <v>172</v>
      </c>
      <c r="B82" s="33" t="s">
        <v>173</v>
      </c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5"/>
      <c r="P82" s="24" t="s">
        <v>24</v>
      </c>
      <c r="Q82" s="25"/>
      <c r="R82" s="24">
        <v>43</v>
      </c>
      <c r="S82" s="25"/>
      <c r="T82" s="26"/>
      <c r="U82" s="27"/>
      <c r="V82" s="28"/>
      <c r="W82" s="28"/>
      <c r="X82" s="28"/>
      <c r="Y82" s="28"/>
      <c r="Z82" s="28"/>
      <c r="AA82" s="28"/>
    </row>
    <row r="83" spans="1:27" ht="15.75" x14ac:dyDescent="0.25">
      <c r="A83" s="20" t="s">
        <v>174</v>
      </c>
      <c r="B83" s="33" t="s">
        <v>175</v>
      </c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5"/>
      <c r="P83" s="24" t="s">
        <v>24</v>
      </c>
      <c r="Q83" s="25"/>
      <c r="R83" s="24">
        <v>71</v>
      </c>
      <c r="S83" s="25"/>
      <c r="T83" s="26"/>
      <c r="U83" s="27"/>
      <c r="V83" s="28"/>
      <c r="W83" s="28"/>
      <c r="X83" s="28"/>
      <c r="Y83" s="28"/>
      <c r="Z83" s="28"/>
      <c r="AA83" s="28"/>
    </row>
    <row r="84" spans="1:27" ht="15.75" x14ac:dyDescent="0.25">
      <c r="A84" s="20" t="s">
        <v>176</v>
      </c>
      <c r="B84" s="33" t="s">
        <v>177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5"/>
      <c r="P84" s="24" t="s">
        <v>24</v>
      </c>
      <c r="Q84" s="25"/>
      <c r="R84" s="24">
        <f>SUM(R40:T42)*2</f>
        <v>30</v>
      </c>
      <c r="S84" s="25"/>
      <c r="T84" s="26"/>
      <c r="U84" s="27"/>
      <c r="V84" s="28"/>
      <c r="W84" s="28"/>
      <c r="X84" s="28"/>
      <c r="Y84" s="28"/>
      <c r="Z84" s="28"/>
      <c r="AA84" s="28"/>
    </row>
    <row r="85" spans="1:27" ht="15.75" x14ac:dyDescent="0.25">
      <c r="A85" s="20" t="s">
        <v>178</v>
      </c>
      <c r="B85" s="33" t="s">
        <v>179</v>
      </c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5"/>
      <c r="P85" s="24" t="s">
        <v>180</v>
      </c>
      <c r="Q85" s="25"/>
      <c r="R85" s="24" t="s">
        <v>181</v>
      </c>
      <c r="S85" s="25"/>
      <c r="T85" s="26"/>
      <c r="U85" s="27"/>
      <c r="V85" s="28"/>
      <c r="W85" s="28"/>
      <c r="X85" s="28"/>
      <c r="Y85" s="28"/>
      <c r="Z85" s="28"/>
      <c r="AA85" s="28"/>
    </row>
    <row r="86" spans="1:27" ht="15.75" x14ac:dyDescent="0.25">
      <c r="A86" s="20" t="s">
        <v>182</v>
      </c>
      <c r="B86" s="33" t="s">
        <v>183</v>
      </c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5"/>
      <c r="P86" s="24" t="s">
        <v>24</v>
      </c>
      <c r="Q86" s="25"/>
      <c r="R86" s="24">
        <v>12</v>
      </c>
      <c r="S86" s="25"/>
      <c r="T86" s="26"/>
      <c r="U86" s="27"/>
      <c r="V86" s="28"/>
      <c r="W86" s="28"/>
      <c r="X86" s="28"/>
      <c r="Y86" s="28"/>
      <c r="Z86" s="28"/>
      <c r="AA86" s="28"/>
    </row>
    <row r="87" spans="1:27" ht="15.75" x14ac:dyDescent="0.25">
      <c r="A87" s="20" t="s">
        <v>184</v>
      </c>
      <c r="B87" s="33" t="s">
        <v>185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5"/>
      <c r="P87" s="24" t="s">
        <v>24</v>
      </c>
      <c r="Q87" s="25"/>
      <c r="R87" s="24" t="s">
        <v>186</v>
      </c>
      <c r="S87" s="25"/>
      <c r="T87" s="26"/>
      <c r="U87" s="27"/>
      <c r="V87" s="28"/>
      <c r="W87" s="28"/>
      <c r="X87" s="28"/>
      <c r="Y87" s="28"/>
      <c r="Z87" s="28"/>
      <c r="AA87" s="28"/>
    </row>
    <row r="88" spans="1:27" ht="16.5" thickBot="1" x14ac:dyDescent="0.3">
      <c r="A88" s="17" t="s">
        <v>187</v>
      </c>
      <c r="B88" s="30" t="s">
        <v>188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2"/>
      <c r="P88" s="24" t="s">
        <v>36</v>
      </c>
      <c r="Q88" s="25"/>
      <c r="R88" s="24" t="s">
        <v>36</v>
      </c>
      <c r="S88" s="25"/>
      <c r="T88" s="26"/>
      <c r="U88" s="27"/>
      <c r="V88" s="28"/>
      <c r="W88" s="28"/>
      <c r="X88" s="28"/>
      <c r="Y88" s="28"/>
      <c r="Z88" s="28"/>
      <c r="AA88" s="28"/>
    </row>
    <row r="89" spans="1:27" ht="16.5" thickBot="1" x14ac:dyDescent="0.3">
      <c r="A89" s="20" t="s">
        <v>189</v>
      </c>
      <c r="B89" s="33" t="s">
        <v>190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5"/>
      <c r="P89" s="24" t="s">
        <v>191</v>
      </c>
      <c r="Q89" s="25"/>
      <c r="R89" s="24" t="s">
        <v>192</v>
      </c>
      <c r="S89" s="25"/>
      <c r="T89" s="26"/>
      <c r="U89" s="27"/>
      <c r="V89" s="28"/>
      <c r="W89" s="28"/>
      <c r="X89" s="42">
        <f>562+11.36</f>
        <v>573.36</v>
      </c>
      <c r="Y89" s="43"/>
      <c r="Z89" s="28"/>
      <c r="AA89" s="28"/>
    </row>
    <row r="90" spans="1:27" ht="15.75" x14ac:dyDescent="0.25">
      <c r="A90" s="20" t="s">
        <v>193</v>
      </c>
      <c r="B90" s="33" t="s">
        <v>194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5"/>
      <c r="P90" s="24" t="s">
        <v>155</v>
      </c>
      <c r="Q90" s="25"/>
      <c r="R90" s="39">
        <f>X90</f>
        <v>1823.3549999999998</v>
      </c>
      <c r="S90" s="40"/>
      <c r="T90" s="41"/>
      <c r="U90" s="27"/>
      <c r="V90" s="28"/>
      <c r="W90" s="28"/>
      <c r="X90" s="28">
        <f>573*3*1.045+9+9+9</f>
        <v>1823.3549999999998</v>
      </c>
      <c r="Y90" s="28"/>
      <c r="Z90" s="28"/>
      <c r="AA90" s="28"/>
    </row>
    <row r="91" spans="1:27" ht="15.75" x14ac:dyDescent="0.25">
      <c r="A91" s="20" t="s">
        <v>195</v>
      </c>
      <c r="B91" s="33" t="s">
        <v>196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5"/>
      <c r="P91" s="24" t="s">
        <v>191</v>
      </c>
      <c r="Q91" s="25"/>
      <c r="R91" s="24" t="str">
        <f>R89</f>
        <v>573/14</v>
      </c>
      <c r="S91" s="25"/>
      <c r="T91" s="26"/>
      <c r="U91" s="27"/>
      <c r="V91" s="28"/>
      <c r="W91" s="28"/>
      <c r="X91" s="28"/>
      <c r="Y91" s="28"/>
      <c r="Z91" s="28"/>
      <c r="AA91" s="28"/>
    </row>
    <row r="92" spans="1:27" ht="15.75" x14ac:dyDescent="0.25">
      <c r="A92" s="20" t="s">
        <v>197</v>
      </c>
      <c r="B92" s="33" t="s">
        <v>198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5"/>
      <c r="P92" s="24" t="s">
        <v>24</v>
      </c>
      <c r="Q92" s="25"/>
      <c r="R92" s="24">
        <f>R82*2</f>
        <v>86</v>
      </c>
      <c r="S92" s="25"/>
      <c r="T92" s="26"/>
      <c r="U92" s="27"/>
      <c r="V92" s="28"/>
      <c r="W92" s="28"/>
      <c r="X92" s="28"/>
      <c r="Y92" s="28"/>
      <c r="Z92" s="28"/>
      <c r="AA92" s="28"/>
    </row>
    <row r="93" spans="1:27" ht="15.75" x14ac:dyDescent="0.25">
      <c r="A93" s="20" t="s">
        <v>199</v>
      </c>
      <c r="B93" s="33" t="s">
        <v>200</v>
      </c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5"/>
      <c r="P93" s="24" t="s">
        <v>201</v>
      </c>
      <c r="Q93" s="25"/>
      <c r="R93" s="24" t="s">
        <v>202</v>
      </c>
      <c r="S93" s="25"/>
      <c r="T93" s="26"/>
      <c r="U93" s="27"/>
      <c r="V93" s="28"/>
      <c r="W93" s="28"/>
      <c r="X93" s="28"/>
      <c r="Y93" s="28"/>
      <c r="Z93" s="28"/>
      <c r="AA93" s="28"/>
    </row>
    <row r="94" spans="1:27" ht="15.75" x14ac:dyDescent="0.25">
      <c r="A94" s="17" t="s">
        <v>203</v>
      </c>
      <c r="B94" s="30" t="s">
        <v>204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2"/>
      <c r="P94" s="24" t="s">
        <v>36</v>
      </c>
      <c r="Q94" s="25"/>
      <c r="R94" s="24" t="s">
        <v>36</v>
      </c>
      <c r="S94" s="25"/>
      <c r="T94" s="26"/>
      <c r="U94" s="27"/>
      <c r="V94" s="28"/>
      <c r="W94" s="28"/>
      <c r="X94" s="28"/>
      <c r="Y94" s="28"/>
      <c r="Z94" s="28"/>
      <c r="AA94" s="28"/>
    </row>
    <row r="95" spans="1:27" ht="15.75" x14ac:dyDescent="0.25">
      <c r="A95" s="20" t="s">
        <v>205</v>
      </c>
      <c r="B95" s="33" t="s">
        <v>206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5"/>
      <c r="P95" s="24" t="s">
        <v>24</v>
      </c>
      <c r="Q95" s="25"/>
      <c r="R95" s="24" t="s">
        <v>186</v>
      </c>
      <c r="S95" s="25"/>
      <c r="T95" s="26"/>
      <c r="U95" s="27"/>
      <c r="V95" s="28"/>
      <c r="W95" s="28"/>
      <c r="X95" s="28"/>
      <c r="Y95" s="28"/>
      <c r="Z95" s="28"/>
      <c r="AA95" s="28"/>
    </row>
    <row r="96" spans="1:27" ht="15.75" x14ac:dyDescent="0.25">
      <c r="A96" s="20" t="s">
        <v>207</v>
      </c>
      <c r="B96" s="33" t="s">
        <v>208</v>
      </c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5"/>
      <c r="P96" s="24" t="s">
        <v>24</v>
      </c>
      <c r="Q96" s="25"/>
      <c r="R96" s="24" t="s">
        <v>186</v>
      </c>
      <c r="S96" s="25"/>
      <c r="T96" s="26"/>
      <c r="U96" s="27"/>
      <c r="V96" s="28"/>
      <c r="W96" s="28"/>
      <c r="X96" s="28"/>
      <c r="Y96" s="28"/>
      <c r="Z96" s="28"/>
      <c r="AA96" s="28"/>
    </row>
    <row r="97" spans="1:27" ht="15.75" x14ac:dyDescent="0.25">
      <c r="A97" s="20" t="s">
        <v>209</v>
      </c>
      <c r="B97" s="33" t="s">
        <v>210</v>
      </c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5"/>
      <c r="P97" s="24" t="s">
        <v>24</v>
      </c>
      <c r="Q97" s="25"/>
      <c r="R97" s="24" t="s">
        <v>186</v>
      </c>
      <c r="S97" s="25"/>
      <c r="T97" s="26"/>
      <c r="U97" s="27"/>
      <c r="V97" s="28"/>
      <c r="W97" s="28"/>
      <c r="X97" s="28"/>
      <c r="Y97" s="28"/>
      <c r="Z97" s="28"/>
      <c r="AA97" s="28"/>
    </row>
    <row r="98" spans="1:27" ht="15.75" x14ac:dyDescent="0.25">
      <c r="A98" s="20" t="s">
        <v>211</v>
      </c>
      <c r="B98" s="33" t="s">
        <v>212</v>
      </c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5"/>
      <c r="P98" s="24" t="s">
        <v>24</v>
      </c>
      <c r="Q98" s="25"/>
      <c r="R98" s="24" t="s">
        <v>186</v>
      </c>
      <c r="S98" s="25"/>
      <c r="T98" s="26"/>
      <c r="U98" s="27"/>
      <c r="V98" s="28"/>
      <c r="W98" s="28"/>
      <c r="X98" s="28"/>
      <c r="Y98" s="28"/>
      <c r="Z98" s="28"/>
      <c r="AA98" s="28"/>
    </row>
    <row r="99" spans="1:27" ht="15.75" x14ac:dyDescent="0.25">
      <c r="A99" s="17" t="s">
        <v>213</v>
      </c>
      <c r="B99" s="30" t="s">
        <v>214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2"/>
      <c r="P99" s="24" t="s">
        <v>36</v>
      </c>
      <c r="Q99" s="25"/>
      <c r="R99" s="24" t="s">
        <v>36</v>
      </c>
      <c r="S99" s="25"/>
      <c r="T99" s="26"/>
      <c r="U99" s="27"/>
      <c r="V99" s="28"/>
      <c r="W99" s="28"/>
      <c r="X99" s="28"/>
      <c r="Y99" s="28"/>
      <c r="Z99" s="28"/>
      <c r="AA99" s="28"/>
    </row>
    <row r="100" spans="1:27" ht="19.899999999999999" customHeight="1" x14ac:dyDescent="0.25">
      <c r="A100" s="20" t="s">
        <v>215</v>
      </c>
      <c r="B100" s="33" t="s">
        <v>216</v>
      </c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5"/>
      <c r="P100" s="24" t="s">
        <v>217</v>
      </c>
      <c r="Q100" s="25"/>
      <c r="R100" s="24" t="s">
        <v>202</v>
      </c>
      <c r="S100" s="25"/>
      <c r="T100" s="26"/>
      <c r="U100" s="27"/>
      <c r="V100" s="28"/>
      <c r="W100" s="28"/>
      <c r="X100" s="28"/>
      <c r="Y100" s="28"/>
      <c r="Z100" s="28"/>
      <c r="AA100" s="28"/>
    </row>
    <row r="101" spans="1:27" ht="33" customHeight="1" x14ac:dyDescent="0.25">
      <c r="A101" s="20" t="s">
        <v>218</v>
      </c>
      <c r="B101" s="33" t="s">
        <v>219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5"/>
      <c r="P101" s="24" t="s">
        <v>220</v>
      </c>
      <c r="Q101" s="25"/>
      <c r="R101" s="24" t="s">
        <v>221</v>
      </c>
      <c r="S101" s="25"/>
      <c r="T101" s="26"/>
      <c r="U101" s="27"/>
      <c r="V101" s="28"/>
      <c r="W101" s="28"/>
      <c r="X101" s="28"/>
      <c r="Y101" s="28"/>
      <c r="Z101" s="28"/>
      <c r="AA101" s="28"/>
    </row>
    <row r="102" spans="1:27" ht="52.5" customHeight="1" x14ac:dyDescent="0.25">
      <c r="A102" s="20" t="s">
        <v>222</v>
      </c>
      <c r="B102" s="33" t="s">
        <v>223</v>
      </c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5"/>
      <c r="P102" s="24" t="s">
        <v>217</v>
      </c>
      <c r="Q102" s="25"/>
      <c r="R102" s="24" t="s">
        <v>202</v>
      </c>
      <c r="S102" s="25"/>
      <c r="T102" s="26"/>
      <c r="U102" s="27"/>
      <c r="V102" s="28"/>
      <c r="W102" s="28"/>
      <c r="X102" s="28"/>
      <c r="Y102" s="28"/>
      <c r="Z102" s="28"/>
      <c r="AA102" s="28"/>
    </row>
    <row r="103" spans="1:27" ht="15.75" x14ac:dyDescent="0.25">
      <c r="A103" s="20" t="s">
        <v>224</v>
      </c>
      <c r="B103" s="33" t="s">
        <v>225</v>
      </c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5"/>
      <c r="P103" s="24" t="s">
        <v>217</v>
      </c>
      <c r="Q103" s="25"/>
      <c r="R103" s="24" t="s">
        <v>202</v>
      </c>
      <c r="S103" s="25"/>
      <c r="T103" s="26"/>
      <c r="U103" s="27"/>
      <c r="V103" s="28"/>
      <c r="W103" s="28"/>
      <c r="X103" s="28"/>
      <c r="Y103" s="28"/>
      <c r="Z103" s="28"/>
      <c r="AA103" s="28"/>
    </row>
    <row r="104" spans="1:27" ht="19.899999999999999" customHeight="1" x14ac:dyDescent="0.25">
      <c r="A104" s="20" t="s">
        <v>226</v>
      </c>
      <c r="B104" s="33" t="s">
        <v>227</v>
      </c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5"/>
      <c r="P104" s="24" t="s">
        <v>24</v>
      </c>
      <c r="Q104" s="25"/>
      <c r="R104" s="24" t="s">
        <v>202</v>
      </c>
      <c r="S104" s="25"/>
      <c r="T104" s="26"/>
      <c r="U104" s="27"/>
      <c r="V104" s="28"/>
      <c r="W104" s="28"/>
      <c r="X104" s="28"/>
      <c r="Y104" s="28"/>
      <c r="Z104" s="28"/>
      <c r="AA104" s="28"/>
    </row>
    <row r="105" spans="1:27" ht="15.75" x14ac:dyDescent="0.25">
      <c r="A105" s="17" t="s">
        <v>228</v>
      </c>
      <c r="B105" s="30" t="s">
        <v>229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2"/>
      <c r="P105" s="24" t="s">
        <v>36</v>
      </c>
      <c r="Q105" s="25"/>
      <c r="R105" s="24" t="s">
        <v>36</v>
      </c>
      <c r="S105" s="25"/>
      <c r="T105" s="26"/>
      <c r="U105" s="27"/>
      <c r="V105" s="28"/>
      <c r="W105" s="28"/>
      <c r="X105" s="28"/>
      <c r="Y105" s="28"/>
      <c r="Z105" s="28"/>
      <c r="AA105" s="28"/>
    </row>
    <row r="106" spans="1:27" ht="15.75" x14ac:dyDescent="0.25">
      <c r="A106" s="20" t="s">
        <v>230</v>
      </c>
      <c r="B106" s="33" t="s">
        <v>231</v>
      </c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5"/>
      <c r="P106" s="24" t="s">
        <v>232</v>
      </c>
      <c r="Q106" s="25"/>
      <c r="R106" s="24" t="s">
        <v>233</v>
      </c>
      <c r="S106" s="25"/>
      <c r="T106" s="26"/>
      <c r="U106" s="27"/>
      <c r="V106" s="28"/>
      <c r="W106" s="28"/>
      <c r="X106" s="28"/>
      <c r="Y106" s="28"/>
      <c r="Z106" s="28"/>
      <c r="AA106" s="28"/>
    </row>
    <row r="107" spans="1:27" ht="15.75" x14ac:dyDescent="0.25">
      <c r="A107" s="20" t="s">
        <v>234</v>
      </c>
      <c r="B107" s="33" t="s">
        <v>235</v>
      </c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5"/>
      <c r="P107" s="24" t="s">
        <v>236</v>
      </c>
      <c r="Q107" s="25"/>
      <c r="R107" s="24" t="s">
        <v>237</v>
      </c>
      <c r="S107" s="25"/>
      <c r="T107" s="26"/>
      <c r="U107" s="27"/>
      <c r="V107" s="28"/>
      <c r="W107" s="28"/>
      <c r="X107" s="28"/>
      <c r="Y107" s="28"/>
      <c r="Z107" s="28"/>
      <c r="AA107" s="28"/>
    </row>
    <row r="108" spans="1:27" ht="19.149999999999999" customHeight="1" x14ac:dyDescent="0.25">
      <c r="A108" s="20" t="s">
        <v>238</v>
      </c>
      <c r="B108" s="33" t="s">
        <v>239</v>
      </c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5"/>
      <c r="P108" s="24" t="s">
        <v>232</v>
      </c>
      <c r="Q108" s="25"/>
      <c r="R108" s="24" t="s">
        <v>233</v>
      </c>
      <c r="S108" s="25"/>
      <c r="T108" s="26"/>
      <c r="U108" s="27"/>
      <c r="V108" s="28"/>
      <c r="W108" s="28"/>
      <c r="X108" s="28"/>
      <c r="Y108" s="28"/>
      <c r="Z108" s="28"/>
      <c r="AA108" s="28"/>
    </row>
    <row r="109" spans="1:27" ht="15.75" x14ac:dyDescent="0.25">
      <c r="A109" s="20" t="s">
        <v>240</v>
      </c>
      <c r="B109" s="33" t="s">
        <v>241</v>
      </c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5"/>
      <c r="P109" s="24" t="s">
        <v>232</v>
      </c>
      <c r="Q109" s="25"/>
      <c r="R109" s="24" t="s">
        <v>202</v>
      </c>
      <c r="S109" s="25"/>
      <c r="T109" s="26"/>
      <c r="U109" s="27"/>
      <c r="V109" s="28"/>
      <c r="W109" s="28"/>
      <c r="X109" s="28"/>
      <c r="Y109" s="28"/>
      <c r="Z109" s="28"/>
      <c r="AA109" s="28"/>
    </row>
    <row r="110" spans="1:27" ht="15.75" x14ac:dyDescent="0.25">
      <c r="A110" s="20" t="s">
        <v>242</v>
      </c>
      <c r="B110" s="33" t="s">
        <v>243</v>
      </c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5"/>
      <c r="P110" s="24" t="s">
        <v>232</v>
      </c>
      <c r="Q110" s="25"/>
      <c r="R110" s="24" t="s">
        <v>202</v>
      </c>
      <c r="S110" s="25"/>
      <c r="T110" s="26"/>
      <c r="U110" s="27"/>
      <c r="V110" s="28"/>
      <c r="W110" s="28"/>
      <c r="X110" s="28"/>
      <c r="Y110" s="28"/>
      <c r="Z110" s="28"/>
      <c r="AA110" s="28"/>
    </row>
    <row r="111" spans="1:27" ht="15.75" x14ac:dyDescent="0.25">
      <c r="A111" s="17" t="s">
        <v>244</v>
      </c>
      <c r="B111" s="30" t="s">
        <v>245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2"/>
      <c r="P111" s="24" t="s">
        <v>232</v>
      </c>
      <c r="Q111" s="25"/>
      <c r="R111" s="24" t="s">
        <v>202</v>
      </c>
      <c r="S111" s="25"/>
      <c r="T111" s="26"/>
      <c r="U111" s="27"/>
      <c r="V111" s="28"/>
      <c r="W111" s="28"/>
      <c r="X111" s="28"/>
      <c r="Y111" s="28"/>
      <c r="Z111" s="28"/>
      <c r="AA111" s="28"/>
    </row>
    <row r="112" spans="1:27" ht="15.75" x14ac:dyDescent="0.25">
      <c r="A112" s="20" t="s">
        <v>246</v>
      </c>
      <c r="B112" s="33" t="s">
        <v>247</v>
      </c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5"/>
      <c r="P112" s="24" t="s">
        <v>232</v>
      </c>
      <c r="Q112" s="25"/>
      <c r="R112" s="24" t="s">
        <v>186</v>
      </c>
      <c r="S112" s="25"/>
      <c r="T112" s="26"/>
      <c r="U112" s="27"/>
      <c r="V112" s="28"/>
      <c r="W112" s="28"/>
      <c r="X112" s="28"/>
      <c r="Y112" s="28"/>
      <c r="Z112" s="28"/>
      <c r="AA112" s="28"/>
    </row>
    <row r="113" spans="1:27" ht="15.75" x14ac:dyDescent="0.25">
      <c r="A113" s="20" t="s">
        <v>248</v>
      </c>
      <c r="B113" s="33" t="s">
        <v>249</v>
      </c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5"/>
      <c r="P113" s="24" t="s">
        <v>232</v>
      </c>
      <c r="Q113" s="25"/>
      <c r="R113" s="24" t="s">
        <v>186</v>
      </c>
      <c r="S113" s="25"/>
      <c r="T113" s="26"/>
      <c r="U113" s="27"/>
      <c r="V113" s="28"/>
      <c r="W113" s="28"/>
      <c r="X113" s="28"/>
      <c r="Y113" s="28"/>
      <c r="Z113" s="28"/>
      <c r="AA113" s="28"/>
    </row>
    <row r="114" spans="1:27" ht="15.75" x14ac:dyDescent="0.25">
      <c r="A114" s="20" t="s">
        <v>250</v>
      </c>
      <c r="B114" s="33" t="s">
        <v>251</v>
      </c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5"/>
      <c r="P114" s="24" t="s">
        <v>232</v>
      </c>
      <c r="Q114" s="25"/>
      <c r="R114" s="24" t="s">
        <v>186</v>
      </c>
      <c r="S114" s="25"/>
      <c r="T114" s="26"/>
      <c r="U114" s="27"/>
      <c r="V114" s="28"/>
      <c r="W114" s="28"/>
      <c r="X114" s="28"/>
      <c r="Y114" s="28"/>
      <c r="Z114" s="28"/>
      <c r="AA114" s="28"/>
    </row>
    <row r="115" spans="1:27" ht="15.75" x14ac:dyDescent="0.25">
      <c r="A115" s="17" t="s">
        <v>252</v>
      </c>
      <c r="B115" s="30" t="s">
        <v>253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2"/>
      <c r="P115" s="24" t="s">
        <v>36</v>
      </c>
      <c r="Q115" s="25"/>
      <c r="R115" s="24" t="s">
        <v>36</v>
      </c>
      <c r="S115" s="25"/>
      <c r="T115" s="26"/>
      <c r="U115" s="27"/>
      <c r="V115" s="28"/>
      <c r="W115" s="28"/>
      <c r="X115" s="28"/>
      <c r="Y115" s="28"/>
      <c r="Z115" s="28"/>
      <c r="AA115" s="28"/>
    </row>
    <row r="116" spans="1:27" ht="15.75" x14ac:dyDescent="0.25">
      <c r="A116" s="20" t="s">
        <v>254</v>
      </c>
      <c r="B116" s="33" t="s">
        <v>255</v>
      </c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5"/>
      <c r="P116" s="24" t="s">
        <v>232</v>
      </c>
      <c r="Q116" s="25"/>
      <c r="R116" s="24" t="s">
        <v>186</v>
      </c>
      <c r="S116" s="25"/>
      <c r="T116" s="26"/>
      <c r="U116" s="27"/>
      <c r="V116" s="28"/>
      <c r="W116" s="28"/>
      <c r="X116" s="28"/>
      <c r="Y116" s="28"/>
      <c r="Z116" s="28"/>
      <c r="AA116" s="28"/>
    </row>
    <row r="117" spans="1:27" ht="15.75" x14ac:dyDescent="0.25">
      <c r="A117" s="20" t="s">
        <v>256</v>
      </c>
      <c r="B117" s="33" t="s">
        <v>257</v>
      </c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5"/>
      <c r="P117" s="24" t="s">
        <v>232</v>
      </c>
      <c r="Q117" s="25"/>
      <c r="R117" s="24" t="s">
        <v>186</v>
      </c>
      <c r="S117" s="25"/>
      <c r="T117" s="26"/>
      <c r="U117" s="27"/>
      <c r="V117" s="28"/>
      <c r="W117" s="28"/>
      <c r="X117" s="28"/>
      <c r="Y117" s="28"/>
      <c r="Z117" s="28"/>
      <c r="AA117" s="28"/>
    </row>
    <row r="118" spans="1:27" ht="15.75" x14ac:dyDescent="0.25">
      <c r="A118" s="20" t="s">
        <v>258</v>
      </c>
      <c r="B118" s="33" t="s">
        <v>259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5"/>
      <c r="P118" s="24" t="s">
        <v>24</v>
      </c>
      <c r="Q118" s="25"/>
      <c r="R118" s="24" t="s">
        <v>260</v>
      </c>
      <c r="S118" s="25"/>
      <c r="T118" s="26"/>
      <c r="U118" s="27"/>
      <c r="V118" s="28"/>
      <c r="W118" s="28"/>
      <c r="X118" s="28"/>
      <c r="Y118" s="28"/>
      <c r="Z118" s="28"/>
      <c r="AA118" s="28"/>
    </row>
    <row r="119" spans="1:27" ht="15.75" x14ac:dyDescent="0.25">
      <c r="A119" s="20" t="s">
        <v>261</v>
      </c>
      <c r="B119" s="33" t="s">
        <v>262</v>
      </c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5"/>
      <c r="P119" s="24" t="s">
        <v>17</v>
      </c>
      <c r="Q119" s="25"/>
      <c r="R119" s="24" t="s">
        <v>263</v>
      </c>
      <c r="S119" s="25"/>
      <c r="T119" s="26"/>
      <c r="U119" s="27"/>
      <c r="V119" s="28"/>
      <c r="W119" s="28"/>
      <c r="X119" s="28"/>
      <c r="Y119" s="28"/>
      <c r="Z119" s="28"/>
      <c r="AA119" s="28"/>
    </row>
    <row r="120" spans="1:27" ht="32.450000000000003" customHeight="1" x14ac:dyDescent="0.25">
      <c r="A120" s="17" t="s">
        <v>264</v>
      </c>
      <c r="B120" s="30" t="s">
        <v>265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2"/>
      <c r="U120" s="27"/>
      <c r="V120" s="28"/>
      <c r="W120" s="28"/>
      <c r="X120" s="28"/>
      <c r="Y120" s="28"/>
      <c r="Z120" s="28"/>
      <c r="AA120" s="28"/>
    </row>
    <row r="121" spans="1:27" ht="16.5" thickBot="1" x14ac:dyDescent="0.3">
      <c r="A121" s="17" t="s">
        <v>266</v>
      </c>
      <c r="B121" s="30" t="s">
        <v>267</v>
      </c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2"/>
      <c r="P121" s="24" t="s">
        <v>36</v>
      </c>
      <c r="Q121" s="25"/>
      <c r="R121" s="24" t="s">
        <v>36</v>
      </c>
      <c r="S121" s="25"/>
      <c r="T121" s="26"/>
      <c r="U121" s="27"/>
      <c r="V121" s="28"/>
      <c r="W121" s="28"/>
      <c r="X121" s="28" t="s">
        <v>268</v>
      </c>
      <c r="Y121" s="28"/>
      <c r="Z121" s="28"/>
      <c r="AA121" s="28"/>
    </row>
    <row r="122" spans="1:27" ht="16.5" thickBot="1" x14ac:dyDescent="0.3">
      <c r="A122" s="20" t="s">
        <v>269</v>
      </c>
      <c r="B122" s="33" t="s">
        <v>270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5"/>
      <c r="P122" s="24" t="s">
        <v>271</v>
      </c>
      <c r="Q122" s="25"/>
      <c r="R122" s="24" t="str">
        <f>CONCATENATE(X122,"/",ROUND(X122*0.405,2))</f>
        <v>654,6/265,11</v>
      </c>
      <c r="S122" s="25"/>
      <c r="T122" s="26"/>
      <c r="U122" s="27"/>
      <c r="V122" s="28"/>
      <c r="W122" s="28"/>
      <c r="X122" s="42">
        <f>21.5+306.5+251.5+85.5+128.2+6.7-78-67.3</f>
        <v>654.60000000000014</v>
      </c>
      <c r="Y122" s="28"/>
      <c r="Z122" s="28"/>
      <c r="AA122" s="28"/>
    </row>
    <row r="123" spans="1:27" ht="15.75" x14ac:dyDescent="0.25">
      <c r="A123" s="20" t="s">
        <v>272</v>
      </c>
      <c r="B123" s="33" t="s">
        <v>273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5"/>
      <c r="P123" s="24" t="s">
        <v>121</v>
      </c>
      <c r="Q123" s="25"/>
      <c r="R123" s="24">
        <f>ROUND(X122*0.405*0.6,2)</f>
        <v>159.07</v>
      </c>
      <c r="S123" s="25"/>
      <c r="T123" s="26"/>
      <c r="U123" s="27"/>
      <c r="V123" s="28"/>
      <c r="W123" s="28"/>
      <c r="X123" s="28"/>
      <c r="Y123" s="28"/>
      <c r="Z123" s="28"/>
      <c r="AA123" s="28"/>
    </row>
    <row r="124" spans="1:27" ht="16.149999999999999" customHeight="1" x14ac:dyDescent="0.25">
      <c r="A124" s="20" t="s">
        <v>274</v>
      </c>
      <c r="B124" s="33" t="s">
        <v>275</v>
      </c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5"/>
      <c r="P124" s="24" t="s">
        <v>121</v>
      </c>
      <c r="Q124" s="25"/>
      <c r="R124" s="24">
        <f>ROUND(X122*0.405*0.4,2)</f>
        <v>106.05</v>
      </c>
      <c r="S124" s="25"/>
      <c r="T124" s="26"/>
      <c r="U124" s="27"/>
      <c r="V124" s="28"/>
      <c r="W124" s="28"/>
      <c r="X124" s="28"/>
      <c r="Y124" s="28"/>
      <c r="Z124" s="28"/>
      <c r="AA124" s="28"/>
    </row>
    <row r="125" spans="1:27" ht="15.75" x14ac:dyDescent="0.25">
      <c r="A125" s="20" t="s">
        <v>276</v>
      </c>
      <c r="B125" s="33" t="s">
        <v>133</v>
      </c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5"/>
      <c r="P125" s="24" t="s">
        <v>121</v>
      </c>
      <c r="Q125" s="25"/>
      <c r="R125" s="24">
        <f>ROUND(X122*0.405*0.7,2)</f>
        <v>185.58</v>
      </c>
      <c r="S125" s="25"/>
      <c r="T125" s="26"/>
      <c r="U125" s="27"/>
      <c r="V125" s="28"/>
      <c r="W125" s="28"/>
      <c r="X125" s="28"/>
      <c r="Y125" s="28"/>
      <c r="Z125" s="28"/>
      <c r="AA125" s="28"/>
    </row>
    <row r="126" spans="1:27" ht="16.149999999999999" customHeight="1" x14ac:dyDescent="0.25">
      <c r="A126" s="20" t="s">
        <v>277</v>
      </c>
      <c r="B126" s="33" t="s">
        <v>135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5"/>
      <c r="P126" s="24" t="s">
        <v>121</v>
      </c>
      <c r="Q126" s="25"/>
      <c r="R126" s="24">
        <f>ROUND(X122*0.405*0.3,2)</f>
        <v>79.53</v>
      </c>
      <c r="S126" s="25"/>
      <c r="T126" s="26"/>
      <c r="U126" s="27"/>
      <c r="V126" s="28"/>
      <c r="W126" s="28"/>
      <c r="X126" s="28"/>
      <c r="Y126" s="28"/>
      <c r="Z126" s="28"/>
      <c r="AA126" s="28"/>
    </row>
    <row r="127" spans="1:27" ht="16.149999999999999" customHeight="1" x14ac:dyDescent="0.25">
      <c r="A127" s="20" t="s">
        <v>278</v>
      </c>
      <c r="B127" s="33" t="s">
        <v>279</v>
      </c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5"/>
      <c r="P127" s="24" t="s">
        <v>121</v>
      </c>
      <c r="Q127" s="25"/>
      <c r="R127" s="24">
        <f>ROUND(R126*0.1,2)</f>
        <v>7.95</v>
      </c>
      <c r="S127" s="25"/>
      <c r="T127" s="26"/>
      <c r="U127" s="27"/>
      <c r="V127" s="28"/>
      <c r="W127" s="28"/>
      <c r="X127" s="28"/>
      <c r="Y127" s="28"/>
      <c r="Z127" s="28"/>
      <c r="AA127" s="28"/>
    </row>
    <row r="128" spans="1:27" ht="15.75" x14ac:dyDescent="0.25">
      <c r="A128" s="20" t="s">
        <v>280</v>
      </c>
      <c r="B128" s="33" t="s">
        <v>281</v>
      </c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5"/>
      <c r="P128" s="24" t="s">
        <v>121</v>
      </c>
      <c r="Q128" s="25"/>
      <c r="R128" s="24" t="s">
        <v>282</v>
      </c>
      <c r="S128" s="25"/>
      <c r="T128" s="26"/>
      <c r="U128" s="27"/>
      <c r="V128" s="28"/>
      <c r="W128" s="28"/>
      <c r="X128" s="28"/>
      <c r="Y128" s="28"/>
      <c r="Z128" s="28"/>
      <c r="AA128" s="28"/>
    </row>
    <row r="129" spans="1:27" ht="15.75" x14ac:dyDescent="0.25">
      <c r="A129" s="20" t="s">
        <v>283</v>
      </c>
      <c r="B129" s="33" t="s">
        <v>284</v>
      </c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5"/>
      <c r="P129" s="24" t="s">
        <v>121</v>
      </c>
      <c r="Q129" s="25"/>
      <c r="R129" s="24">
        <f>0.15*0.4*X122</f>
        <v>39.276000000000003</v>
      </c>
      <c r="S129" s="25"/>
      <c r="T129" s="26"/>
      <c r="U129" s="27"/>
      <c r="V129" s="28"/>
      <c r="W129" s="28"/>
      <c r="X129" s="28"/>
      <c r="Y129" s="28"/>
      <c r="Z129" s="28"/>
      <c r="AA129" s="28"/>
    </row>
    <row r="130" spans="1:27" ht="15.75" x14ac:dyDescent="0.25">
      <c r="A130" s="20" t="s">
        <v>285</v>
      </c>
      <c r="B130" s="33" t="s">
        <v>286</v>
      </c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5"/>
      <c r="P130" s="24" t="s">
        <v>287</v>
      </c>
      <c r="Q130" s="25"/>
      <c r="R130" s="24">
        <f>0.4*X122</f>
        <v>261.84000000000009</v>
      </c>
      <c r="S130" s="25"/>
      <c r="T130" s="26"/>
      <c r="U130" s="27"/>
      <c r="V130" s="28"/>
      <c r="W130" s="28"/>
      <c r="X130" s="28"/>
      <c r="Y130" s="28"/>
      <c r="Z130" s="28"/>
      <c r="AA130" s="28"/>
    </row>
    <row r="131" spans="1:27" ht="15.75" x14ac:dyDescent="0.25">
      <c r="A131" s="20" t="s">
        <v>288</v>
      </c>
      <c r="B131" s="33" t="s">
        <v>289</v>
      </c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5"/>
      <c r="P131" s="24" t="s">
        <v>155</v>
      </c>
      <c r="Q131" s="25"/>
      <c r="R131" s="24">
        <f>SUM(R132:T133)</f>
        <v>176.4</v>
      </c>
      <c r="S131" s="25"/>
      <c r="T131" s="26"/>
      <c r="U131" s="27"/>
      <c r="V131" s="28"/>
      <c r="W131" s="28"/>
      <c r="X131" s="28"/>
      <c r="Y131" s="28"/>
      <c r="Z131" s="28"/>
      <c r="AA131" s="28"/>
    </row>
    <row r="132" spans="1:27" ht="15.75" x14ac:dyDescent="0.25">
      <c r="A132" s="20" t="s">
        <v>290</v>
      </c>
      <c r="B132" s="33" t="s">
        <v>291</v>
      </c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5"/>
      <c r="P132" s="24" t="s">
        <v>155</v>
      </c>
      <c r="Q132" s="25"/>
      <c r="R132" s="24">
        <f>4.4+8.75+0.85+12.3+2.1+2+9.9+4.5+22.6+47.5</f>
        <v>114.9</v>
      </c>
      <c r="S132" s="25"/>
      <c r="T132" s="26"/>
      <c r="U132" s="27"/>
      <c r="V132" s="28"/>
      <c r="W132" s="28"/>
      <c r="X132" s="28"/>
      <c r="Y132" s="28"/>
      <c r="Z132" s="28"/>
      <c r="AA132" s="28"/>
    </row>
    <row r="133" spans="1:27" ht="15.75" x14ac:dyDescent="0.25">
      <c r="A133" s="20" t="s">
        <v>292</v>
      </c>
      <c r="B133" s="33" t="s">
        <v>293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5"/>
      <c r="P133" s="24" t="s">
        <v>155</v>
      </c>
      <c r="Q133" s="25"/>
      <c r="R133" s="24">
        <f>4.4+8.75+0.85+47.5</f>
        <v>61.5</v>
      </c>
      <c r="S133" s="25"/>
      <c r="T133" s="26"/>
      <c r="U133" s="27"/>
      <c r="V133" s="28"/>
      <c r="W133" s="28"/>
      <c r="X133" s="28"/>
      <c r="Y133" s="28"/>
      <c r="Z133" s="28"/>
      <c r="AA133" s="28"/>
    </row>
    <row r="134" spans="1:27" ht="35.25" customHeight="1" x14ac:dyDescent="0.25">
      <c r="A134" s="20" t="s">
        <v>294</v>
      </c>
      <c r="B134" s="33" t="s">
        <v>295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5"/>
      <c r="P134" s="24" t="s">
        <v>155</v>
      </c>
      <c r="Q134" s="25"/>
      <c r="R134" s="24">
        <f>(X122-R135)*1.02</f>
        <v>550.49400000000014</v>
      </c>
      <c r="S134" s="25"/>
      <c r="T134" s="26"/>
      <c r="U134" s="27"/>
      <c r="V134" s="28"/>
      <c r="W134" s="28"/>
      <c r="X134" s="28"/>
      <c r="Y134" s="28"/>
      <c r="Z134" s="28"/>
      <c r="AA134" s="28"/>
    </row>
    <row r="135" spans="1:27" ht="15.75" x14ac:dyDescent="0.25">
      <c r="A135" s="20" t="s">
        <v>296</v>
      </c>
      <c r="B135" s="33" t="s">
        <v>297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5"/>
      <c r="P135" s="24" t="s">
        <v>155</v>
      </c>
      <c r="Q135" s="25"/>
      <c r="R135" s="24">
        <f>R132</f>
        <v>114.9</v>
      </c>
      <c r="S135" s="25"/>
      <c r="T135" s="26"/>
      <c r="U135" s="27"/>
      <c r="V135" s="28"/>
      <c r="W135" s="28"/>
      <c r="X135" s="28"/>
      <c r="Y135" s="28"/>
      <c r="Z135" s="28"/>
      <c r="AA135" s="28"/>
    </row>
    <row r="136" spans="1:27" ht="15.75" x14ac:dyDescent="0.25">
      <c r="A136" s="20" t="s">
        <v>298</v>
      </c>
      <c r="B136" s="33" t="s">
        <v>299</v>
      </c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5"/>
      <c r="P136" s="24" t="s">
        <v>24</v>
      </c>
      <c r="Q136" s="25"/>
      <c r="R136" s="24">
        <v>12</v>
      </c>
      <c r="S136" s="25"/>
      <c r="T136" s="26"/>
      <c r="U136" s="27"/>
      <c r="V136" s="28"/>
      <c r="W136" s="28"/>
      <c r="X136" s="28"/>
      <c r="Y136" s="28"/>
      <c r="Z136" s="28"/>
      <c r="AA136" s="28"/>
    </row>
    <row r="137" spans="1:27" ht="15.75" x14ac:dyDescent="0.25">
      <c r="A137" s="20" t="s">
        <v>300</v>
      </c>
      <c r="B137" s="33" t="s">
        <v>301</v>
      </c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5"/>
      <c r="P137" s="24" t="s">
        <v>24</v>
      </c>
      <c r="Q137" s="25"/>
      <c r="R137" s="24">
        <v>8</v>
      </c>
      <c r="S137" s="25"/>
      <c r="T137" s="26"/>
      <c r="U137" s="27"/>
      <c r="V137" s="28"/>
      <c r="W137" s="28"/>
      <c r="X137" s="28"/>
      <c r="Y137" s="28"/>
      <c r="Z137" s="28"/>
      <c r="AA137" s="28"/>
    </row>
    <row r="138" spans="1:27" ht="15.75" x14ac:dyDescent="0.25">
      <c r="A138" s="20" t="s">
        <v>302</v>
      </c>
      <c r="B138" s="33" t="s">
        <v>303</v>
      </c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5"/>
      <c r="P138" s="24" t="s">
        <v>121</v>
      </c>
      <c r="Q138" s="25"/>
      <c r="R138" s="24">
        <f>R129</f>
        <v>39.276000000000003</v>
      </c>
      <c r="S138" s="25"/>
      <c r="T138" s="26"/>
      <c r="U138" s="27"/>
      <c r="V138" s="28"/>
      <c r="W138" s="28"/>
      <c r="X138" s="28"/>
      <c r="Y138" s="28"/>
      <c r="Z138" s="28"/>
      <c r="AA138" s="28"/>
    </row>
    <row r="139" spans="1:27" ht="15.75" x14ac:dyDescent="0.25">
      <c r="A139" s="20" t="s">
        <v>304</v>
      </c>
      <c r="B139" s="33" t="s">
        <v>305</v>
      </c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5"/>
      <c r="P139" s="24" t="s">
        <v>287</v>
      </c>
      <c r="Q139" s="25"/>
      <c r="R139" s="24">
        <f>R130</f>
        <v>261.84000000000009</v>
      </c>
      <c r="S139" s="25"/>
      <c r="T139" s="26"/>
      <c r="U139" s="27"/>
      <c r="V139" s="28"/>
      <c r="W139" s="28"/>
      <c r="X139" s="28"/>
      <c r="Y139" s="28"/>
      <c r="Z139" s="28"/>
      <c r="AA139" s="28"/>
    </row>
    <row r="140" spans="1:27" ht="30" customHeight="1" x14ac:dyDescent="0.25">
      <c r="A140" s="20" t="s">
        <v>306</v>
      </c>
      <c r="B140" s="33" t="s">
        <v>307</v>
      </c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5"/>
      <c r="P140" s="24" t="s">
        <v>308</v>
      </c>
      <c r="Q140" s="25"/>
      <c r="R140" s="44">
        <f>R134/0.48</f>
        <v>1146.8625000000004</v>
      </c>
      <c r="S140" s="45"/>
      <c r="T140" s="46"/>
      <c r="U140" s="27"/>
      <c r="V140" s="28"/>
      <c r="W140" s="28"/>
      <c r="X140" s="28"/>
      <c r="Y140" s="28"/>
      <c r="Z140" s="28"/>
      <c r="AA140" s="28"/>
    </row>
    <row r="141" spans="1:27" ht="15.75" x14ac:dyDescent="0.25">
      <c r="A141" s="20" t="s">
        <v>309</v>
      </c>
      <c r="B141" s="33" t="s">
        <v>310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5"/>
      <c r="P141" s="24" t="s">
        <v>121</v>
      </c>
      <c r="Q141" s="25"/>
      <c r="R141" s="24">
        <f>ROUND(X122*0.405,2)-R129-R138</f>
        <v>186.55799999999999</v>
      </c>
      <c r="S141" s="25"/>
      <c r="T141" s="26"/>
      <c r="U141" s="27"/>
      <c r="V141" s="28"/>
      <c r="W141" s="28"/>
      <c r="X141" s="28"/>
      <c r="Y141" s="28"/>
      <c r="Z141" s="28"/>
      <c r="AA141" s="28"/>
    </row>
    <row r="142" spans="1:27" ht="15.75" x14ac:dyDescent="0.25">
      <c r="A142" s="20" t="s">
        <v>311</v>
      </c>
      <c r="B142" s="33" t="s">
        <v>129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5"/>
      <c r="P142" s="24" t="s">
        <v>121</v>
      </c>
      <c r="Q142" s="25"/>
      <c r="R142" s="39">
        <f>R141*0.7</f>
        <v>130.59059999999999</v>
      </c>
      <c r="S142" s="40"/>
      <c r="T142" s="41"/>
      <c r="U142" s="27"/>
      <c r="V142" s="28"/>
      <c r="W142" s="28"/>
      <c r="X142" s="28"/>
      <c r="Y142" s="28"/>
      <c r="Z142" s="28"/>
      <c r="AA142" s="28"/>
    </row>
    <row r="143" spans="1:27" ht="15.75" x14ac:dyDescent="0.25">
      <c r="A143" s="20" t="s">
        <v>312</v>
      </c>
      <c r="B143" s="33" t="s">
        <v>131</v>
      </c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5"/>
      <c r="P143" s="24" t="s">
        <v>121</v>
      </c>
      <c r="Q143" s="25"/>
      <c r="R143" s="39">
        <f>R141*0.3</f>
        <v>55.967399999999998</v>
      </c>
      <c r="S143" s="40"/>
      <c r="T143" s="41"/>
      <c r="U143" s="27"/>
      <c r="V143" s="28"/>
      <c r="W143" s="28"/>
      <c r="X143" s="28"/>
      <c r="Y143" s="28"/>
      <c r="Z143" s="28"/>
      <c r="AA143" s="28"/>
    </row>
    <row r="144" spans="1:27" ht="15.75" x14ac:dyDescent="0.25">
      <c r="A144" s="20" t="s">
        <v>313</v>
      </c>
      <c r="B144" s="33" t="s">
        <v>314</v>
      </c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5"/>
      <c r="P144" s="24" t="s">
        <v>287</v>
      </c>
      <c r="Q144" s="25"/>
      <c r="R144" s="24">
        <f>X122*0.6</f>
        <v>392.76000000000005</v>
      </c>
      <c r="S144" s="25"/>
      <c r="T144" s="26"/>
      <c r="U144" s="27"/>
      <c r="V144" s="28"/>
      <c r="W144" s="28"/>
      <c r="X144" s="28"/>
      <c r="Y144" s="28"/>
      <c r="Z144" s="28"/>
      <c r="AA144" s="28"/>
    </row>
    <row r="145" spans="1:27" ht="15.75" x14ac:dyDescent="0.25">
      <c r="A145" s="20" t="s">
        <v>315</v>
      </c>
      <c r="B145" s="33" t="s">
        <v>316</v>
      </c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5"/>
      <c r="P145" s="24" t="s">
        <v>43</v>
      </c>
      <c r="Q145" s="25"/>
      <c r="R145" s="39">
        <f>(ROUND(X122*0.405,2)-R141)*1.8</f>
        <v>141.39360000000005</v>
      </c>
      <c r="S145" s="40"/>
      <c r="T145" s="41"/>
      <c r="U145" s="27"/>
      <c r="V145" s="47"/>
      <c r="W145" s="47"/>
      <c r="X145" s="47"/>
      <c r="Y145" s="47"/>
      <c r="Z145" s="47"/>
      <c r="AA145" s="47"/>
    </row>
    <row r="146" spans="1:27" ht="15.75" x14ac:dyDescent="0.25">
      <c r="A146" s="20" t="s">
        <v>317</v>
      </c>
      <c r="B146" s="33" t="s">
        <v>318</v>
      </c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5"/>
      <c r="P146" s="24" t="s">
        <v>43</v>
      </c>
      <c r="Q146" s="25"/>
      <c r="R146" s="39">
        <f>R145</f>
        <v>141.39360000000005</v>
      </c>
      <c r="S146" s="25"/>
      <c r="T146" s="26"/>
      <c r="U146" s="27"/>
      <c r="V146" s="47"/>
      <c r="W146" s="47"/>
      <c r="X146" s="47"/>
      <c r="Y146" s="47"/>
      <c r="Z146" s="47"/>
      <c r="AA146" s="47"/>
    </row>
    <row r="147" spans="1:27" ht="15.75" x14ac:dyDescent="0.25">
      <c r="A147" s="20" t="s">
        <v>319</v>
      </c>
      <c r="B147" s="33" t="s">
        <v>320</v>
      </c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5"/>
      <c r="P147" s="24" t="s">
        <v>155</v>
      </c>
      <c r="Q147" s="25"/>
      <c r="R147" s="24">
        <v>30</v>
      </c>
      <c r="S147" s="25"/>
      <c r="T147" s="26"/>
      <c r="U147" s="27"/>
      <c r="V147" s="47"/>
      <c r="W147" s="47"/>
      <c r="X147" s="47"/>
      <c r="Y147" s="47"/>
      <c r="Z147" s="47"/>
      <c r="AA147" s="47"/>
    </row>
    <row r="148" spans="1:27" ht="15.75" x14ac:dyDescent="0.25">
      <c r="A148" s="20" t="s">
        <v>321</v>
      </c>
      <c r="B148" s="33" t="s">
        <v>322</v>
      </c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5"/>
      <c r="P148" s="24" t="s">
        <v>155</v>
      </c>
      <c r="Q148" s="25"/>
      <c r="R148" s="24">
        <f>7.5</f>
        <v>7.5</v>
      </c>
      <c r="S148" s="25"/>
      <c r="T148" s="26"/>
      <c r="U148" s="27"/>
      <c r="V148" s="47"/>
      <c r="W148" s="47"/>
      <c r="X148" s="47"/>
      <c r="Y148" s="47"/>
      <c r="Z148" s="47"/>
      <c r="AA148" s="47"/>
    </row>
    <row r="149" spans="1:27" ht="15.75" x14ac:dyDescent="0.25">
      <c r="A149" s="20" t="s">
        <v>323</v>
      </c>
      <c r="B149" s="33" t="s">
        <v>324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5"/>
      <c r="P149" s="24" t="s">
        <v>155</v>
      </c>
      <c r="Q149" s="25"/>
      <c r="R149" s="24">
        <v>20</v>
      </c>
      <c r="S149" s="25"/>
      <c r="T149" s="26"/>
      <c r="U149" s="27"/>
      <c r="V149" s="47"/>
      <c r="W149" s="47"/>
      <c r="X149" s="47"/>
      <c r="Y149" s="47"/>
      <c r="Z149" s="47"/>
      <c r="AA149" s="47"/>
    </row>
    <row r="150" spans="1:27" ht="15.75" x14ac:dyDescent="0.25">
      <c r="A150" s="20" t="s">
        <v>325</v>
      </c>
      <c r="B150" s="33" t="s">
        <v>326</v>
      </c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5"/>
      <c r="P150" s="24" t="s">
        <v>155</v>
      </c>
      <c r="Q150" s="25"/>
      <c r="R150" s="24" t="s">
        <v>327</v>
      </c>
      <c r="S150" s="25"/>
      <c r="T150" s="26"/>
      <c r="U150" s="27"/>
      <c r="V150" s="47"/>
      <c r="W150" s="47"/>
      <c r="X150" s="47"/>
      <c r="Y150" s="47"/>
      <c r="Z150" s="47"/>
      <c r="AA150" s="47"/>
    </row>
    <row r="151" spans="1:27" ht="15.75" x14ac:dyDescent="0.25">
      <c r="A151" s="20" t="s">
        <v>328</v>
      </c>
      <c r="B151" s="33" t="s">
        <v>329</v>
      </c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5"/>
      <c r="P151" s="24" t="s">
        <v>155</v>
      </c>
      <c r="Q151" s="25"/>
      <c r="R151" s="24">
        <v>54</v>
      </c>
      <c r="S151" s="25"/>
      <c r="T151" s="26"/>
      <c r="U151" s="27"/>
      <c r="V151" s="47"/>
      <c r="W151" s="47"/>
      <c r="X151" s="47"/>
      <c r="Y151" s="47"/>
      <c r="Z151" s="47"/>
      <c r="AA151" s="47"/>
    </row>
    <row r="152" spans="1:27" ht="15.75" x14ac:dyDescent="0.25">
      <c r="A152" s="20" t="s">
        <v>330</v>
      </c>
      <c r="B152" s="33" t="s">
        <v>331</v>
      </c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5"/>
      <c r="P152" s="24" t="s">
        <v>332</v>
      </c>
      <c r="Q152" s="25"/>
      <c r="R152" s="24" t="s">
        <v>202</v>
      </c>
      <c r="S152" s="25"/>
      <c r="T152" s="26"/>
      <c r="U152" s="27"/>
      <c r="V152" s="47"/>
      <c r="W152" s="47"/>
      <c r="X152" s="47"/>
      <c r="Y152" s="47"/>
      <c r="Z152" s="47"/>
      <c r="AA152" s="47"/>
    </row>
    <row r="153" spans="1:27" ht="15.75" x14ac:dyDescent="0.25">
      <c r="A153" s="20" t="s">
        <v>333</v>
      </c>
      <c r="B153" s="33" t="s">
        <v>334</v>
      </c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5"/>
      <c r="P153" s="24" t="s">
        <v>332</v>
      </c>
      <c r="Q153" s="25"/>
      <c r="R153" s="24" t="s">
        <v>202</v>
      </c>
      <c r="S153" s="25"/>
      <c r="T153" s="26"/>
      <c r="U153" s="27"/>
      <c r="V153" s="47"/>
      <c r="W153" s="47"/>
      <c r="X153" s="47"/>
      <c r="Y153" s="47"/>
      <c r="Z153" s="47"/>
      <c r="AA153" s="47"/>
    </row>
    <row r="154" spans="1:27" ht="49.15" customHeight="1" x14ac:dyDescent="0.25">
      <c r="A154" s="20" t="s">
        <v>335</v>
      </c>
      <c r="B154" s="33" t="s">
        <v>336</v>
      </c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5"/>
      <c r="P154" s="24" t="s">
        <v>24</v>
      </c>
      <c r="Q154" s="25"/>
      <c r="R154" s="24">
        <v>7</v>
      </c>
      <c r="S154" s="25"/>
      <c r="T154" s="26"/>
      <c r="U154" s="27"/>
      <c r="V154" s="47"/>
      <c r="W154" s="47"/>
      <c r="X154" s="47"/>
      <c r="Y154" s="47"/>
      <c r="Z154" s="47"/>
      <c r="AA154" s="47"/>
    </row>
    <row r="155" spans="1:27" ht="15.75" x14ac:dyDescent="0.25">
      <c r="A155" s="20" t="s">
        <v>337</v>
      </c>
      <c r="B155" s="33" t="s">
        <v>338</v>
      </c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5"/>
      <c r="P155" s="24" t="s">
        <v>308</v>
      </c>
      <c r="Q155" s="25"/>
      <c r="R155" s="24">
        <v>48</v>
      </c>
      <c r="S155" s="25"/>
      <c r="T155" s="26"/>
      <c r="U155" s="27"/>
      <c r="V155" s="47"/>
      <c r="W155" s="47"/>
      <c r="X155" s="47"/>
      <c r="Y155" s="47"/>
      <c r="Z155" s="47"/>
      <c r="AA155" s="47"/>
    </row>
    <row r="156" spans="1:27" ht="15.75" x14ac:dyDescent="0.25">
      <c r="A156" s="20" t="s">
        <v>339</v>
      </c>
      <c r="B156" s="33" t="s">
        <v>340</v>
      </c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5"/>
      <c r="P156" s="24" t="s">
        <v>308</v>
      </c>
      <c r="Q156" s="25"/>
      <c r="R156" s="24" t="s">
        <v>186</v>
      </c>
      <c r="S156" s="25"/>
      <c r="T156" s="26"/>
      <c r="U156" s="27"/>
      <c r="V156" s="47"/>
      <c r="W156" s="47"/>
      <c r="X156" s="47"/>
      <c r="Y156" s="47"/>
      <c r="Z156" s="47"/>
      <c r="AA156" s="47"/>
    </row>
    <row r="157" spans="1:27" ht="15.75" x14ac:dyDescent="0.25">
      <c r="A157" s="20" t="s">
        <v>341</v>
      </c>
      <c r="B157" s="33" t="s">
        <v>342</v>
      </c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5"/>
      <c r="P157" s="24" t="s">
        <v>308</v>
      </c>
      <c r="Q157" s="25"/>
      <c r="R157" s="24">
        <v>6</v>
      </c>
      <c r="S157" s="25"/>
      <c r="T157" s="26"/>
      <c r="U157" s="27"/>
      <c r="V157" s="47"/>
      <c r="W157" s="47"/>
      <c r="X157" s="47"/>
      <c r="Y157" s="47"/>
      <c r="Z157" s="47"/>
      <c r="AA157" s="47"/>
    </row>
    <row r="158" spans="1:27" ht="15.75" x14ac:dyDescent="0.25">
      <c r="A158" s="20" t="s">
        <v>343</v>
      </c>
      <c r="B158" s="33" t="s">
        <v>344</v>
      </c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5"/>
      <c r="P158" s="24" t="s">
        <v>308</v>
      </c>
      <c r="Q158" s="25"/>
      <c r="R158" s="24" t="s">
        <v>345</v>
      </c>
      <c r="S158" s="25"/>
      <c r="T158" s="26"/>
      <c r="U158" s="27"/>
      <c r="V158" s="47"/>
      <c r="W158" s="47"/>
      <c r="X158" s="47"/>
      <c r="Y158" s="47"/>
      <c r="Z158" s="47"/>
      <c r="AA158" s="47"/>
    </row>
    <row r="159" spans="1:27" ht="15.75" x14ac:dyDescent="0.25">
      <c r="A159" s="20" t="s">
        <v>346</v>
      </c>
      <c r="B159" s="33" t="s">
        <v>347</v>
      </c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5"/>
      <c r="P159" s="24" t="s">
        <v>24</v>
      </c>
      <c r="Q159" s="25"/>
      <c r="R159" s="24" t="s">
        <v>348</v>
      </c>
      <c r="S159" s="25"/>
      <c r="T159" s="26"/>
      <c r="U159" s="27"/>
      <c r="V159" s="47"/>
      <c r="W159" s="47"/>
      <c r="X159" s="47"/>
      <c r="Y159" s="47"/>
      <c r="Z159" s="47"/>
      <c r="AA159" s="47"/>
    </row>
    <row r="160" spans="1:27" ht="15.75" x14ac:dyDescent="0.25">
      <c r="A160" s="17" t="s">
        <v>349</v>
      </c>
      <c r="B160" s="30" t="s">
        <v>350</v>
      </c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2"/>
      <c r="P160" s="24" t="s">
        <v>36</v>
      </c>
      <c r="Q160" s="25"/>
      <c r="R160" s="24" t="s">
        <v>36</v>
      </c>
      <c r="S160" s="25"/>
      <c r="T160" s="26"/>
      <c r="U160" s="27"/>
      <c r="V160" s="47"/>
      <c r="W160" s="47"/>
      <c r="X160" s="47"/>
      <c r="Y160" s="47"/>
      <c r="Z160" s="47"/>
      <c r="AA160" s="47"/>
    </row>
    <row r="161" spans="1:27" ht="19.149999999999999" customHeight="1" x14ac:dyDescent="0.25">
      <c r="A161" s="20" t="s">
        <v>351</v>
      </c>
      <c r="B161" s="33" t="s">
        <v>352</v>
      </c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5"/>
      <c r="P161" s="24" t="s">
        <v>155</v>
      </c>
      <c r="Q161" s="25"/>
      <c r="R161" s="24">
        <v>78.900000000000006</v>
      </c>
      <c r="S161" s="25"/>
      <c r="T161" s="26"/>
      <c r="U161" s="27"/>
      <c r="V161" s="47"/>
      <c r="W161" s="47"/>
      <c r="X161" s="47"/>
      <c r="Y161" s="47"/>
      <c r="Z161" s="47"/>
      <c r="AA161" s="47"/>
    </row>
    <row r="162" spans="1:27" ht="15.75" x14ac:dyDescent="0.25">
      <c r="A162" s="20" t="s">
        <v>353</v>
      </c>
      <c r="B162" s="33" t="s">
        <v>354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5"/>
      <c r="P162" s="24" t="s">
        <v>121</v>
      </c>
      <c r="Q162" s="25"/>
      <c r="R162" s="24" t="s">
        <v>345</v>
      </c>
      <c r="S162" s="25"/>
      <c r="T162" s="26"/>
      <c r="U162" s="27"/>
      <c r="V162" s="47"/>
      <c r="W162" s="47"/>
      <c r="X162" s="47"/>
      <c r="Y162" s="47"/>
      <c r="Z162" s="47"/>
      <c r="AA162" s="47"/>
    </row>
    <row r="163" spans="1:27" ht="15.75" x14ac:dyDescent="0.25">
      <c r="A163" s="20" t="s">
        <v>355</v>
      </c>
      <c r="B163" s="33" t="s">
        <v>356</v>
      </c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5"/>
      <c r="P163" s="24" t="s">
        <v>121</v>
      </c>
      <c r="Q163" s="25"/>
      <c r="R163" s="24">
        <f>R162*0.7</f>
        <v>14</v>
      </c>
      <c r="S163" s="25"/>
      <c r="T163" s="26"/>
      <c r="U163" s="27"/>
      <c r="V163" s="47"/>
      <c r="W163" s="47"/>
      <c r="X163" s="47"/>
      <c r="Y163" s="47"/>
      <c r="Z163" s="47"/>
      <c r="AA163" s="47"/>
    </row>
    <row r="164" spans="1:27" ht="15.75" x14ac:dyDescent="0.25">
      <c r="A164" s="20" t="s">
        <v>357</v>
      </c>
      <c r="B164" s="33" t="s">
        <v>131</v>
      </c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5"/>
      <c r="P164" s="24" t="s">
        <v>121</v>
      </c>
      <c r="Q164" s="25"/>
      <c r="R164" s="24">
        <f>R162*0.3</f>
        <v>6</v>
      </c>
      <c r="S164" s="25"/>
      <c r="T164" s="26"/>
      <c r="U164" s="27"/>
      <c r="V164" s="47"/>
      <c r="W164" s="47"/>
      <c r="X164" s="47"/>
      <c r="Y164" s="47"/>
      <c r="Z164" s="47"/>
      <c r="AA164" s="47"/>
    </row>
    <row r="165" spans="1:27" ht="15.75" x14ac:dyDescent="0.25">
      <c r="A165" s="20" t="s">
        <v>358</v>
      </c>
      <c r="B165" s="33" t="s">
        <v>133</v>
      </c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5"/>
      <c r="P165" s="24" t="s">
        <v>121</v>
      </c>
      <c r="Q165" s="25"/>
      <c r="R165" s="24">
        <f>R162*0.7</f>
        <v>14</v>
      </c>
      <c r="S165" s="25"/>
      <c r="T165" s="26"/>
      <c r="U165" s="27"/>
      <c r="V165" s="47"/>
      <c r="W165" s="47"/>
      <c r="X165" s="47"/>
      <c r="Y165" s="47"/>
      <c r="Z165" s="47"/>
      <c r="AA165" s="47"/>
    </row>
    <row r="166" spans="1:27" ht="15.75" x14ac:dyDescent="0.25">
      <c r="A166" s="20" t="s">
        <v>359</v>
      </c>
      <c r="B166" s="33" t="s">
        <v>135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5"/>
      <c r="P166" s="24" t="s">
        <v>121</v>
      </c>
      <c r="Q166" s="25"/>
      <c r="R166" s="24">
        <f>R162*0.3</f>
        <v>6</v>
      </c>
      <c r="S166" s="25"/>
      <c r="T166" s="26"/>
      <c r="U166" s="27"/>
      <c r="V166" s="47"/>
      <c r="W166" s="47"/>
      <c r="X166" s="47"/>
      <c r="Y166" s="47"/>
      <c r="Z166" s="47"/>
      <c r="AA166" s="47"/>
    </row>
    <row r="167" spans="1:27" ht="34.15" customHeight="1" x14ac:dyDescent="0.25">
      <c r="A167" s="20" t="s">
        <v>360</v>
      </c>
      <c r="B167" s="33" t="s">
        <v>361</v>
      </c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5"/>
      <c r="P167" s="24" t="s">
        <v>121</v>
      </c>
      <c r="Q167" s="25"/>
      <c r="R167" s="24" t="s">
        <v>362</v>
      </c>
      <c r="S167" s="25"/>
      <c r="T167" s="26"/>
      <c r="U167" s="27"/>
      <c r="V167" s="47"/>
      <c r="W167" s="47"/>
      <c r="X167" s="47"/>
      <c r="Y167" s="47"/>
      <c r="Z167" s="47"/>
      <c r="AA167" s="47"/>
    </row>
    <row r="168" spans="1:27" ht="15.75" x14ac:dyDescent="0.25">
      <c r="A168" s="20" t="s">
        <v>363</v>
      </c>
      <c r="B168" s="33" t="s">
        <v>364</v>
      </c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5"/>
      <c r="P168" s="24" t="s">
        <v>121</v>
      </c>
      <c r="Q168" s="25"/>
      <c r="R168" s="24">
        <f>R166*0.3</f>
        <v>1.7999999999999998</v>
      </c>
      <c r="S168" s="25"/>
      <c r="T168" s="26"/>
      <c r="U168" s="27"/>
      <c r="V168" s="47"/>
      <c r="W168" s="47"/>
      <c r="X168" s="47"/>
      <c r="Y168" s="47"/>
      <c r="Z168" s="47"/>
      <c r="AA168" s="47"/>
    </row>
    <row r="169" spans="1:27" ht="29.45" customHeight="1" x14ac:dyDescent="0.25">
      <c r="A169" s="20" t="s">
        <v>365</v>
      </c>
      <c r="B169" s="33" t="s">
        <v>366</v>
      </c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5"/>
      <c r="P169" s="24" t="s">
        <v>43</v>
      </c>
      <c r="Q169" s="25"/>
      <c r="R169" s="24" t="s">
        <v>367</v>
      </c>
      <c r="S169" s="25"/>
      <c r="T169" s="26"/>
      <c r="U169" s="27"/>
      <c r="V169" s="47"/>
      <c r="W169" s="47"/>
      <c r="X169" s="47"/>
      <c r="Y169" s="47"/>
      <c r="Z169" s="47"/>
      <c r="AA169" s="47"/>
    </row>
    <row r="170" spans="1:27" ht="15.75" x14ac:dyDescent="0.25">
      <c r="A170" s="20" t="s">
        <v>368</v>
      </c>
      <c r="B170" s="33" t="s">
        <v>369</v>
      </c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5"/>
      <c r="P170" s="24" t="s">
        <v>201</v>
      </c>
      <c r="Q170" s="25"/>
      <c r="R170" s="24" t="s">
        <v>370</v>
      </c>
      <c r="S170" s="25"/>
      <c r="T170" s="26"/>
      <c r="U170" s="27"/>
      <c r="V170" s="47"/>
      <c r="W170" s="47"/>
      <c r="X170" s="47"/>
      <c r="Y170" s="47"/>
      <c r="Z170" s="47"/>
      <c r="AA170" s="47"/>
    </row>
    <row r="171" spans="1:27" ht="15.75" x14ac:dyDescent="0.25">
      <c r="A171" s="20" t="s">
        <v>371</v>
      </c>
      <c r="B171" s="33" t="s">
        <v>372</v>
      </c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5"/>
      <c r="P171" s="24" t="s">
        <v>24</v>
      </c>
      <c r="Q171" s="25"/>
      <c r="R171" s="24" t="s">
        <v>370</v>
      </c>
      <c r="S171" s="25"/>
      <c r="T171" s="26"/>
      <c r="U171" s="27"/>
      <c r="V171" s="47"/>
      <c r="W171" s="47"/>
      <c r="X171" s="47"/>
      <c r="Y171" s="47"/>
      <c r="Z171" s="47"/>
      <c r="AA171" s="47"/>
    </row>
    <row r="172" spans="1:27" ht="15.75" x14ac:dyDescent="0.25">
      <c r="A172" s="20" t="s">
        <v>373</v>
      </c>
      <c r="B172" s="33" t="s">
        <v>374</v>
      </c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5"/>
      <c r="P172" s="24" t="s">
        <v>24</v>
      </c>
      <c r="Q172" s="25"/>
      <c r="R172" s="24" t="s">
        <v>370</v>
      </c>
      <c r="S172" s="25"/>
      <c r="T172" s="26"/>
      <c r="U172" s="27"/>
      <c r="V172" s="47"/>
      <c r="W172" s="47"/>
      <c r="X172" s="47"/>
      <c r="Y172" s="47"/>
      <c r="Z172" s="47"/>
      <c r="AA172" s="47"/>
    </row>
    <row r="173" spans="1:27" ht="21.6" customHeight="1" x14ac:dyDescent="0.25">
      <c r="A173" s="20" t="s">
        <v>375</v>
      </c>
      <c r="B173" s="33" t="s">
        <v>376</v>
      </c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5"/>
      <c r="P173" s="24" t="s">
        <v>24</v>
      </c>
      <c r="Q173" s="25"/>
      <c r="R173" s="24" t="s">
        <v>370</v>
      </c>
      <c r="S173" s="25"/>
      <c r="T173" s="26"/>
      <c r="U173" s="27"/>
      <c r="V173" s="47"/>
      <c r="W173" s="47"/>
      <c r="X173" s="47"/>
      <c r="Y173" s="47"/>
      <c r="Z173" s="47"/>
      <c r="AA173" s="47"/>
    </row>
    <row r="174" spans="1:27" ht="15.75" x14ac:dyDescent="0.25">
      <c r="A174" s="20" t="s">
        <v>377</v>
      </c>
      <c r="B174" s="33" t="s">
        <v>378</v>
      </c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5"/>
      <c r="P174" s="24" t="s">
        <v>142</v>
      </c>
      <c r="Q174" s="25"/>
      <c r="R174" s="24" t="s">
        <v>379</v>
      </c>
      <c r="S174" s="25"/>
      <c r="T174" s="26"/>
      <c r="U174" s="27"/>
      <c r="V174" s="47"/>
      <c r="W174" s="47"/>
      <c r="X174" s="47"/>
      <c r="Y174" s="47"/>
      <c r="Z174" s="47"/>
      <c r="AA174" s="47"/>
    </row>
    <row r="175" spans="1:27" ht="15.75" x14ac:dyDescent="0.25">
      <c r="A175" s="20" t="s">
        <v>380</v>
      </c>
      <c r="B175" s="33" t="s">
        <v>381</v>
      </c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5"/>
      <c r="P175" s="24" t="s">
        <v>36</v>
      </c>
      <c r="Q175" s="25"/>
      <c r="R175" s="24" t="s">
        <v>36</v>
      </c>
      <c r="S175" s="25"/>
      <c r="T175" s="26"/>
      <c r="U175" s="27"/>
      <c r="V175" s="47"/>
      <c r="W175" s="47"/>
      <c r="X175" s="47"/>
      <c r="Y175" s="47"/>
      <c r="Z175" s="47"/>
      <c r="AA175" s="47"/>
    </row>
    <row r="176" spans="1:27" ht="15.75" x14ac:dyDescent="0.25">
      <c r="A176" s="20" t="s">
        <v>382</v>
      </c>
      <c r="B176" s="33" t="s">
        <v>383</v>
      </c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5"/>
      <c r="P176" s="24" t="s">
        <v>121</v>
      </c>
      <c r="Q176" s="25"/>
      <c r="R176" s="39">
        <f>R161*2.16</f>
        <v>170.42400000000004</v>
      </c>
      <c r="S176" s="40"/>
      <c r="T176" s="41"/>
      <c r="U176" s="27"/>
      <c r="V176" s="47"/>
      <c r="W176" s="47"/>
      <c r="X176" s="47"/>
      <c r="Y176" s="47"/>
      <c r="Z176" s="47"/>
      <c r="AA176" s="47"/>
    </row>
    <row r="177" spans="1:27" ht="15.75" x14ac:dyDescent="0.25">
      <c r="A177" s="20" t="s">
        <v>384</v>
      </c>
      <c r="B177" s="33" t="s">
        <v>385</v>
      </c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5"/>
      <c r="P177" s="24" t="s">
        <v>121</v>
      </c>
      <c r="Q177" s="25"/>
      <c r="R177" s="39">
        <f>R176</f>
        <v>170.42400000000004</v>
      </c>
      <c r="S177" s="40"/>
      <c r="T177" s="41"/>
      <c r="U177" s="27"/>
      <c r="V177" s="47"/>
      <c r="W177" s="47"/>
      <c r="X177" s="47"/>
      <c r="Y177" s="47"/>
      <c r="Z177" s="47"/>
      <c r="AA177" s="47"/>
    </row>
    <row r="178" spans="1:27" ht="15.75" x14ac:dyDescent="0.25">
      <c r="A178" s="20" t="s">
        <v>386</v>
      </c>
      <c r="B178" s="33" t="s">
        <v>387</v>
      </c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5"/>
      <c r="P178" s="24" t="s">
        <v>155</v>
      </c>
      <c r="Q178" s="25"/>
      <c r="R178" s="24">
        <f>R161</f>
        <v>78.900000000000006</v>
      </c>
      <c r="S178" s="25"/>
      <c r="T178" s="26"/>
      <c r="U178" s="27"/>
      <c r="V178" s="47"/>
      <c r="W178" s="47"/>
      <c r="X178" s="47"/>
      <c r="Y178" s="47"/>
      <c r="Z178" s="47"/>
      <c r="AA178" s="47"/>
    </row>
    <row r="179" spans="1:27" ht="15.75" x14ac:dyDescent="0.25">
      <c r="A179" s="20" t="s">
        <v>388</v>
      </c>
      <c r="B179" s="33" t="s">
        <v>389</v>
      </c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5"/>
      <c r="P179" s="24" t="s">
        <v>24</v>
      </c>
      <c r="Q179" s="25"/>
      <c r="R179" s="24" t="s">
        <v>390</v>
      </c>
      <c r="S179" s="25"/>
      <c r="T179" s="26"/>
      <c r="U179" s="27"/>
      <c r="V179" s="47"/>
      <c r="W179" s="47"/>
      <c r="X179" s="47"/>
      <c r="Y179" s="47"/>
      <c r="Z179" s="47"/>
      <c r="AA179" s="47"/>
    </row>
    <row r="180" spans="1:27" ht="15.75" x14ac:dyDescent="0.25">
      <c r="A180" s="20" t="s">
        <v>391</v>
      </c>
      <c r="B180" s="33" t="s">
        <v>392</v>
      </c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5"/>
      <c r="P180" s="24" t="s">
        <v>24</v>
      </c>
      <c r="Q180" s="25"/>
      <c r="R180" s="24" t="s">
        <v>390</v>
      </c>
      <c r="S180" s="25"/>
      <c r="T180" s="26"/>
      <c r="U180" s="27"/>
      <c r="V180" s="47"/>
      <c r="W180" s="47"/>
      <c r="X180" s="47"/>
      <c r="Y180" s="47"/>
      <c r="Z180" s="47"/>
      <c r="AA180" s="47"/>
    </row>
    <row r="181" spans="1:27" ht="15.75" x14ac:dyDescent="0.25">
      <c r="A181" s="20" t="s">
        <v>393</v>
      </c>
      <c r="B181" s="33" t="s">
        <v>394</v>
      </c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5"/>
      <c r="P181" s="24" t="s">
        <v>121</v>
      </c>
      <c r="Q181" s="25"/>
      <c r="R181" s="24" t="s">
        <v>362</v>
      </c>
      <c r="S181" s="25"/>
      <c r="T181" s="26"/>
      <c r="U181" s="27"/>
      <c r="V181" s="47"/>
      <c r="W181" s="47"/>
      <c r="X181" s="47"/>
      <c r="Y181" s="47"/>
      <c r="Z181" s="47"/>
      <c r="AA181" s="47"/>
    </row>
    <row r="182" spans="1:27" ht="15.75" x14ac:dyDescent="0.25">
      <c r="A182" s="20" t="s">
        <v>395</v>
      </c>
      <c r="B182" s="33" t="s">
        <v>396</v>
      </c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5"/>
      <c r="P182" s="24" t="s">
        <v>201</v>
      </c>
      <c r="Q182" s="25"/>
      <c r="R182" s="24" t="s">
        <v>370</v>
      </c>
      <c r="S182" s="25"/>
      <c r="T182" s="26"/>
      <c r="U182" s="27"/>
      <c r="V182" s="47"/>
      <c r="W182" s="47"/>
      <c r="X182" s="47"/>
      <c r="Y182" s="47"/>
      <c r="Z182" s="47"/>
      <c r="AA182" s="47"/>
    </row>
    <row r="183" spans="1:27" ht="15.75" x14ac:dyDescent="0.25">
      <c r="A183" s="20" t="s">
        <v>397</v>
      </c>
      <c r="B183" s="33" t="s">
        <v>398</v>
      </c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5"/>
      <c r="P183" s="24" t="s">
        <v>121</v>
      </c>
      <c r="Q183" s="25"/>
      <c r="R183" s="24" t="str">
        <f>R162</f>
        <v>20</v>
      </c>
      <c r="S183" s="25"/>
      <c r="T183" s="26"/>
      <c r="U183" s="27"/>
      <c r="V183" s="47"/>
      <c r="W183" s="47"/>
      <c r="X183" s="47"/>
      <c r="Y183" s="47"/>
      <c r="Z183" s="47"/>
      <c r="AA183" s="47"/>
    </row>
    <row r="184" spans="1:27" ht="15.75" x14ac:dyDescent="0.25">
      <c r="A184" s="20" t="s">
        <v>399</v>
      </c>
      <c r="B184" s="33" t="s">
        <v>400</v>
      </c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5"/>
      <c r="P184" s="24" t="s">
        <v>121</v>
      </c>
      <c r="Q184" s="25"/>
      <c r="R184" s="24">
        <f>R183*0.7</f>
        <v>14</v>
      </c>
      <c r="S184" s="25"/>
      <c r="T184" s="26"/>
      <c r="U184" s="27"/>
      <c r="V184" s="47"/>
      <c r="W184" s="47"/>
      <c r="X184" s="47"/>
      <c r="Y184" s="47"/>
      <c r="Z184" s="47"/>
      <c r="AA184" s="47"/>
    </row>
    <row r="185" spans="1:27" ht="15.75" x14ac:dyDescent="0.25">
      <c r="A185" s="20" t="s">
        <v>401</v>
      </c>
      <c r="B185" s="33" t="s">
        <v>131</v>
      </c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5"/>
      <c r="P185" s="24" t="s">
        <v>121</v>
      </c>
      <c r="Q185" s="25"/>
      <c r="R185" s="24">
        <f>R183*0.3</f>
        <v>6</v>
      </c>
      <c r="S185" s="25"/>
      <c r="T185" s="26"/>
      <c r="U185" s="27"/>
      <c r="V185" s="47"/>
      <c r="W185" s="47"/>
      <c r="X185" s="47"/>
      <c r="Y185" s="47"/>
      <c r="Z185" s="47"/>
      <c r="AA185" s="47"/>
    </row>
    <row r="186" spans="1:27" ht="31.9" customHeight="1" x14ac:dyDescent="0.25">
      <c r="A186" s="20" t="s">
        <v>402</v>
      </c>
      <c r="B186" s="33" t="s">
        <v>403</v>
      </c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5"/>
      <c r="P186" s="24" t="s">
        <v>287</v>
      </c>
      <c r="Q186" s="25"/>
      <c r="R186" s="24" t="s">
        <v>348</v>
      </c>
      <c r="S186" s="25"/>
      <c r="T186" s="26"/>
      <c r="U186" s="27"/>
      <c r="V186" s="47"/>
      <c r="W186" s="47"/>
      <c r="X186" s="47"/>
      <c r="Y186" s="47"/>
      <c r="Z186" s="47"/>
      <c r="AA186" s="47"/>
    </row>
    <row r="187" spans="1:27" ht="19.149999999999999" customHeight="1" x14ac:dyDescent="0.25">
      <c r="A187" s="17" t="s">
        <v>404</v>
      </c>
      <c r="B187" s="30" t="s">
        <v>405</v>
      </c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2"/>
      <c r="P187" s="24" t="s">
        <v>155</v>
      </c>
      <c r="Q187" s="25"/>
      <c r="R187" s="24">
        <v>67.8</v>
      </c>
      <c r="S187" s="25"/>
      <c r="T187" s="26"/>
      <c r="U187" s="27"/>
      <c r="V187" s="47"/>
      <c r="W187" s="47"/>
      <c r="X187" s="47"/>
      <c r="Y187" s="47"/>
      <c r="Z187" s="47"/>
      <c r="AA187" s="47"/>
    </row>
    <row r="188" spans="1:27" ht="15.75" x14ac:dyDescent="0.25">
      <c r="A188" s="20" t="s">
        <v>406</v>
      </c>
      <c r="B188" s="33" t="s">
        <v>354</v>
      </c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5"/>
      <c r="P188" s="24" t="s">
        <v>121</v>
      </c>
      <c r="Q188" s="25"/>
      <c r="R188" s="24" t="s">
        <v>345</v>
      </c>
      <c r="S188" s="25"/>
      <c r="T188" s="26"/>
      <c r="U188" s="27"/>
      <c r="V188" s="47"/>
      <c r="W188" s="47"/>
      <c r="X188" s="47"/>
      <c r="Y188" s="47"/>
      <c r="Z188" s="47"/>
      <c r="AA188" s="47"/>
    </row>
    <row r="189" spans="1:27" ht="15.75" x14ac:dyDescent="0.25">
      <c r="A189" s="20" t="s">
        <v>407</v>
      </c>
      <c r="B189" s="33" t="s">
        <v>400</v>
      </c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5"/>
      <c r="P189" s="24" t="s">
        <v>121</v>
      </c>
      <c r="Q189" s="25"/>
      <c r="R189" s="24">
        <f>R188*0.7</f>
        <v>14</v>
      </c>
      <c r="S189" s="25"/>
      <c r="T189" s="26"/>
      <c r="U189" s="27"/>
      <c r="V189" s="47"/>
      <c r="W189" s="47"/>
      <c r="X189" s="47"/>
      <c r="Y189" s="47"/>
      <c r="Z189" s="47"/>
      <c r="AA189" s="47"/>
    </row>
    <row r="190" spans="1:27" ht="15.75" x14ac:dyDescent="0.25">
      <c r="A190" s="20" t="s">
        <v>408</v>
      </c>
      <c r="B190" s="33" t="s">
        <v>131</v>
      </c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5"/>
      <c r="P190" s="24" t="s">
        <v>121</v>
      </c>
      <c r="Q190" s="25"/>
      <c r="R190" s="24">
        <f>R188*0.3</f>
        <v>6</v>
      </c>
      <c r="S190" s="25"/>
      <c r="T190" s="26"/>
      <c r="U190" s="27"/>
      <c r="V190" s="47"/>
      <c r="W190" s="47"/>
      <c r="X190" s="47"/>
      <c r="Y190" s="47"/>
      <c r="Z190" s="47"/>
      <c r="AA190" s="47"/>
    </row>
    <row r="191" spans="1:27" ht="15.75" x14ac:dyDescent="0.25">
      <c r="A191" s="20" t="s">
        <v>409</v>
      </c>
      <c r="B191" s="33" t="s">
        <v>133</v>
      </c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5"/>
      <c r="P191" s="24" t="s">
        <v>121</v>
      </c>
      <c r="Q191" s="25"/>
      <c r="R191" s="24">
        <f>R188*0.7</f>
        <v>14</v>
      </c>
      <c r="S191" s="25"/>
      <c r="T191" s="26"/>
      <c r="U191" s="27"/>
      <c r="V191" s="47"/>
      <c r="W191" s="47"/>
      <c r="X191" s="47"/>
      <c r="Y191" s="47"/>
      <c r="Z191" s="47"/>
      <c r="AA191" s="47"/>
    </row>
    <row r="192" spans="1:27" ht="15.75" x14ac:dyDescent="0.25">
      <c r="A192" s="20" t="s">
        <v>410</v>
      </c>
      <c r="B192" s="33" t="s">
        <v>135</v>
      </c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5"/>
      <c r="P192" s="24" t="s">
        <v>121</v>
      </c>
      <c r="Q192" s="25"/>
      <c r="R192" s="24">
        <f>R188*0.3</f>
        <v>6</v>
      </c>
      <c r="S192" s="25"/>
      <c r="T192" s="26"/>
      <c r="U192" s="27"/>
      <c r="V192" s="47"/>
      <c r="W192" s="47"/>
      <c r="X192" s="47"/>
      <c r="Y192" s="47"/>
      <c r="Z192" s="47"/>
      <c r="AA192" s="47"/>
    </row>
    <row r="193" spans="1:27" ht="30" customHeight="1" x14ac:dyDescent="0.25">
      <c r="A193" s="20" t="s">
        <v>411</v>
      </c>
      <c r="B193" s="33" t="s">
        <v>361</v>
      </c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5"/>
      <c r="P193" s="24" t="s">
        <v>121</v>
      </c>
      <c r="Q193" s="25"/>
      <c r="R193" s="24" t="s">
        <v>362</v>
      </c>
      <c r="S193" s="25"/>
      <c r="T193" s="26"/>
      <c r="U193" s="27"/>
      <c r="V193" s="47"/>
      <c r="W193" s="47"/>
      <c r="X193" s="47"/>
      <c r="Y193" s="47"/>
      <c r="Z193" s="47"/>
      <c r="AA193" s="47"/>
    </row>
    <row r="194" spans="1:27" ht="15.75" x14ac:dyDescent="0.25">
      <c r="A194" s="20" t="s">
        <v>412</v>
      </c>
      <c r="B194" s="33" t="s">
        <v>364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5"/>
      <c r="P194" s="24" t="s">
        <v>121</v>
      </c>
      <c r="Q194" s="25"/>
      <c r="R194" s="24">
        <f>R192*0.3</f>
        <v>1.7999999999999998</v>
      </c>
      <c r="S194" s="25"/>
      <c r="T194" s="26"/>
      <c r="U194" s="27"/>
      <c r="V194" s="47"/>
      <c r="W194" s="47"/>
      <c r="X194" s="47"/>
      <c r="Y194" s="47"/>
      <c r="Z194" s="47"/>
      <c r="AA194" s="47"/>
    </row>
    <row r="195" spans="1:27" ht="31.15" customHeight="1" x14ac:dyDescent="0.25">
      <c r="A195" s="20" t="s">
        <v>413</v>
      </c>
      <c r="B195" s="33" t="s">
        <v>414</v>
      </c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5"/>
      <c r="P195" s="24" t="s">
        <v>43</v>
      </c>
      <c r="Q195" s="25"/>
      <c r="R195" s="24" t="s">
        <v>367</v>
      </c>
      <c r="S195" s="25"/>
      <c r="T195" s="26"/>
      <c r="U195" s="27"/>
      <c r="V195" s="47"/>
      <c r="W195" s="47"/>
      <c r="X195" s="47"/>
      <c r="Y195" s="47"/>
      <c r="Z195" s="47"/>
      <c r="AA195" s="47"/>
    </row>
    <row r="196" spans="1:27" ht="15.75" x14ac:dyDescent="0.25">
      <c r="A196" s="20" t="s">
        <v>415</v>
      </c>
      <c r="B196" s="33" t="s">
        <v>369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5"/>
      <c r="P196" s="24" t="s">
        <v>201</v>
      </c>
      <c r="Q196" s="25"/>
      <c r="R196" s="24" t="s">
        <v>370</v>
      </c>
      <c r="S196" s="25"/>
      <c r="T196" s="26"/>
      <c r="U196" s="27"/>
      <c r="V196" s="47"/>
      <c r="W196" s="47"/>
      <c r="X196" s="47"/>
      <c r="Y196" s="47"/>
      <c r="Z196" s="47"/>
      <c r="AA196" s="47"/>
    </row>
    <row r="197" spans="1:27" ht="15.75" x14ac:dyDescent="0.25">
      <c r="A197" s="20" t="s">
        <v>416</v>
      </c>
      <c r="B197" s="33" t="s">
        <v>417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5"/>
      <c r="P197" s="24" t="s">
        <v>24</v>
      </c>
      <c r="Q197" s="25"/>
      <c r="R197" s="24" t="s">
        <v>370</v>
      </c>
      <c r="S197" s="25"/>
      <c r="T197" s="26"/>
      <c r="U197" s="27"/>
      <c r="V197" s="47"/>
      <c r="W197" s="47"/>
      <c r="X197" s="47"/>
      <c r="Y197" s="47"/>
      <c r="Z197" s="47"/>
      <c r="AA197" s="47"/>
    </row>
    <row r="198" spans="1:27" ht="15.75" x14ac:dyDescent="0.25">
      <c r="A198" s="20" t="s">
        <v>418</v>
      </c>
      <c r="B198" s="33" t="s">
        <v>419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5"/>
      <c r="P198" s="24" t="s">
        <v>24</v>
      </c>
      <c r="Q198" s="25"/>
      <c r="R198" s="24" t="s">
        <v>370</v>
      </c>
      <c r="S198" s="25"/>
      <c r="T198" s="26"/>
      <c r="U198" s="27"/>
      <c r="V198" s="47"/>
      <c r="W198" s="47"/>
      <c r="X198" s="47"/>
      <c r="Y198" s="47"/>
      <c r="Z198" s="47"/>
      <c r="AA198" s="47"/>
    </row>
    <row r="199" spans="1:27" ht="18" customHeight="1" x14ac:dyDescent="0.25">
      <c r="A199" s="20" t="s">
        <v>420</v>
      </c>
      <c r="B199" s="33" t="s">
        <v>421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5"/>
      <c r="P199" s="24" t="s">
        <v>24</v>
      </c>
      <c r="Q199" s="25"/>
      <c r="R199" s="24" t="s">
        <v>370</v>
      </c>
      <c r="S199" s="25"/>
      <c r="T199" s="26"/>
      <c r="U199" s="27"/>
      <c r="V199" s="47"/>
      <c r="W199" s="47"/>
      <c r="X199" s="47"/>
      <c r="Y199" s="47"/>
      <c r="Z199" s="47"/>
      <c r="AA199" s="47"/>
    </row>
    <row r="200" spans="1:27" ht="33.75" customHeight="1" x14ac:dyDescent="0.25">
      <c r="A200" s="20" t="s">
        <v>422</v>
      </c>
      <c r="B200" s="33" t="s">
        <v>423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5"/>
      <c r="P200" s="24" t="s">
        <v>142</v>
      </c>
      <c r="Q200" s="25"/>
      <c r="R200" s="24" t="s">
        <v>424</v>
      </c>
      <c r="S200" s="25"/>
      <c r="T200" s="26"/>
      <c r="U200" s="27"/>
      <c r="V200" s="47"/>
      <c r="W200" s="47"/>
      <c r="X200" s="47">
        <f>67.8*3</f>
        <v>203.39999999999998</v>
      </c>
      <c r="Y200" s="47"/>
      <c r="Z200" s="47"/>
      <c r="AA200" s="47"/>
    </row>
    <row r="201" spans="1:27" ht="15.75" x14ac:dyDescent="0.25">
      <c r="A201" s="20" t="s">
        <v>425</v>
      </c>
      <c r="B201" s="33" t="s">
        <v>381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5"/>
      <c r="P201" s="24" t="s">
        <v>36</v>
      </c>
      <c r="Q201" s="25"/>
      <c r="R201" s="24" t="s">
        <v>36</v>
      </c>
      <c r="S201" s="25"/>
      <c r="T201" s="26"/>
      <c r="U201" s="27"/>
      <c r="V201" s="47"/>
      <c r="W201" s="47"/>
      <c r="X201" s="47"/>
      <c r="Y201" s="47"/>
      <c r="Z201" s="47"/>
      <c r="AA201" s="47"/>
    </row>
    <row r="202" spans="1:27" ht="15.75" x14ac:dyDescent="0.25">
      <c r="A202" s="20" t="s">
        <v>426</v>
      </c>
      <c r="B202" s="33" t="s">
        <v>383</v>
      </c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5"/>
      <c r="P202" s="24" t="s">
        <v>121</v>
      </c>
      <c r="Q202" s="25"/>
      <c r="R202" s="39">
        <f>R187*2.16</f>
        <v>146.44800000000001</v>
      </c>
      <c r="S202" s="40"/>
      <c r="T202" s="41"/>
      <c r="U202" s="27"/>
      <c r="V202" s="47"/>
      <c r="W202" s="47"/>
      <c r="X202" s="47"/>
      <c r="Y202" s="47">
        <f>149.04/69</f>
        <v>2.1599999999999997</v>
      </c>
      <c r="Z202" s="47"/>
      <c r="AA202" s="47"/>
    </row>
    <row r="203" spans="1:27" ht="15.75" x14ac:dyDescent="0.25">
      <c r="A203" s="20" t="s">
        <v>427</v>
      </c>
      <c r="B203" s="33" t="s">
        <v>385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5"/>
      <c r="P203" s="24" t="s">
        <v>121</v>
      </c>
      <c r="Q203" s="25"/>
      <c r="R203" s="39">
        <f>R202</f>
        <v>146.44800000000001</v>
      </c>
      <c r="S203" s="40"/>
      <c r="T203" s="41"/>
      <c r="U203" s="27"/>
      <c r="V203" s="47"/>
      <c r="W203" s="47"/>
      <c r="X203" s="47"/>
      <c r="Y203" s="47"/>
      <c r="Z203" s="47"/>
      <c r="AA203" s="47"/>
    </row>
    <row r="204" spans="1:27" ht="15.75" x14ac:dyDescent="0.25">
      <c r="A204" s="20" t="s">
        <v>428</v>
      </c>
      <c r="B204" s="33" t="s">
        <v>387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5"/>
      <c r="P204" s="24" t="s">
        <v>155</v>
      </c>
      <c r="Q204" s="25"/>
      <c r="R204" s="24">
        <f>R187</f>
        <v>67.8</v>
      </c>
      <c r="S204" s="25"/>
      <c r="T204" s="26"/>
      <c r="U204" s="27"/>
      <c r="V204" s="47"/>
      <c r="W204" s="47"/>
      <c r="X204" s="47"/>
      <c r="Y204" s="47"/>
      <c r="Z204" s="47"/>
      <c r="AA204" s="47"/>
    </row>
    <row r="205" spans="1:27" ht="32.25" customHeight="1" x14ac:dyDescent="0.25">
      <c r="A205" s="20" t="s">
        <v>429</v>
      </c>
      <c r="B205" s="33" t="s">
        <v>389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5"/>
      <c r="P205" s="24" t="s">
        <v>24</v>
      </c>
      <c r="Q205" s="25"/>
      <c r="R205" s="24" t="s">
        <v>390</v>
      </c>
      <c r="S205" s="25"/>
      <c r="T205" s="26"/>
      <c r="U205" s="27"/>
      <c r="V205" s="47"/>
      <c r="W205" s="47"/>
      <c r="X205" s="47">
        <f>R202*20</f>
        <v>2928.96</v>
      </c>
      <c r="Y205" s="47"/>
      <c r="Z205" s="47"/>
      <c r="AA205" s="47"/>
    </row>
    <row r="206" spans="1:27" ht="15.75" x14ac:dyDescent="0.25">
      <c r="A206" s="20" t="s">
        <v>430</v>
      </c>
      <c r="B206" s="33" t="s">
        <v>431</v>
      </c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5"/>
      <c r="P206" s="24" t="s">
        <v>24</v>
      </c>
      <c r="Q206" s="25"/>
      <c r="R206" s="24" t="s">
        <v>327</v>
      </c>
      <c r="S206" s="25"/>
      <c r="T206" s="26"/>
      <c r="U206" s="27"/>
      <c r="V206" s="28"/>
      <c r="W206" s="28"/>
      <c r="X206" s="28"/>
      <c r="Y206" s="28"/>
      <c r="Z206" s="28"/>
      <c r="AA206" s="28"/>
    </row>
    <row r="207" spans="1:27" ht="31.5" customHeight="1" x14ac:dyDescent="0.25">
      <c r="A207" s="20" t="s">
        <v>432</v>
      </c>
      <c r="B207" s="33" t="s">
        <v>394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5"/>
      <c r="P207" s="24" t="s">
        <v>121</v>
      </c>
      <c r="Q207" s="25"/>
      <c r="R207" s="24" t="s">
        <v>362</v>
      </c>
      <c r="S207" s="25"/>
      <c r="T207" s="26"/>
      <c r="U207" s="27"/>
      <c r="V207" s="28"/>
      <c r="W207" s="28"/>
      <c r="X207" s="28"/>
      <c r="Y207" s="28"/>
      <c r="Z207" s="28"/>
      <c r="AA207" s="28"/>
    </row>
    <row r="208" spans="1:27" ht="15.75" x14ac:dyDescent="0.25">
      <c r="A208" s="20" t="s">
        <v>433</v>
      </c>
      <c r="B208" s="33" t="s">
        <v>396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5"/>
      <c r="P208" s="24" t="s">
        <v>201</v>
      </c>
      <c r="Q208" s="25"/>
      <c r="R208" s="24" t="s">
        <v>370</v>
      </c>
      <c r="S208" s="25"/>
      <c r="T208" s="26"/>
      <c r="U208" s="27"/>
      <c r="V208" s="28"/>
      <c r="W208" s="28"/>
      <c r="X208" s="28"/>
      <c r="Y208" s="28"/>
      <c r="Z208" s="28"/>
      <c r="AA208" s="28"/>
    </row>
    <row r="209" spans="1:27" ht="45" customHeight="1" x14ac:dyDescent="0.25">
      <c r="A209" s="20" t="s">
        <v>434</v>
      </c>
      <c r="B209" s="33" t="s">
        <v>398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5"/>
      <c r="P209" s="24" t="s">
        <v>121</v>
      </c>
      <c r="Q209" s="25"/>
      <c r="R209" s="24" t="str">
        <f>R183</f>
        <v>20</v>
      </c>
      <c r="S209" s="25"/>
      <c r="T209" s="26"/>
      <c r="U209" s="27"/>
      <c r="V209" s="28"/>
      <c r="W209" s="28"/>
      <c r="X209" s="28"/>
      <c r="Y209" s="28"/>
      <c r="Z209" s="28"/>
      <c r="AA209" s="28"/>
    </row>
    <row r="210" spans="1:27" ht="15.75" x14ac:dyDescent="0.25">
      <c r="A210" s="20" t="s">
        <v>435</v>
      </c>
      <c r="B210" s="33" t="s">
        <v>356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5"/>
      <c r="P210" s="24" t="s">
        <v>121</v>
      </c>
      <c r="Q210" s="25"/>
      <c r="R210" s="24">
        <f>R184</f>
        <v>14</v>
      </c>
      <c r="S210" s="25"/>
      <c r="T210" s="26"/>
      <c r="U210" s="27"/>
      <c r="V210" s="28"/>
      <c r="W210" s="28"/>
      <c r="X210" s="28"/>
      <c r="Y210" s="28"/>
      <c r="Z210" s="28"/>
      <c r="AA210" s="28"/>
    </row>
    <row r="211" spans="1:27" ht="15.75" x14ac:dyDescent="0.25">
      <c r="A211" s="20" t="s">
        <v>436</v>
      </c>
      <c r="B211" s="33" t="s">
        <v>131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5"/>
      <c r="P211" s="24" t="s">
        <v>121</v>
      </c>
      <c r="Q211" s="25"/>
      <c r="R211" s="24">
        <f>R185</f>
        <v>6</v>
      </c>
      <c r="S211" s="25"/>
      <c r="T211" s="26"/>
      <c r="U211" s="27"/>
      <c r="V211" s="28"/>
      <c r="W211" s="28"/>
      <c r="X211" s="28"/>
      <c r="Y211" s="28"/>
      <c r="Z211" s="28"/>
      <c r="AA211" s="28"/>
    </row>
    <row r="212" spans="1:27" ht="31.15" customHeight="1" x14ac:dyDescent="0.25">
      <c r="A212" s="20" t="s">
        <v>437</v>
      </c>
      <c r="B212" s="33" t="s">
        <v>403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5"/>
      <c r="P212" s="24" t="s">
        <v>287</v>
      </c>
      <c r="Q212" s="25"/>
      <c r="R212" s="24" t="s">
        <v>348</v>
      </c>
      <c r="S212" s="25"/>
      <c r="T212" s="26"/>
      <c r="U212" s="27"/>
      <c r="V212" s="28"/>
      <c r="W212" s="28"/>
      <c r="X212" s="28"/>
      <c r="Y212" s="28"/>
      <c r="Z212" s="28"/>
      <c r="AA212" s="28"/>
    </row>
    <row r="213" spans="1:27" ht="15.75" x14ac:dyDescent="0.25">
      <c r="A213" s="17" t="s">
        <v>438</v>
      </c>
      <c r="B213" s="30" t="s">
        <v>439</v>
      </c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2"/>
      <c r="P213" s="24" t="s">
        <v>36</v>
      </c>
      <c r="Q213" s="25"/>
      <c r="R213" s="24" t="s">
        <v>36</v>
      </c>
      <c r="S213" s="25"/>
      <c r="T213" s="26"/>
      <c r="U213" s="27"/>
      <c r="V213" s="28"/>
      <c r="W213" s="28"/>
      <c r="X213" s="28"/>
      <c r="Y213" s="28"/>
      <c r="Z213" s="28"/>
      <c r="AA213" s="28"/>
    </row>
    <row r="214" spans="1:27" ht="15.75" x14ac:dyDescent="0.25">
      <c r="A214" s="20" t="s">
        <v>440</v>
      </c>
      <c r="B214" s="33" t="s">
        <v>441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5"/>
      <c r="P214" s="24" t="s">
        <v>24</v>
      </c>
      <c r="Q214" s="25"/>
      <c r="R214" s="24" t="s">
        <v>186</v>
      </c>
      <c r="S214" s="25"/>
      <c r="T214" s="26"/>
      <c r="U214" s="27"/>
      <c r="V214" s="47"/>
      <c r="W214" s="47"/>
      <c r="X214" s="47"/>
      <c r="Y214" s="47"/>
      <c r="Z214" s="47"/>
      <c r="AA214" s="47"/>
    </row>
    <row r="215" spans="1:27" ht="15.75" x14ac:dyDescent="0.25">
      <c r="A215" s="20" t="s">
        <v>442</v>
      </c>
      <c r="B215" s="33" t="s">
        <v>443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5"/>
      <c r="P215" s="24" t="s">
        <v>232</v>
      </c>
      <c r="Q215" s="25"/>
      <c r="R215" s="24" t="s">
        <v>186</v>
      </c>
      <c r="S215" s="25"/>
      <c r="T215" s="26"/>
      <c r="U215" s="27"/>
      <c r="V215" s="47"/>
      <c r="W215" s="47"/>
      <c r="X215" s="47"/>
      <c r="Y215" s="47"/>
      <c r="Z215" s="47"/>
      <c r="AA215" s="47"/>
    </row>
    <row r="216" spans="1:27" ht="15.75" x14ac:dyDescent="0.25">
      <c r="A216" s="20" t="s">
        <v>444</v>
      </c>
      <c r="B216" s="33" t="s">
        <v>445</v>
      </c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5"/>
      <c r="P216" s="24" t="s">
        <v>232</v>
      </c>
      <c r="Q216" s="25"/>
      <c r="R216" s="24" t="s">
        <v>186</v>
      </c>
      <c r="S216" s="25"/>
      <c r="T216" s="26"/>
      <c r="U216" s="27"/>
      <c r="V216" s="47"/>
      <c r="W216" s="47"/>
      <c r="X216" s="47"/>
      <c r="Y216" s="47"/>
      <c r="Z216" s="47"/>
      <c r="AA216" s="47"/>
    </row>
    <row r="217" spans="1:27" ht="15.75" x14ac:dyDescent="0.25">
      <c r="A217" s="20" t="s">
        <v>446</v>
      </c>
      <c r="B217" s="33" t="s">
        <v>447</v>
      </c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5"/>
      <c r="P217" s="24" t="s">
        <v>24</v>
      </c>
      <c r="Q217" s="25"/>
      <c r="R217" s="24" t="s">
        <v>186</v>
      </c>
      <c r="S217" s="25"/>
      <c r="T217" s="26"/>
      <c r="U217" s="27"/>
      <c r="V217" s="47"/>
      <c r="W217" s="47"/>
      <c r="X217" s="47"/>
      <c r="Y217" s="47"/>
      <c r="Z217" s="47"/>
      <c r="AA217" s="47"/>
    </row>
    <row r="218" spans="1:27" ht="30.75" customHeight="1" x14ac:dyDescent="0.25">
      <c r="A218" s="20" t="s">
        <v>448</v>
      </c>
      <c r="B218" s="33" t="s">
        <v>449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5"/>
      <c r="P218" s="24" t="s">
        <v>232</v>
      </c>
      <c r="Q218" s="25"/>
      <c r="R218" s="24" t="s">
        <v>450</v>
      </c>
      <c r="S218" s="25"/>
      <c r="T218" s="26"/>
      <c r="U218" s="27"/>
      <c r="V218" s="47"/>
      <c r="W218" s="47"/>
      <c r="X218" s="47"/>
      <c r="Y218" s="47"/>
      <c r="Z218" s="47"/>
      <c r="AA218" s="47"/>
    </row>
    <row r="219" spans="1:27" ht="31.5" customHeight="1" x14ac:dyDescent="0.25">
      <c r="A219" s="20" t="s">
        <v>451</v>
      </c>
      <c r="B219" s="33" t="s">
        <v>452</v>
      </c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5"/>
      <c r="P219" s="24" t="s">
        <v>236</v>
      </c>
      <c r="Q219" s="25"/>
      <c r="R219" s="24" t="s">
        <v>453</v>
      </c>
      <c r="S219" s="25"/>
      <c r="T219" s="26"/>
      <c r="U219" s="27"/>
      <c r="V219" s="47"/>
      <c r="W219" s="47"/>
      <c r="X219" s="47"/>
      <c r="Y219" s="47"/>
      <c r="Z219" s="47"/>
      <c r="AA219" s="47"/>
    </row>
    <row r="220" spans="1:27" ht="19.899999999999999" customHeight="1" x14ac:dyDescent="0.25">
      <c r="A220" s="20" t="s">
        <v>454</v>
      </c>
      <c r="B220" s="33" t="s">
        <v>455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5"/>
      <c r="P220" s="24" t="s">
        <v>17</v>
      </c>
      <c r="Q220" s="25"/>
      <c r="R220" s="24">
        <f>R14</f>
        <v>1.3743300000000001</v>
      </c>
      <c r="S220" s="25"/>
      <c r="T220" s="26"/>
      <c r="U220" s="27"/>
      <c r="V220" s="47"/>
      <c r="W220" s="47"/>
      <c r="X220" s="47"/>
      <c r="Y220" s="47"/>
      <c r="Z220" s="47"/>
      <c r="AA220" s="47"/>
    </row>
    <row r="221" spans="1:27" ht="18.600000000000001" customHeight="1" x14ac:dyDescent="0.25">
      <c r="A221" s="20"/>
      <c r="B221" s="21" t="s">
        <v>456</v>
      </c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3"/>
      <c r="P221" s="24" t="s">
        <v>36</v>
      </c>
      <c r="Q221" s="25"/>
      <c r="R221" s="24" t="s">
        <v>36</v>
      </c>
      <c r="S221" s="25"/>
      <c r="T221" s="26"/>
      <c r="U221" s="27"/>
      <c r="V221" s="47"/>
      <c r="W221" s="47"/>
      <c r="X221" s="47"/>
      <c r="Y221" s="47"/>
      <c r="Z221" s="47"/>
      <c r="AA221" s="47"/>
    </row>
    <row r="222" spans="1:27" ht="15.75" x14ac:dyDescent="0.25">
      <c r="A222" s="17" t="s">
        <v>457</v>
      </c>
      <c r="B222" s="30" t="s">
        <v>14</v>
      </c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2"/>
      <c r="P222" s="24" t="s">
        <v>36</v>
      </c>
      <c r="Q222" s="25"/>
      <c r="R222" s="24" t="s">
        <v>36</v>
      </c>
      <c r="S222" s="25"/>
      <c r="T222" s="26"/>
      <c r="U222" s="27"/>
      <c r="V222" s="47"/>
      <c r="W222" s="47"/>
      <c r="X222" s="47"/>
      <c r="Y222" s="47"/>
      <c r="Z222" s="47"/>
      <c r="AA222" s="47"/>
    </row>
    <row r="223" spans="1:27" ht="15.75" x14ac:dyDescent="0.25">
      <c r="A223" s="20" t="s">
        <v>458</v>
      </c>
      <c r="B223" s="33" t="s">
        <v>459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5"/>
      <c r="P223" s="24" t="s">
        <v>17</v>
      </c>
      <c r="Q223" s="25"/>
      <c r="R223" s="24">
        <f>SUM(R224:T225)</f>
        <v>0.17800999999999997</v>
      </c>
      <c r="S223" s="25"/>
      <c r="T223" s="26"/>
      <c r="U223" s="27"/>
      <c r="V223" s="47"/>
      <c r="W223" s="47"/>
      <c r="X223" s="47"/>
      <c r="Y223" s="47"/>
      <c r="Z223" s="47"/>
      <c r="AA223" s="47"/>
    </row>
    <row r="224" spans="1:27" ht="15.75" x14ac:dyDescent="0.25">
      <c r="A224" s="20" t="s">
        <v>460</v>
      </c>
      <c r="B224" s="33" t="s">
        <v>461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5"/>
      <c r="P224" s="24" t="s">
        <v>17</v>
      </c>
      <c r="Q224" s="25"/>
      <c r="R224" s="24">
        <f>X224/1000</f>
        <v>3.9710000000000002E-2</v>
      </c>
      <c r="S224" s="25"/>
      <c r="T224" s="26"/>
      <c r="U224" s="27"/>
      <c r="V224" s="47"/>
      <c r="W224" s="47"/>
      <c r="X224" s="47">
        <f>(11.33+23.96+4.42)</f>
        <v>39.71</v>
      </c>
      <c r="Y224" s="47"/>
      <c r="Z224" s="47"/>
      <c r="AA224" s="47"/>
    </row>
    <row r="225" spans="1:27" ht="15.75" x14ac:dyDescent="0.25">
      <c r="A225" s="20" t="s">
        <v>462</v>
      </c>
      <c r="B225" s="33" t="s">
        <v>463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5"/>
      <c r="P225" s="24" t="s">
        <v>17</v>
      </c>
      <c r="Q225" s="25"/>
      <c r="R225" s="24">
        <f>X225/1000</f>
        <v>0.13829999999999998</v>
      </c>
      <c r="S225" s="25"/>
      <c r="T225" s="26"/>
      <c r="U225" s="27"/>
      <c r="V225" s="47"/>
      <c r="W225" s="47"/>
      <c r="X225" s="47">
        <f>131.16+7.14</f>
        <v>138.29999999999998</v>
      </c>
      <c r="Y225" s="47"/>
      <c r="Z225" s="47"/>
      <c r="AA225" s="47"/>
    </row>
    <row r="226" spans="1:27" ht="15.75" x14ac:dyDescent="0.25">
      <c r="A226" s="20" t="s">
        <v>464</v>
      </c>
      <c r="B226" s="33" t="s">
        <v>23</v>
      </c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5"/>
      <c r="P226" s="24" t="s">
        <v>24</v>
      </c>
      <c r="Q226" s="25"/>
      <c r="R226" s="48" t="s">
        <v>465</v>
      </c>
      <c r="S226" s="25"/>
      <c r="T226" s="26"/>
      <c r="U226" s="27"/>
      <c r="V226" s="47"/>
      <c r="W226" s="47"/>
      <c r="X226" s="47"/>
      <c r="Y226" s="47"/>
      <c r="Z226" s="47"/>
      <c r="AA226" s="47"/>
    </row>
    <row r="227" spans="1:27" ht="15.75" x14ac:dyDescent="0.25">
      <c r="A227" s="17" t="s">
        <v>466</v>
      </c>
      <c r="B227" s="30" t="s">
        <v>40</v>
      </c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2"/>
      <c r="P227" s="24" t="s">
        <v>36</v>
      </c>
      <c r="Q227" s="25"/>
      <c r="R227" s="24" t="s">
        <v>36</v>
      </c>
      <c r="S227" s="25"/>
      <c r="T227" s="26"/>
      <c r="U227" s="27"/>
      <c r="V227" s="47"/>
      <c r="W227" s="47"/>
      <c r="X227" s="47"/>
      <c r="Y227" s="47"/>
      <c r="Z227" s="47"/>
      <c r="AA227" s="47"/>
    </row>
    <row r="228" spans="1:27" ht="33" customHeight="1" x14ac:dyDescent="0.25">
      <c r="A228" s="20" t="s">
        <v>467</v>
      </c>
      <c r="B228" s="33" t="s">
        <v>42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5"/>
      <c r="P228" s="24" t="s">
        <v>43</v>
      </c>
      <c r="Q228" s="25"/>
      <c r="R228" s="24">
        <f>R248</f>
        <v>4.5</v>
      </c>
      <c r="S228" s="25"/>
      <c r="T228" s="26"/>
      <c r="U228" s="27"/>
      <c r="V228" s="47"/>
      <c r="W228" s="47"/>
      <c r="X228" s="47"/>
      <c r="Y228" s="47"/>
      <c r="Z228" s="47"/>
      <c r="AA228" s="47"/>
    </row>
    <row r="229" spans="1:27" ht="31.15" customHeight="1" x14ac:dyDescent="0.25">
      <c r="A229" s="20" t="s">
        <v>468</v>
      </c>
      <c r="B229" s="33" t="s">
        <v>45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5"/>
      <c r="P229" s="24" t="s">
        <v>43</v>
      </c>
      <c r="Q229" s="25"/>
      <c r="R229" s="24">
        <f>0.891+0.033</f>
        <v>0.92400000000000004</v>
      </c>
      <c r="S229" s="25"/>
      <c r="T229" s="26"/>
      <c r="U229" s="27"/>
      <c r="V229" s="47"/>
      <c r="W229" s="47"/>
      <c r="X229" s="47"/>
      <c r="Y229" s="47"/>
      <c r="Z229" s="47"/>
      <c r="AA229" s="47"/>
    </row>
    <row r="230" spans="1:27" ht="31.5" customHeight="1" x14ac:dyDescent="0.25">
      <c r="A230" s="20" t="s">
        <v>469</v>
      </c>
      <c r="B230" s="33" t="s">
        <v>48</v>
      </c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5"/>
      <c r="P230" s="24" t="s">
        <v>43</v>
      </c>
      <c r="Q230" s="25"/>
      <c r="R230" s="24" t="s">
        <v>470</v>
      </c>
      <c r="S230" s="25"/>
      <c r="T230" s="26"/>
      <c r="U230" s="27"/>
      <c r="V230" s="47"/>
      <c r="W230" s="47"/>
      <c r="X230" s="47"/>
      <c r="Y230" s="47"/>
      <c r="Z230" s="47"/>
      <c r="AA230" s="47"/>
    </row>
    <row r="231" spans="1:27" ht="31.9" customHeight="1" x14ac:dyDescent="0.25">
      <c r="A231" s="20" t="s">
        <v>471</v>
      </c>
      <c r="B231" s="33" t="s">
        <v>51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5"/>
      <c r="P231" s="24" t="s">
        <v>43</v>
      </c>
      <c r="Q231" s="25"/>
      <c r="R231" s="24" t="s">
        <v>472</v>
      </c>
      <c r="S231" s="25"/>
      <c r="T231" s="26"/>
      <c r="U231" s="27"/>
      <c r="V231" s="47"/>
      <c r="W231" s="47"/>
      <c r="X231" s="47"/>
      <c r="Y231" s="47"/>
      <c r="Z231" s="47"/>
      <c r="AA231" s="47"/>
    </row>
    <row r="232" spans="1:27" ht="31.9" customHeight="1" x14ac:dyDescent="0.25">
      <c r="A232" s="20" t="s">
        <v>473</v>
      </c>
      <c r="B232" s="33" t="s">
        <v>53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5"/>
      <c r="P232" s="24" t="s">
        <v>43</v>
      </c>
      <c r="Q232" s="25"/>
      <c r="R232" s="24" t="s">
        <v>474</v>
      </c>
      <c r="S232" s="25"/>
      <c r="T232" s="26"/>
      <c r="U232" s="27"/>
      <c r="V232" s="47"/>
      <c r="W232" s="47"/>
      <c r="X232" s="47"/>
      <c r="Y232" s="47"/>
      <c r="Z232" s="47"/>
      <c r="AA232" s="47"/>
    </row>
    <row r="233" spans="1:27" ht="29.45" customHeight="1" x14ac:dyDescent="0.25">
      <c r="A233" s="20" t="s">
        <v>475</v>
      </c>
      <c r="B233" s="33" t="s">
        <v>58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5"/>
      <c r="P233" s="24" t="s">
        <v>43</v>
      </c>
      <c r="Q233" s="25"/>
      <c r="R233" s="24" t="s">
        <v>476</v>
      </c>
      <c r="S233" s="25"/>
      <c r="T233" s="26"/>
      <c r="U233" s="27"/>
      <c r="V233" s="47"/>
      <c r="W233" s="47"/>
      <c r="X233" s="47"/>
      <c r="Y233" s="47"/>
      <c r="Z233" s="47"/>
      <c r="AA233" s="47"/>
    </row>
    <row r="234" spans="1:27" ht="51" customHeight="1" x14ac:dyDescent="0.25">
      <c r="A234" s="20" t="s">
        <v>477</v>
      </c>
      <c r="B234" s="33" t="s">
        <v>61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5"/>
      <c r="P234" s="24" t="s">
        <v>43</v>
      </c>
      <c r="Q234" s="25"/>
      <c r="R234" s="24" t="s">
        <v>478</v>
      </c>
      <c r="S234" s="25"/>
      <c r="T234" s="26"/>
      <c r="U234" s="27"/>
      <c r="V234" s="47"/>
      <c r="W234" s="47"/>
      <c r="X234" s="47"/>
      <c r="Y234" s="47"/>
      <c r="Z234" s="47"/>
      <c r="AA234" s="47"/>
    </row>
    <row r="235" spans="1:27" ht="46.15" customHeight="1" x14ac:dyDescent="0.25">
      <c r="A235" s="20" t="s">
        <v>479</v>
      </c>
      <c r="B235" s="33" t="s">
        <v>64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5"/>
      <c r="P235" s="24" t="s">
        <v>43</v>
      </c>
      <c r="Q235" s="25"/>
      <c r="R235" s="24" t="s">
        <v>476</v>
      </c>
      <c r="S235" s="25"/>
      <c r="T235" s="26"/>
      <c r="U235" s="27"/>
      <c r="V235" s="47"/>
      <c r="W235" s="47"/>
      <c r="X235" s="47"/>
      <c r="Y235" s="47"/>
      <c r="Z235" s="47"/>
      <c r="AA235" s="47"/>
    </row>
    <row r="236" spans="1:27" ht="45.75" customHeight="1" x14ac:dyDescent="0.25">
      <c r="A236" s="20" t="s">
        <v>480</v>
      </c>
      <c r="B236" s="33" t="s">
        <v>481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5"/>
      <c r="P236" s="24" t="s">
        <v>43</v>
      </c>
      <c r="Q236" s="25"/>
      <c r="R236" s="24" t="s">
        <v>67</v>
      </c>
      <c r="S236" s="25"/>
      <c r="T236" s="26"/>
      <c r="U236" s="27"/>
      <c r="V236" s="47"/>
      <c r="W236" s="47"/>
      <c r="X236" s="47"/>
      <c r="Y236" s="47"/>
      <c r="Z236" s="47"/>
      <c r="AA236" s="47"/>
    </row>
    <row r="237" spans="1:27" ht="31.9" customHeight="1" x14ac:dyDescent="0.25">
      <c r="A237" s="20" t="s">
        <v>482</v>
      </c>
      <c r="B237" s="33" t="s">
        <v>69</v>
      </c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5"/>
      <c r="P237" s="24" t="s">
        <v>43</v>
      </c>
      <c r="Q237" s="25"/>
      <c r="R237" s="24" t="s">
        <v>70</v>
      </c>
      <c r="S237" s="25"/>
      <c r="T237" s="26"/>
      <c r="U237" s="27"/>
      <c r="V237" s="47"/>
      <c r="W237" s="47"/>
      <c r="X237" s="47"/>
      <c r="Y237" s="47"/>
      <c r="Z237" s="47"/>
      <c r="AA237" s="47"/>
    </row>
    <row r="238" spans="1:27" ht="37.5" customHeight="1" x14ac:dyDescent="0.25">
      <c r="A238" s="20" t="s">
        <v>483</v>
      </c>
      <c r="B238" s="33" t="s">
        <v>72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5"/>
      <c r="P238" s="24" t="s">
        <v>43</v>
      </c>
      <c r="Q238" s="25"/>
      <c r="R238" s="24" t="s">
        <v>73</v>
      </c>
      <c r="S238" s="25"/>
      <c r="T238" s="26"/>
      <c r="U238" s="27"/>
      <c r="V238" s="47"/>
      <c r="W238" s="47"/>
      <c r="X238" s="47"/>
      <c r="Y238" s="47"/>
      <c r="Z238" s="47"/>
      <c r="AA238" s="47"/>
    </row>
    <row r="239" spans="1:27" ht="15.75" x14ac:dyDescent="0.25">
      <c r="A239" s="20" t="s">
        <v>484</v>
      </c>
      <c r="B239" s="33" t="s">
        <v>75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5"/>
      <c r="P239" s="24" t="s">
        <v>76</v>
      </c>
      <c r="Q239" s="25"/>
      <c r="R239" s="24" t="s">
        <v>77</v>
      </c>
      <c r="S239" s="25"/>
      <c r="T239" s="26"/>
      <c r="U239" s="27"/>
      <c r="V239" s="47"/>
      <c r="W239" s="47"/>
      <c r="X239" s="47"/>
      <c r="Y239" s="47"/>
      <c r="Z239" s="47"/>
      <c r="AA239" s="47"/>
    </row>
    <row r="240" spans="1:27" ht="31.5" customHeight="1" x14ac:dyDescent="0.25">
      <c r="A240" s="17" t="s">
        <v>485</v>
      </c>
      <c r="B240" s="30" t="s">
        <v>486</v>
      </c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2"/>
      <c r="P240" s="24" t="s">
        <v>36</v>
      </c>
      <c r="Q240" s="25"/>
      <c r="R240" s="24" t="s">
        <v>36</v>
      </c>
      <c r="S240" s="25"/>
      <c r="T240" s="26"/>
      <c r="U240" s="27"/>
      <c r="V240" s="47"/>
      <c r="W240" s="47"/>
      <c r="X240" s="47"/>
      <c r="Y240" s="47"/>
      <c r="Z240" s="47"/>
      <c r="AA240" s="47"/>
    </row>
    <row r="241" spans="1:27" ht="15.75" x14ac:dyDescent="0.25">
      <c r="A241" s="17" t="s">
        <v>487</v>
      </c>
      <c r="B241" s="30" t="s">
        <v>81</v>
      </c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2"/>
      <c r="P241" s="24" t="s">
        <v>36</v>
      </c>
      <c r="Q241" s="25"/>
      <c r="R241" s="24" t="s">
        <v>36</v>
      </c>
      <c r="S241" s="25"/>
      <c r="T241" s="26"/>
      <c r="U241" s="27"/>
      <c r="V241" s="47"/>
      <c r="W241" s="47"/>
      <c r="X241" s="47"/>
      <c r="Y241" s="47"/>
      <c r="Z241" s="47"/>
      <c r="AA241" s="47"/>
    </row>
    <row r="242" spans="1:27" ht="45" customHeight="1" x14ac:dyDescent="0.25">
      <c r="A242" s="20" t="s">
        <v>488</v>
      </c>
      <c r="B242" s="33" t="s">
        <v>83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5"/>
      <c r="P242" s="24" t="s">
        <v>36</v>
      </c>
      <c r="Q242" s="25"/>
      <c r="R242" s="24" t="s">
        <v>36</v>
      </c>
      <c r="S242" s="25"/>
      <c r="T242" s="26"/>
      <c r="U242" s="27"/>
      <c r="V242" s="47"/>
      <c r="W242" s="47"/>
      <c r="X242" s="47"/>
      <c r="Y242" s="47"/>
      <c r="Z242" s="47"/>
      <c r="AA242" s="47"/>
    </row>
    <row r="243" spans="1:27" ht="15.75" x14ac:dyDescent="0.25">
      <c r="A243" s="20" t="s">
        <v>489</v>
      </c>
      <c r="B243" s="33" t="s">
        <v>85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5"/>
      <c r="P243" s="24" t="s">
        <v>24</v>
      </c>
      <c r="Q243" s="25"/>
      <c r="R243" s="24">
        <v>3</v>
      </c>
      <c r="S243" s="25"/>
      <c r="T243" s="26"/>
      <c r="U243" s="27"/>
      <c r="V243" s="47"/>
      <c r="W243" s="47"/>
      <c r="X243" s="47"/>
      <c r="Y243" s="47"/>
      <c r="Z243" s="47"/>
      <c r="AA243" s="47"/>
    </row>
    <row r="244" spans="1:27" ht="15.75" hidden="1" x14ac:dyDescent="0.25">
      <c r="A244" s="20" t="str">
        <f>CONCATENATE(U244,".",V244)</f>
        <v>0.1</v>
      </c>
      <c r="B244" s="33" t="s">
        <v>87</v>
      </c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5"/>
      <c r="P244" s="24" t="s">
        <v>24</v>
      </c>
      <c r="Q244" s="25"/>
      <c r="R244" s="24">
        <v>0</v>
      </c>
      <c r="S244" s="25"/>
      <c r="T244" s="26"/>
      <c r="U244" s="27">
        <f t="shared" ref="U244:U246" si="0">U243</f>
        <v>0</v>
      </c>
      <c r="V244" s="28">
        <f t="shared" ref="V244:V246" si="1">V243+1</f>
        <v>1</v>
      </c>
      <c r="W244" s="28"/>
      <c r="X244" s="28"/>
      <c r="Y244" s="28"/>
      <c r="Z244" s="28"/>
      <c r="AA244" s="28"/>
    </row>
    <row r="245" spans="1:27" ht="15.75" x14ac:dyDescent="0.25">
      <c r="A245" s="20" t="s">
        <v>490</v>
      </c>
      <c r="B245" s="33" t="s">
        <v>491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5"/>
      <c r="P245" s="24" t="s">
        <v>24</v>
      </c>
      <c r="Q245" s="25"/>
      <c r="R245" s="24">
        <v>3</v>
      </c>
      <c r="S245" s="25"/>
      <c r="T245" s="26"/>
      <c r="U245" s="27"/>
      <c r="V245" s="28"/>
      <c r="W245" s="28"/>
      <c r="X245" s="28"/>
      <c r="Y245" s="28"/>
      <c r="Z245" s="28"/>
      <c r="AA245" s="28"/>
    </row>
    <row r="246" spans="1:27" ht="15.75" hidden="1" x14ac:dyDescent="0.25">
      <c r="A246" s="20" t="str">
        <f>CONCATENATE(U246,".",V246)</f>
        <v>0.1</v>
      </c>
      <c r="B246" s="33" t="s">
        <v>93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5"/>
      <c r="P246" s="24" t="s">
        <v>24</v>
      </c>
      <c r="Q246" s="25"/>
      <c r="R246" s="24">
        <v>0</v>
      </c>
      <c r="S246" s="25"/>
      <c r="T246" s="26"/>
      <c r="U246" s="27">
        <f t="shared" si="0"/>
        <v>0</v>
      </c>
      <c r="V246" s="28">
        <f t="shared" si="1"/>
        <v>1</v>
      </c>
      <c r="W246" s="28"/>
      <c r="X246" s="28"/>
      <c r="Y246" s="28"/>
      <c r="Z246" s="28"/>
      <c r="AA246" s="28"/>
    </row>
    <row r="247" spans="1:27" ht="15.75" x14ac:dyDescent="0.25">
      <c r="A247" s="20" t="s">
        <v>492</v>
      </c>
      <c r="B247" s="33" t="s">
        <v>97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5"/>
      <c r="P247" s="24" t="s">
        <v>43</v>
      </c>
      <c r="Q247" s="25"/>
      <c r="R247" s="36">
        <f>X247*X224</f>
        <v>9.163846153846153E-2</v>
      </c>
      <c r="S247" s="37"/>
      <c r="T247" s="38"/>
      <c r="U247" s="27"/>
      <c r="V247" s="28"/>
      <c r="W247" s="28"/>
      <c r="X247" s="28">
        <f>0.066/28.6</f>
        <v>2.3076923076923075E-3</v>
      </c>
      <c r="Y247" s="28"/>
      <c r="Z247" s="28"/>
      <c r="AA247" s="28"/>
    </row>
    <row r="248" spans="1:27" ht="15.75" x14ac:dyDescent="0.25">
      <c r="A248" s="20" t="s">
        <v>493</v>
      </c>
      <c r="B248" s="33" t="s">
        <v>42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5"/>
      <c r="P248" s="24" t="s">
        <v>43</v>
      </c>
      <c r="Q248" s="25"/>
      <c r="R248" s="24">
        <f>1.125*SUM(R243:T244,1)</f>
        <v>4.5</v>
      </c>
      <c r="S248" s="25"/>
      <c r="T248" s="26"/>
      <c r="U248" s="27"/>
      <c r="V248" s="28"/>
      <c r="W248" s="28"/>
      <c r="X248" s="28"/>
      <c r="Y248" s="28"/>
      <c r="Z248" s="28"/>
      <c r="AA248" s="28"/>
    </row>
    <row r="249" spans="1:27" ht="32.450000000000003" customHeight="1" x14ac:dyDescent="0.25">
      <c r="A249" s="20" t="s">
        <v>494</v>
      </c>
      <c r="B249" s="33" t="s">
        <v>45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5"/>
      <c r="P249" s="24" t="s">
        <v>43</v>
      </c>
      <c r="Q249" s="25"/>
      <c r="R249" s="24" t="s">
        <v>495</v>
      </c>
      <c r="S249" s="25"/>
      <c r="T249" s="26"/>
      <c r="U249" s="27"/>
      <c r="V249" s="47"/>
      <c r="W249" s="47"/>
      <c r="X249" s="47"/>
      <c r="Y249" s="47"/>
      <c r="Z249" s="47"/>
      <c r="AA249" s="47"/>
    </row>
    <row r="250" spans="1:27" ht="15.75" x14ac:dyDescent="0.25">
      <c r="A250" s="20" t="s">
        <v>496</v>
      </c>
      <c r="B250" s="33" t="s">
        <v>48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5"/>
      <c r="P250" s="24" t="s">
        <v>43</v>
      </c>
      <c r="Q250" s="25"/>
      <c r="R250" s="24" t="s">
        <v>470</v>
      </c>
      <c r="S250" s="25"/>
      <c r="T250" s="26"/>
      <c r="U250" s="27"/>
      <c r="V250" s="47"/>
      <c r="W250" s="47"/>
      <c r="X250" s="47"/>
      <c r="Y250" s="47"/>
      <c r="Z250" s="47"/>
      <c r="AA250" s="47"/>
    </row>
    <row r="251" spans="1:27" ht="15.75" x14ac:dyDescent="0.25">
      <c r="A251" s="20" t="s">
        <v>497</v>
      </c>
      <c r="B251" s="33" t="s">
        <v>51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5"/>
      <c r="P251" s="24" t="s">
        <v>43</v>
      </c>
      <c r="Q251" s="25"/>
      <c r="R251" s="24" t="s">
        <v>472</v>
      </c>
      <c r="S251" s="25"/>
      <c r="T251" s="26"/>
      <c r="U251" s="27"/>
      <c r="V251" s="47"/>
      <c r="W251" s="47"/>
      <c r="X251" s="47"/>
      <c r="Y251" s="47"/>
      <c r="Z251" s="47"/>
      <c r="AA251" s="47"/>
    </row>
    <row r="252" spans="1:27" ht="31.9" customHeight="1" x14ac:dyDescent="0.25">
      <c r="A252" s="20" t="s">
        <v>498</v>
      </c>
      <c r="B252" s="33" t="s">
        <v>53</v>
      </c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5"/>
      <c r="P252" s="24" t="s">
        <v>43</v>
      </c>
      <c r="Q252" s="25"/>
      <c r="R252" s="24" t="s">
        <v>474</v>
      </c>
      <c r="S252" s="25"/>
      <c r="T252" s="26"/>
      <c r="U252" s="27"/>
      <c r="V252" s="47"/>
      <c r="W252" s="47"/>
      <c r="X252" s="47"/>
      <c r="Y252" s="47"/>
      <c r="Z252" s="47"/>
      <c r="AA252" s="47"/>
    </row>
    <row r="253" spans="1:27" ht="15.75" x14ac:dyDescent="0.25">
      <c r="A253" s="17" t="s">
        <v>499</v>
      </c>
      <c r="B253" s="30" t="s">
        <v>109</v>
      </c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2"/>
      <c r="P253" s="24" t="s">
        <v>36</v>
      </c>
      <c r="Q253" s="25"/>
      <c r="R253" s="24" t="s">
        <v>36</v>
      </c>
      <c r="S253" s="25"/>
      <c r="T253" s="26"/>
      <c r="U253" s="27"/>
      <c r="V253" s="47"/>
      <c r="W253" s="47"/>
      <c r="X253" s="47"/>
      <c r="Y253" s="47"/>
      <c r="Z253" s="47"/>
      <c r="AA253" s="47"/>
    </row>
    <row r="254" spans="1:27" ht="15.75" x14ac:dyDescent="0.25">
      <c r="A254" s="20" t="s">
        <v>500</v>
      </c>
      <c r="B254" s="33" t="s">
        <v>111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5"/>
      <c r="P254" s="24" t="s">
        <v>112</v>
      </c>
      <c r="Q254" s="25"/>
      <c r="R254" s="24" t="str">
        <f>CONCATENATE(R243+R244*2,"/",(R243+R244*2)*0.31)</f>
        <v>3/0,93</v>
      </c>
      <c r="S254" s="25"/>
      <c r="T254" s="26"/>
      <c r="U254" s="27"/>
      <c r="V254" s="47"/>
      <c r="W254" s="47"/>
      <c r="X254" s="47"/>
      <c r="Y254" s="47"/>
      <c r="Z254" s="47"/>
      <c r="AA254" s="47"/>
    </row>
    <row r="255" spans="1:27" ht="15.75" x14ac:dyDescent="0.25">
      <c r="A255" s="20" t="s">
        <v>501</v>
      </c>
      <c r="B255" s="33" t="s">
        <v>114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5"/>
      <c r="P255" s="24" t="s">
        <v>24</v>
      </c>
      <c r="Q255" s="25"/>
      <c r="R255" s="24">
        <v>3</v>
      </c>
      <c r="S255" s="25"/>
      <c r="T255" s="26"/>
      <c r="U255" s="27"/>
      <c r="V255" s="47"/>
      <c r="W255" s="47"/>
      <c r="X255" s="47"/>
      <c r="Y255" s="47"/>
      <c r="Z255" s="47"/>
      <c r="AA255" s="47"/>
    </row>
    <row r="256" spans="1:27" ht="15.75" hidden="1" x14ac:dyDescent="0.25">
      <c r="A256" s="20" t="str">
        <f>CONCATENATE(U256,".",V256)</f>
        <v>0.1</v>
      </c>
      <c r="B256" s="33" t="s">
        <v>116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5"/>
      <c r="P256" s="24" t="s">
        <v>24</v>
      </c>
      <c r="Q256" s="25"/>
      <c r="R256" s="24">
        <v>0</v>
      </c>
      <c r="S256" s="25"/>
      <c r="T256" s="26"/>
      <c r="U256" s="27">
        <f t="shared" ref="U256:U293" si="2">U255</f>
        <v>0</v>
      </c>
      <c r="V256" s="47">
        <f t="shared" ref="V256:V293" si="3">V255+1</f>
        <v>1</v>
      </c>
      <c r="W256" s="47"/>
      <c r="X256" s="47"/>
      <c r="Y256" s="47"/>
      <c r="Z256" s="47"/>
      <c r="AA256" s="47"/>
    </row>
    <row r="257" spans="1:27" ht="15.75" hidden="1" x14ac:dyDescent="0.25">
      <c r="A257" s="20" t="str">
        <f>CONCATENATE(U257,".",V257)</f>
        <v>0.2</v>
      </c>
      <c r="B257" s="33" t="s">
        <v>502</v>
      </c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5"/>
      <c r="P257" s="24" t="s">
        <v>24</v>
      </c>
      <c r="Q257" s="25"/>
      <c r="R257" s="24">
        <v>0</v>
      </c>
      <c r="S257" s="25"/>
      <c r="T257" s="26"/>
      <c r="U257" s="27">
        <f t="shared" si="2"/>
        <v>0</v>
      </c>
      <c r="V257" s="47">
        <f t="shared" si="3"/>
        <v>2</v>
      </c>
      <c r="W257" s="47"/>
      <c r="X257" s="47"/>
      <c r="Y257" s="47"/>
      <c r="Z257" s="47"/>
      <c r="AA257" s="47"/>
    </row>
    <row r="258" spans="1:27" ht="15.75" x14ac:dyDescent="0.25">
      <c r="A258" s="20" t="s">
        <v>503</v>
      </c>
      <c r="B258" s="33" t="s">
        <v>120</v>
      </c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5"/>
      <c r="P258" s="24" t="s">
        <v>121</v>
      </c>
      <c r="Q258" s="25"/>
      <c r="R258" s="24">
        <f>(R243+R244*2)*0.31</f>
        <v>0.92999999999999994</v>
      </c>
      <c r="S258" s="25"/>
      <c r="T258" s="26"/>
      <c r="U258" s="27"/>
      <c r="V258" s="47"/>
      <c r="W258" s="47"/>
      <c r="X258" s="47"/>
      <c r="Y258" s="47"/>
      <c r="Z258" s="47"/>
      <c r="AA258" s="47"/>
    </row>
    <row r="259" spans="1:27" ht="15.75" hidden="1" x14ac:dyDescent="0.25">
      <c r="A259" s="20" t="str">
        <f>CONCATENATE(U259,".",V259)</f>
        <v>0.1</v>
      </c>
      <c r="B259" s="33" t="s">
        <v>123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5"/>
      <c r="P259" s="24" t="s">
        <v>24</v>
      </c>
      <c r="Q259" s="25"/>
      <c r="R259" s="24">
        <f>SUM(R255+R256*2)</f>
        <v>3</v>
      </c>
      <c r="S259" s="25"/>
      <c r="T259" s="26"/>
      <c r="U259" s="27">
        <f t="shared" si="2"/>
        <v>0</v>
      </c>
      <c r="V259" s="47">
        <f t="shared" si="3"/>
        <v>1</v>
      </c>
      <c r="W259" s="47"/>
      <c r="X259" s="47"/>
      <c r="Y259" s="47"/>
      <c r="Z259" s="47"/>
      <c r="AA259" s="47"/>
    </row>
    <row r="260" spans="1:27" ht="15.75" x14ac:dyDescent="0.25">
      <c r="A260" s="20" t="s">
        <v>504</v>
      </c>
      <c r="B260" s="30" t="s">
        <v>125</v>
      </c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2"/>
      <c r="P260" s="24" t="s">
        <v>36</v>
      </c>
      <c r="Q260" s="25"/>
      <c r="R260" s="24" t="s">
        <v>36</v>
      </c>
      <c r="S260" s="25"/>
      <c r="T260" s="26"/>
      <c r="U260" s="27"/>
      <c r="V260" s="47"/>
      <c r="W260" s="47"/>
      <c r="X260" s="47"/>
      <c r="Y260" s="47"/>
      <c r="Z260" s="47"/>
      <c r="AA260" s="47"/>
    </row>
    <row r="261" spans="1:27" ht="64.900000000000006" customHeight="1" x14ac:dyDescent="0.25">
      <c r="A261" s="20" t="s">
        <v>505</v>
      </c>
      <c r="B261" s="33" t="s">
        <v>506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5"/>
      <c r="P261" s="24" t="s">
        <v>121</v>
      </c>
      <c r="Q261" s="25"/>
      <c r="R261" s="24">
        <f>SUM(R243:T244)*2.205</f>
        <v>6.6150000000000002</v>
      </c>
      <c r="S261" s="25"/>
      <c r="T261" s="26"/>
      <c r="U261" s="27"/>
      <c r="V261" s="47"/>
      <c r="W261" s="47"/>
      <c r="X261" s="47"/>
      <c r="Y261" s="47"/>
      <c r="Z261" s="47"/>
      <c r="AA261" s="47"/>
    </row>
    <row r="262" spans="1:27" ht="15.75" x14ac:dyDescent="0.25">
      <c r="A262" s="20" t="s">
        <v>507</v>
      </c>
      <c r="B262" s="33" t="s">
        <v>129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5"/>
      <c r="P262" s="24" t="s">
        <v>121</v>
      </c>
      <c r="Q262" s="25"/>
      <c r="R262" s="39">
        <f>R261*0.7</f>
        <v>4.6304999999999996</v>
      </c>
      <c r="S262" s="40"/>
      <c r="T262" s="41"/>
      <c r="U262" s="27"/>
      <c r="V262" s="47"/>
      <c r="W262" s="47"/>
      <c r="X262" s="47"/>
      <c r="Y262" s="47"/>
      <c r="Z262" s="47"/>
      <c r="AA262" s="47"/>
    </row>
    <row r="263" spans="1:27" ht="15.75" x14ac:dyDescent="0.25">
      <c r="A263" s="20" t="s">
        <v>508</v>
      </c>
      <c r="B263" s="33" t="s">
        <v>131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5"/>
      <c r="P263" s="24" t="s">
        <v>121</v>
      </c>
      <c r="Q263" s="25"/>
      <c r="R263" s="39">
        <f>R261*0.3</f>
        <v>1.9844999999999999</v>
      </c>
      <c r="S263" s="40"/>
      <c r="T263" s="41"/>
      <c r="U263" s="27"/>
      <c r="V263" s="47"/>
      <c r="W263" s="47"/>
      <c r="X263" s="47"/>
      <c r="Y263" s="47"/>
      <c r="Z263" s="47"/>
      <c r="AA263" s="47"/>
    </row>
    <row r="264" spans="1:27" ht="15.75" x14ac:dyDescent="0.25">
      <c r="A264" s="20" t="s">
        <v>509</v>
      </c>
      <c r="B264" s="33" t="s">
        <v>133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5"/>
      <c r="P264" s="24" t="s">
        <v>121</v>
      </c>
      <c r="Q264" s="25"/>
      <c r="R264" s="39">
        <f>R261*0.7</f>
        <v>4.6304999999999996</v>
      </c>
      <c r="S264" s="40"/>
      <c r="T264" s="41"/>
      <c r="U264" s="27"/>
      <c r="V264" s="47"/>
      <c r="W264" s="47"/>
      <c r="X264" s="47"/>
      <c r="Y264" s="47"/>
      <c r="Z264" s="47"/>
      <c r="AA264" s="47"/>
    </row>
    <row r="265" spans="1:27" ht="15.75" x14ac:dyDescent="0.25">
      <c r="A265" s="20" t="s">
        <v>510</v>
      </c>
      <c r="B265" s="33" t="s">
        <v>135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5"/>
      <c r="P265" s="24" t="s">
        <v>121</v>
      </c>
      <c r="Q265" s="25"/>
      <c r="R265" s="39">
        <f>R261*0.3</f>
        <v>1.9844999999999999</v>
      </c>
      <c r="S265" s="40"/>
      <c r="T265" s="41"/>
      <c r="U265" s="27"/>
      <c r="V265" s="47"/>
      <c r="W265" s="47"/>
      <c r="X265" s="47"/>
      <c r="Y265" s="47"/>
      <c r="Z265" s="47"/>
      <c r="AA265" s="47"/>
    </row>
    <row r="266" spans="1:27" ht="15.75" x14ac:dyDescent="0.25">
      <c r="A266" s="20" t="s">
        <v>511</v>
      </c>
      <c r="B266" s="33" t="s">
        <v>137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5"/>
      <c r="P266" s="24" t="s">
        <v>121</v>
      </c>
      <c r="Q266" s="25"/>
      <c r="R266" s="39">
        <f>R265*0.1</f>
        <v>0.19845000000000002</v>
      </c>
      <c r="S266" s="40"/>
      <c r="T266" s="41"/>
      <c r="U266" s="27"/>
      <c r="V266" s="47"/>
      <c r="W266" s="47"/>
      <c r="X266" s="47"/>
      <c r="Y266" s="47"/>
      <c r="Z266" s="47"/>
      <c r="AA266" s="47"/>
    </row>
    <row r="267" spans="1:27" ht="15.75" x14ac:dyDescent="0.25">
      <c r="A267" s="17" t="s">
        <v>512</v>
      </c>
      <c r="B267" s="30" t="s">
        <v>139</v>
      </c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2"/>
      <c r="P267" s="24" t="s">
        <v>36</v>
      </c>
      <c r="Q267" s="25"/>
      <c r="R267" s="24" t="s">
        <v>36</v>
      </c>
      <c r="S267" s="25"/>
      <c r="T267" s="26"/>
      <c r="U267" s="27"/>
      <c r="V267" s="47"/>
      <c r="W267" s="47"/>
      <c r="X267" s="47"/>
      <c r="Y267" s="47"/>
      <c r="Z267" s="47"/>
      <c r="AA267" s="47"/>
    </row>
    <row r="268" spans="1:27" ht="19.899999999999999" customHeight="1" x14ac:dyDescent="0.25">
      <c r="A268" s="20" t="s">
        <v>513</v>
      </c>
      <c r="B268" s="33" t="s">
        <v>141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5"/>
      <c r="P268" s="24" t="s">
        <v>142</v>
      </c>
      <c r="Q268" s="25"/>
      <c r="R268" s="24" t="str">
        <f>CONCATENATE(SUM(R255,R256)*4,"/",SUM(R255,R256)*12)</f>
        <v>12/36</v>
      </c>
      <c r="S268" s="25"/>
      <c r="T268" s="26"/>
      <c r="U268" s="27"/>
      <c r="V268" s="47"/>
      <c r="W268" s="47"/>
      <c r="X268" s="47"/>
      <c r="Y268" s="47"/>
      <c r="Z268" s="47"/>
      <c r="AA268" s="47"/>
    </row>
    <row r="269" spans="1:27" ht="31.15" customHeight="1" x14ac:dyDescent="0.25">
      <c r="A269" s="20" t="s">
        <v>514</v>
      </c>
      <c r="B269" s="33" t="s">
        <v>515</v>
      </c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5"/>
      <c r="P269" s="24" t="s">
        <v>142</v>
      </c>
      <c r="Q269" s="25"/>
      <c r="R269" s="24" t="str">
        <f>CONCATENATE(SUM(R255:T256),"/",SUM(R255:T256)*10)</f>
        <v>3/30</v>
      </c>
      <c r="S269" s="25"/>
      <c r="T269" s="26"/>
      <c r="U269" s="27"/>
      <c r="V269" s="47"/>
      <c r="W269" s="47"/>
      <c r="X269" s="47"/>
      <c r="Y269" s="47"/>
      <c r="Z269" s="47"/>
      <c r="AA269" s="47"/>
    </row>
    <row r="270" spans="1:27" ht="36.75" customHeight="1" x14ac:dyDescent="0.25">
      <c r="A270" s="20" t="s">
        <v>516</v>
      </c>
      <c r="B270" s="33" t="s">
        <v>146</v>
      </c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5"/>
      <c r="P270" s="24" t="s">
        <v>142</v>
      </c>
      <c r="Q270" s="25"/>
      <c r="R270" s="24" t="s">
        <v>517</v>
      </c>
      <c r="S270" s="25"/>
      <c r="T270" s="26"/>
      <c r="U270" s="27"/>
      <c r="V270" s="47"/>
      <c r="W270" s="47"/>
      <c r="X270" s="47">
        <f>3*1.3</f>
        <v>3.9000000000000004</v>
      </c>
      <c r="Y270" s="47"/>
      <c r="Z270" s="47"/>
      <c r="AA270" s="47"/>
    </row>
    <row r="271" spans="1:27" ht="49.5" customHeight="1" x14ac:dyDescent="0.25">
      <c r="A271" s="20" t="s">
        <v>518</v>
      </c>
      <c r="B271" s="33" t="s">
        <v>149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5"/>
      <c r="P271" s="24" t="s">
        <v>24</v>
      </c>
      <c r="Q271" s="25"/>
      <c r="R271" s="24">
        <f>5*SUM(R255:T256)</f>
        <v>15</v>
      </c>
      <c r="S271" s="25"/>
      <c r="T271" s="26"/>
      <c r="U271" s="27"/>
      <c r="V271" s="47"/>
      <c r="W271" s="47"/>
      <c r="X271" s="47"/>
      <c r="Y271" s="47"/>
      <c r="Z271" s="47"/>
      <c r="AA271" s="47"/>
    </row>
    <row r="272" spans="1:27" ht="30" customHeight="1" x14ac:dyDescent="0.25">
      <c r="A272" s="20" t="s">
        <v>519</v>
      </c>
      <c r="B272" s="33" t="s">
        <v>151</v>
      </c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5"/>
      <c r="P272" s="24" t="s">
        <v>142</v>
      </c>
      <c r="Q272" s="25"/>
      <c r="R272" s="24" t="s">
        <v>520</v>
      </c>
      <c r="S272" s="25"/>
      <c r="T272" s="26"/>
      <c r="U272" s="27"/>
      <c r="V272" s="47"/>
      <c r="W272" s="47"/>
      <c r="X272" s="47"/>
      <c r="Y272" s="47"/>
      <c r="Z272" s="47"/>
      <c r="AA272" s="47"/>
    </row>
    <row r="273" spans="1:27" ht="15.75" x14ac:dyDescent="0.25">
      <c r="A273" s="20" t="s">
        <v>521</v>
      </c>
      <c r="B273" s="33" t="s">
        <v>154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5"/>
      <c r="P273" s="24" t="s">
        <v>155</v>
      </c>
      <c r="Q273" s="25"/>
      <c r="R273" s="24">
        <v>21</v>
      </c>
      <c r="S273" s="25"/>
      <c r="T273" s="26"/>
      <c r="U273" s="27"/>
      <c r="V273" s="47"/>
      <c r="W273" s="47"/>
      <c r="X273" s="47">
        <f>5.5/4</f>
        <v>1.375</v>
      </c>
      <c r="Y273" s="47"/>
      <c r="Z273" s="47"/>
      <c r="AA273" s="47"/>
    </row>
    <row r="274" spans="1:27" ht="15.75" x14ac:dyDescent="0.25">
      <c r="A274" s="20" t="s">
        <v>522</v>
      </c>
      <c r="B274" s="33" t="s">
        <v>157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5"/>
      <c r="P274" s="24" t="s">
        <v>24</v>
      </c>
      <c r="Q274" s="25"/>
      <c r="R274" s="24" t="s">
        <v>523</v>
      </c>
      <c r="S274" s="25"/>
      <c r="T274" s="26"/>
      <c r="U274" s="27"/>
      <c r="V274" s="47"/>
      <c r="W274" s="47"/>
      <c r="X274" s="47"/>
      <c r="Y274" s="47"/>
      <c r="Z274" s="47"/>
      <c r="AA274" s="47"/>
    </row>
    <row r="275" spans="1:27" ht="15.75" x14ac:dyDescent="0.25">
      <c r="A275" s="20" t="s">
        <v>524</v>
      </c>
      <c r="B275" s="33" t="s">
        <v>160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5"/>
      <c r="P275" s="24" t="s">
        <v>142</v>
      </c>
      <c r="Q275" s="25"/>
      <c r="R275" s="24" t="s">
        <v>525</v>
      </c>
      <c r="S275" s="25"/>
      <c r="T275" s="26"/>
      <c r="U275" s="27"/>
      <c r="V275" s="47"/>
      <c r="W275" s="47"/>
      <c r="X275" s="47">
        <f>15*0.98</f>
        <v>14.7</v>
      </c>
      <c r="Y275" s="47">
        <f>3.92/15</f>
        <v>0.26133333333333331</v>
      </c>
      <c r="Z275" s="47"/>
      <c r="AA275" s="47"/>
    </row>
    <row r="276" spans="1:27" ht="15.75" x14ac:dyDescent="0.25">
      <c r="A276" s="20" t="s">
        <v>526</v>
      </c>
      <c r="B276" s="33" t="s">
        <v>162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5"/>
      <c r="P276" s="24" t="s">
        <v>163</v>
      </c>
      <c r="Q276" s="25"/>
      <c r="R276" s="24" t="s">
        <v>527</v>
      </c>
      <c r="S276" s="25"/>
      <c r="T276" s="26"/>
      <c r="U276" s="27"/>
      <c r="V276" s="47"/>
      <c r="W276" s="47"/>
      <c r="X276" s="47">
        <f>15*0.0022</f>
        <v>3.3000000000000002E-2</v>
      </c>
      <c r="Y276" s="47"/>
      <c r="Z276" s="47"/>
      <c r="AA276" s="47"/>
    </row>
    <row r="277" spans="1:27" ht="15.75" x14ac:dyDescent="0.25">
      <c r="A277" s="20" t="s">
        <v>528</v>
      </c>
      <c r="B277" s="33" t="s">
        <v>165</v>
      </c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5"/>
      <c r="P277" s="24" t="s">
        <v>121</v>
      </c>
      <c r="Q277" s="25"/>
      <c r="R277" s="24">
        <f>R261</f>
        <v>6.6150000000000002</v>
      </c>
      <c r="S277" s="25"/>
      <c r="T277" s="26"/>
      <c r="U277" s="27"/>
      <c r="V277" s="47"/>
      <c r="W277" s="47"/>
      <c r="X277" s="47"/>
      <c r="Y277" s="47"/>
      <c r="Z277" s="47"/>
      <c r="AA277" s="47"/>
    </row>
    <row r="278" spans="1:27" ht="15.75" x14ac:dyDescent="0.25">
      <c r="A278" s="20" t="s">
        <v>529</v>
      </c>
      <c r="B278" s="33" t="s">
        <v>129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5"/>
      <c r="P278" s="24" t="s">
        <v>121</v>
      </c>
      <c r="Q278" s="25"/>
      <c r="R278" s="39">
        <f>R262</f>
        <v>4.6304999999999996</v>
      </c>
      <c r="S278" s="25"/>
      <c r="T278" s="26"/>
      <c r="U278" s="27"/>
      <c r="V278" s="47"/>
      <c r="W278" s="47"/>
      <c r="X278" s="47"/>
      <c r="Y278" s="47"/>
      <c r="Z278" s="47"/>
      <c r="AA278" s="47"/>
    </row>
    <row r="279" spans="1:27" ht="15.75" x14ac:dyDescent="0.25">
      <c r="A279" s="20" t="s">
        <v>530</v>
      </c>
      <c r="B279" s="33" t="s">
        <v>131</v>
      </c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5"/>
      <c r="P279" s="24" t="s">
        <v>121</v>
      </c>
      <c r="Q279" s="25"/>
      <c r="R279" s="39">
        <f>R263</f>
        <v>1.9844999999999999</v>
      </c>
      <c r="S279" s="25"/>
      <c r="T279" s="26"/>
      <c r="U279" s="27"/>
      <c r="V279" s="47"/>
      <c r="W279" s="47"/>
      <c r="X279" s="47"/>
      <c r="Y279" s="47"/>
      <c r="Z279" s="47"/>
      <c r="AA279" s="47"/>
    </row>
    <row r="280" spans="1:27" ht="15.75" x14ac:dyDescent="0.25">
      <c r="A280" s="17" t="s">
        <v>531</v>
      </c>
      <c r="B280" s="30" t="s">
        <v>169</v>
      </c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2"/>
      <c r="P280" s="24" t="s">
        <v>36</v>
      </c>
      <c r="Q280" s="25"/>
      <c r="R280" s="24" t="s">
        <v>36</v>
      </c>
      <c r="S280" s="25"/>
      <c r="T280" s="26"/>
      <c r="U280" s="27"/>
      <c r="V280" s="47"/>
      <c r="W280" s="47"/>
      <c r="X280" s="47"/>
      <c r="Y280" s="47"/>
      <c r="Z280" s="47"/>
      <c r="AA280" s="47"/>
    </row>
    <row r="281" spans="1:27" ht="15.75" x14ac:dyDescent="0.25">
      <c r="A281" s="20" t="s">
        <v>532</v>
      </c>
      <c r="B281" s="33" t="s">
        <v>171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5"/>
      <c r="P281" s="24" t="s">
        <v>24</v>
      </c>
      <c r="Q281" s="25"/>
      <c r="R281" s="24">
        <v>7</v>
      </c>
      <c r="S281" s="25"/>
      <c r="T281" s="26"/>
      <c r="U281" s="27"/>
      <c r="V281" s="47"/>
      <c r="W281" s="47"/>
      <c r="X281" s="47"/>
      <c r="Y281" s="47"/>
      <c r="Z281" s="47"/>
      <c r="AA281" s="47"/>
    </row>
    <row r="282" spans="1:27" ht="15.75" x14ac:dyDescent="0.25">
      <c r="A282" s="20" t="s">
        <v>533</v>
      </c>
      <c r="B282" s="33" t="s">
        <v>173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5"/>
      <c r="P282" s="24" t="s">
        <v>24</v>
      </c>
      <c r="Q282" s="25"/>
      <c r="R282" s="24">
        <v>21</v>
      </c>
      <c r="S282" s="25"/>
      <c r="T282" s="26"/>
      <c r="U282" s="27"/>
      <c r="V282" s="47"/>
      <c r="W282" s="47"/>
      <c r="X282" s="47"/>
      <c r="Y282" s="47"/>
      <c r="Z282" s="47"/>
      <c r="AA282" s="47"/>
    </row>
    <row r="283" spans="1:27" ht="15.75" x14ac:dyDescent="0.25">
      <c r="A283" s="20" t="s">
        <v>534</v>
      </c>
      <c r="B283" s="33" t="s">
        <v>175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5"/>
      <c r="P283" s="24" t="s">
        <v>24</v>
      </c>
      <c r="Q283" s="25"/>
      <c r="R283" s="24">
        <v>24</v>
      </c>
      <c r="S283" s="25"/>
      <c r="T283" s="26"/>
      <c r="U283" s="27"/>
      <c r="V283" s="47"/>
      <c r="W283" s="47"/>
      <c r="X283" s="47"/>
      <c r="Y283" s="47"/>
      <c r="Z283" s="47"/>
      <c r="AA283" s="47"/>
    </row>
    <row r="284" spans="1:27" ht="30.75" customHeight="1" x14ac:dyDescent="0.25">
      <c r="A284" s="20" t="s">
        <v>535</v>
      </c>
      <c r="B284" s="33" t="s">
        <v>177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5"/>
      <c r="P284" s="24" t="s">
        <v>24</v>
      </c>
      <c r="Q284" s="25"/>
      <c r="R284" s="24" t="s">
        <v>523</v>
      </c>
      <c r="S284" s="25"/>
      <c r="T284" s="26"/>
      <c r="U284" s="27"/>
      <c r="V284" s="47"/>
      <c r="W284" s="47"/>
      <c r="X284" s="47"/>
      <c r="Y284" s="47"/>
      <c r="Z284" s="47"/>
      <c r="AA284" s="47"/>
    </row>
    <row r="285" spans="1:27" ht="15.75" x14ac:dyDescent="0.25">
      <c r="A285" s="20" t="s">
        <v>536</v>
      </c>
      <c r="B285" s="33" t="s">
        <v>179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5"/>
      <c r="P285" s="24" t="s">
        <v>180</v>
      </c>
      <c r="Q285" s="25"/>
      <c r="R285" s="24" t="s">
        <v>537</v>
      </c>
      <c r="S285" s="25"/>
      <c r="T285" s="26"/>
      <c r="U285" s="27"/>
      <c r="V285" s="47"/>
      <c r="W285" s="47"/>
      <c r="X285" s="47"/>
      <c r="Y285" s="47"/>
      <c r="Z285" s="47"/>
      <c r="AA285" s="47"/>
    </row>
    <row r="286" spans="1:27" ht="15.75" x14ac:dyDescent="0.25">
      <c r="A286" s="20" t="s">
        <v>538</v>
      </c>
      <c r="B286" s="33" t="s">
        <v>185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5"/>
      <c r="P286" s="24" t="s">
        <v>24</v>
      </c>
      <c r="Q286" s="25"/>
      <c r="R286" s="24" t="s">
        <v>450</v>
      </c>
      <c r="S286" s="25"/>
      <c r="T286" s="26"/>
      <c r="U286" s="27"/>
      <c r="V286" s="47"/>
      <c r="W286" s="47"/>
      <c r="X286" s="47"/>
      <c r="Y286" s="47"/>
      <c r="Z286" s="47"/>
      <c r="AA286" s="47"/>
    </row>
    <row r="287" spans="1:27" ht="15.75" x14ac:dyDescent="0.25">
      <c r="A287" s="17" t="s">
        <v>539</v>
      </c>
      <c r="B287" s="30" t="s">
        <v>188</v>
      </c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2"/>
      <c r="P287" s="24" t="s">
        <v>36</v>
      </c>
      <c r="Q287" s="25"/>
      <c r="R287" s="24" t="s">
        <v>36</v>
      </c>
      <c r="S287" s="25"/>
      <c r="T287" s="26"/>
      <c r="U287" s="27"/>
      <c r="V287" s="47"/>
      <c r="W287" s="47"/>
      <c r="X287" s="47"/>
      <c r="Y287" s="47"/>
      <c r="Z287" s="47"/>
      <c r="AA287" s="47"/>
    </row>
    <row r="288" spans="1:27" ht="17.25" customHeight="1" x14ac:dyDescent="0.25">
      <c r="A288" s="20" t="s">
        <v>540</v>
      </c>
      <c r="B288" s="33" t="s">
        <v>190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5"/>
      <c r="P288" s="24" t="s">
        <v>191</v>
      </c>
      <c r="Q288" s="25"/>
      <c r="R288" s="24" t="s">
        <v>541</v>
      </c>
      <c r="S288" s="25"/>
      <c r="T288" s="26"/>
      <c r="U288" s="27"/>
      <c r="V288" s="47"/>
      <c r="W288" s="47"/>
      <c r="X288" s="47">
        <f>23.96+11.33+4.42</f>
        <v>39.71</v>
      </c>
      <c r="Y288" s="47"/>
      <c r="Z288" s="47"/>
      <c r="AA288" s="47"/>
    </row>
    <row r="289" spans="1:27" ht="15.75" x14ac:dyDescent="0.25">
      <c r="A289" s="20" t="s">
        <v>542</v>
      </c>
      <c r="B289" s="33" t="s">
        <v>194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5"/>
      <c r="P289" s="24" t="s">
        <v>155</v>
      </c>
      <c r="Q289" s="25"/>
      <c r="R289" s="39">
        <f>39.71*3*1.045+9+9</f>
        <v>142.49084999999997</v>
      </c>
      <c r="S289" s="40"/>
      <c r="T289" s="41"/>
      <c r="U289" s="27"/>
      <c r="V289" s="47"/>
      <c r="W289" s="47"/>
      <c r="X289" s="47"/>
      <c r="Y289" s="47"/>
      <c r="Z289" s="47"/>
      <c r="AA289" s="47"/>
    </row>
    <row r="290" spans="1:27" ht="15.75" x14ac:dyDescent="0.25">
      <c r="A290" s="20" t="s">
        <v>543</v>
      </c>
      <c r="B290" s="33" t="s">
        <v>196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5"/>
      <c r="P290" s="24" t="s">
        <v>191</v>
      </c>
      <c r="Q290" s="25"/>
      <c r="R290" s="24" t="str">
        <f>R288</f>
        <v>39,71/4</v>
      </c>
      <c r="S290" s="25"/>
      <c r="T290" s="26"/>
      <c r="U290" s="27"/>
      <c r="V290" s="47"/>
      <c r="W290" s="47"/>
      <c r="X290" s="47"/>
      <c r="Y290" s="47"/>
      <c r="Z290" s="47"/>
      <c r="AA290" s="47"/>
    </row>
    <row r="291" spans="1:27" ht="15.75" x14ac:dyDescent="0.25">
      <c r="A291" s="20" t="s">
        <v>544</v>
      </c>
      <c r="B291" s="33" t="s">
        <v>198</v>
      </c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5"/>
      <c r="P291" s="24" t="s">
        <v>24</v>
      </c>
      <c r="Q291" s="25"/>
      <c r="R291" s="24">
        <f>R282*2</f>
        <v>42</v>
      </c>
      <c r="S291" s="25"/>
      <c r="T291" s="26"/>
      <c r="U291" s="27"/>
      <c r="V291" s="47"/>
      <c r="W291" s="47"/>
      <c r="X291" s="47"/>
      <c r="Y291" s="47"/>
      <c r="Z291" s="47"/>
      <c r="AA291" s="47"/>
    </row>
    <row r="292" spans="1:27" ht="15.75" hidden="1" x14ac:dyDescent="0.25">
      <c r="A292" s="20" t="str">
        <f>CONCATENATE(U292,".",V292)</f>
        <v>0.1</v>
      </c>
      <c r="B292" s="33" t="s">
        <v>545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5"/>
      <c r="P292" s="24" t="s">
        <v>24</v>
      </c>
      <c r="Q292" s="25"/>
      <c r="R292" s="24" t="s">
        <v>453</v>
      </c>
      <c r="S292" s="25"/>
      <c r="T292" s="26"/>
      <c r="U292" s="27">
        <f t="shared" si="2"/>
        <v>0</v>
      </c>
      <c r="V292" s="47">
        <f t="shared" si="3"/>
        <v>1</v>
      </c>
      <c r="W292" s="47"/>
      <c r="X292" s="47"/>
      <c r="Y292" s="47"/>
      <c r="Z292" s="47"/>
      <c r="AA292" s="47"/>
    </row>
    <row r="293" spans="1:27" ht="15.75" hidden="1" x14ac:dyDescent="0.25">
      <c r="A293" s="20" t="str">
        <f>CONCATENATE(U293,".",V293)</f>
        <v>0.2</v>
      </c>
      <c r="B293" s="33" t="s">
        <v>546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5"/>
      <c r="P293" s="24" t="s">
        <v>24</v>
      </c>
      <c r="Q293" s="25"/>
      <c r="R293" s="24" t="s">
        <v>453</v>
      </c>
      <c r="S293" s="25"/>
      <c r="T293" s="26"/>
      <c r="U293" s="27">
        <f t="shared" si="2"/>
        <v>0</v>
      </c>
      <c r="V293" s="47">
        <f t="shared" si="3"/>
        <v>2</v>
      </c>
      <c r="W293" s="47"/>
      <c r="X293" s="47"/>
      <c r="Y293" s="47"/>
      <c r="Z293" s="47"/>
      <c r="AA293" s="47"/>
    </row>
    <row r="294" spans="1:27" ht="15.75" x14ac:dyDescent="0.25">
      <c r="A294" s="20" t="s">
        <v>547</v>
      </c>
      <c r="B294" s="33" t="s">
        <v>200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5"/>
      <c r="P294" s="24" t="s">
        <v>201</v>
      </c>
      <c r="Q294" s="25"/>
      <c r="R294" s="24" t="s">
        <v>390</v>
      </c>
      <c r="S294" s="25"/>
      <c r="T294" s="26"/>
      <c r="U294" s="27"/>
      <c r="V294" s="47"/>
      <c r="W294" s="47"/>
      <c r="X294" s="47"/>
      <c r="Y294" s="47"/>
      <c r="Z294" s="47"/>
      <c r="AA294" s="47"/>
    </row>
    <row r="295" spans="1:27" ht="15.75" x14ac:dyDescent="0.25">
      <c r="A295" s="17" t="s">
        <v>548</v>
      </c>
      <c r="B295" s="30" t="s">
        <v>204</v>
      </c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2"/>
      <c r="P295" s="24" t="s">
        <v>36</v>
      </c>
      <c r="Q295" s="25"/>
      <c r="R295" s="24" t="s">
        <v>36</v>
      </c>
      <c r="S295" s="25"/>
      <c r="T295" s="26"/>
      <c r="U295" s="27"/>
      <c r="V295" s="47"/>
      <c r="W295" s="47"/>
      <c r="X295" s="47"/>
      <c r="Y295" s="47"/>
      <c r="Z295" s="47"/>
      <c r="AA295" s="47"/>
    </row>
    <row r="296" spans="1:27" ht="15.75" x14ac:dyDescent="0.25">
      <c r="A296" s="20" t="s">
        <v>549</v>
      </c>
      <c r="B296" s="33" t="s">
        <v>206</v>
      </c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5"/>
      <c r="P296" s="24" t="s">
        <v>24</v>
      </c>
      <c r="Q296" s="25"/>
      <c r="R296" s="24" t="s">
        <v>450</v>
      </c>
      <c r="S296" s="25"/>
      <c r="T296" s="26"/>
      <c r="U296" s="27"/>
      <c r="V296" s="47"/>
      <c r="W296" s="47"/>
      <c r="X296" s="47"/>
      <c r="Y296" s="47"/>
      <c r="Z296" s="47"/>
      <c r="AA296" s="47"/>
    </row>
    <row r="297" spans="1:27" ht="15.75" x14ac:dyDescent="0.25">
      <c r="A297" s="20" t="s">
        <v>550</v>
      </c>
      <c r="B297" s="33" t="s">
        <v>208</v>
      </c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5"/>
      <c r="P297" s="24" t="s">
        <v>24</v>
      </c>
      <c r="Q297" s="25"/>
      <c r="R297" s="24" t="s">
        <v>450</v>
      </c>
      <c r="S297" s="25"/>
      <c r="T297" s="26"/>
      <c r="U297" s="27"/>
      <c r="V297" s="47"/>
      <c r="W297" s="47"/>
      <c r="X297" s="47"/>
      <c r="Y297" s="47"/>
      <c r="Z297" s="47"/>
      <c r="AA297" s="47"/>
    </row>
    <row r="298" spans="1:27" ht="15.75" x14ac:dyDescent="0.25">
      <c r="A298" s="20" t="s">
        <v>551</v>
      </c>
      <c r="B298" s="33" t="s">
        <v>210</v>
      </c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5"/>
      <c r="P298" s="24" t="s">
        <v>24</v>
      </c>
      <c r="Q298" s="25"/>
      <c r="R298" s="24" t="s">
        <v>450</v>
      </c>
      <c r="S298" s="25"/>
      <c r="T298" s="26"/>
      <c r="U298" s="27"/>
      <c r="V298" s="47"/>
      <c r="W298" s="47"/>
      <c r="X298" s="47"/>
      <c r="Y298" s="47"/>
      <c r="Z298" s="47"/>
      <c r="AA298" s="47"/>
    </row>
    <row r="299" spans="1:27" ht="15.75" x14ac:dyDescent="0.25">
      <c r="A299" s="17" t="s">
        <v>552</v>
      </c>
      <c r="B299" s="30" t="s">
        <v>214</v>
      </c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2"/>
      <c r="P299" s="24" t="s">
        <v>36</v>
      </c>
      <c r="Q299" s="25"/>
      <c r="R299" s="24" t="s">
        <v>36</v>
      </c>
      <c r="S299" s="25"/>
      <c r="T299" s="26"/>
      <c r="U299" s="27"/>
      <c r="V299" s="47"/>
      <c r="W299" s="47"/>
      <c r="X299" s="47"/>
      <c r="Y299" s="47"/>
      <c r="Z299" s="47"/>
      <c r="AA299" s="47"/>
    </row>
    <row r="300" spans="1:27" ht="19.899999999999999" customHeight="1" x14ac:dyDescent="0.25">
      <c r="A300" s="20" t="s">
        <v>553</v>
      </c>
      <c r="B300" s="33" t="s">
        <v>216</v>
      </c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5"/>
      <c r="P300" s="24" t="s">
        <v>217</v>
      </c>
      <c r="Q300" s="25"/>
      <c r="R300" s="24" t="s">
        <v>390</v>
      </c>
      <c r="S300" s="25"/>
      <c r="T300" s="26"/>
      <c r="U300" s="27"/>
      <c r="V300" s="47"/>
      <c r="W300" s="47"/>
      <c r="X300" s="47"/>
      <c r="Y300" s="47"/>
      <c r="Z300" s="47"/>
      <c r="AA300" s="47"/>
    </row>
    <row r="301" spans="1:27" ht="29.45" customHeight="1" x14ac:dyDescent="0.25">
      <c r="A301" s="20" t="s">
        <v>554</v>
      </c>
      <c r="B301" s="33" t="s">
        <v>219</v>
      </c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5"/>
      <c r="P301" s="24" t="s">
        <v>220</v>
      </c>
      <c r="Q301" s="25"/>
      <c r="R301" s="24" t="s">
        <v>555</v>
      </c>
      <c r="S301" s="25"/>
      <c r="T301" s="26"/>
      <c r="U301" s="27"/>
      <c r="V301" s="47"/>
      <c r="W301" s="47"/>
      <c r="X301" s="47"/>
      <c r="Y301" s="47"/>
      <c r="Z301" s="47"/>
      <c r="AA301" s="47"/>
    </row>
    <row r="302" spans="1:27" ht="31.9" customHeight="1" x14ac:dyDescent="0.25">
      <c r="A302" s="20" t="s">
        <v>556</v>
      </c>
      <c r="B302" s="33" t="s">
        <v>223</v>
      </c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5"/>
      <c r="P302" s="24" t="s">
        <v>217</v>
      </c>
      <c r="Q302" s="25"/>
      <c r="R302" s="24" t="s">
        <v>390</v>
      </c>
      <c r="S302" s="25"/>
      <c r="T302" s="26"/>
      <c r="U302" s="27"/>
      <c r="V302" s="47"/>
      <c r="W302" s="47"/>
      <c r="X302" s="47"/>
      <c r="Y302" s="47"/>
      <c r="Z302" s="47"/>
      <c r="AA302" s="47"/>
    </row>
    <row r="303" spans="1:27" ht="15.75" x14ac:dyDescent="0.25">
      <c r="A303" s="20" t="s">
        <v>557</v>
      </c>
      <c r="B303" s="33" t="s">
        <v>225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5"/>
      <c r="P303" s="24" t="s">
        <v>217</v>
      </c>
      <c r="Q303" s="25"/>
      <c r="R303" s="24" t="s">
        <v>390</v>
      </c>
      <c r="S303" s="25"/>
      <c r="T303" s="26"/>
      <c r="U303" s="27"/>
      <c r="V303" s="47"/>
      <c r="W303" s="47"/>
      <c r="X303" s="47"/>
      <c r="Y303" s="47"/>
      <c r="Z303" s="47"/>
      <c r="AA303" s="47"/>
    </row>
    <row r="304" spans="1:27" ht="21" customHeight="1" x14ac:dyDescent="0.25">
      <c r="A304" s="20" t="s">
        <v>558</v>
      </c>
      <c r="B304" s="33" t="s">
        <v>227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5"/>
      <c r="P304" s="24" t="s">
        <v>24</v>
      </c>
      <c r="Q304" s="25"/>
      <c r="R304" s="24" t="s">
        <v>390</v>
      </c>
      <c r="S304" s="25"/>
      <c r="T304" s="26"/>
      <c r="U304" s="27"/>
      <c r="V304" s="47"/>
      <c r="W304" s="47"/>
      <c r="X304" s="47"/>
      <c r="Y304" s="47"/>
      <c r="Z304" s="47"/>
      <c r="AA304" s="47"/>
    </row>
    <row r="305" spans="1:27" ht="15.75" x14ac:dyDescent="0.25">
      <c r="A305" s="17" t="s">
        <v>559</v>
      </c>
      <c r="B305" s="30" t="s">
        <v>229</v>
      </c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2"/>
      <c r="P305" s="24" t="s">
        <v>36</v>
      </c>
      <c r="Q305" s="25"/>
      <c r="R305" s="24" t="s">
        <v>36</v>
      </c>
      <c r="S305" s="25"/>
      <c r="T305" s="26"/>
      <c r="U305" s="27"/>
      <c r="V305" s="47"/>
      <c r="W305" s="47"/>
      <c r="X305" s="47"/>
      <c r="Y305" s="47"/>
      <c r="Z305" s="47"/>
      <c r="AA305" s="47"/>
    </row>
    <row r="306" spans="1:27" ht="15.75" x14ac:dyDescent="0.25">
      <c r="A306" s="20" t="s">
        <v>560</v>
      </c>
      <c r="B306" s="33" t="s">
        <v>231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5"/>
      <c r="P306" s="24" t="s">
        <v>232</v>
      </c>
      <c r="Q306" s="25"/>
      <c r="R306" s="24" t="s">
        <v>327</v>
      </c>
      <c r="S306" s="25"/>
      <c r="T306" s="26"/>
      <c r="U306" s="27"/>
      <c r="V306" s="47"/>
      <c r="W306" s="47"/>
      <c r="X306" s="47"/>
      <c r="Y306" s="47"/>
      <c r="Z306" s="47"/>
      <c r="AA306" s="47"/>
    </row>
    <row r="307" spans="1:27" ht="15.75" x14ac:dyDescent="0.25">
      <c r="A307" s="20" t="s">
        <v>561</v>
      </c>
      <c r="B307" s="33" t="s">
        <v>235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5"/>
      <c r="P307" s="24" t="s">
        <v>236</v>
      </c>
      <c r="Q307" s="25"/>
      <c r="R307" s="24" t="s">
        <v>345</v>
      </c>
      <c r="S307" s="25"/>
      <c r="T307" s="26"/>
      <c r="U307" s="27"/>
      <c r="V307" s="47"/>
      <c r="W307" s="47"/>
      <c r="X307" s="47"/>
      <c r="Y307" s="47"/>
      <c r="Z307" s="47"/>
      <c r="AA307" s="47"/>
    </row>
    <row r="308" spans="1:27" ht="21.6" customHeight="1" x14ac:dyDescent="0.25">
      <c r="A308" s="20" t="s">
        <v>562</v>
      </c>
      <c r="B308" s="33" t="s">
        <v>239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5"/>
      <c r="P308" s="24" t="s">
        <v>232</v>
      </c>
      <c r="Q308" s="25"/>
      <c r="R308" s="24" t="s">
        <v>327</v>
      </c>
      <c r="S308" s="25"/>
      <c r="T308" s="26"/>
      <c r="U308" s="27"/>
      <c r="V308" s="47"/>
      <c r="W308" s="47"/>
      <c r="X308" s="47"/>
      <c r="Y308" s="47"/>
      <c r="Z308" s="47"/>
      <c r="AA308" s="47"/>
    </row>
    <row r="309" spans="1:27" ht="15.75" x14ac:dyDescent="0.25">
      <c r="A309" s="20" t="s">
        <v>563</v>
      </c>
      <c r="B309" s="33" t="s">
        <v>241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5"/>
      <c r="P309" s="24" t="s">
        <v>232</v>
      </c>
      <c r="Q309" s="25"/>
      <c r="R309" s="24" t="s">
        <v>202</v>
      </c>
      <c r="S309" s="25"/>
      <c r="T309" s="26"/>
      <c r="U309" s="27"/>
      <c r="V309" s="47"/>
      <c r="W309" s="47"/>
      <c r="X309" s="47"/>
      <c r="Y309" s="47"/>
      <c r="Z309" s="47"/>
      <c r="AA309" s="47"/>
    </row>
    <row r="310" spans="1:27" ht="15.75" x14ac:dyDescent="0.25">
      <c r="A310" s="20" t="s">
        <v>564</v>
      </c>
      <c r="B310" s="33" t="s">
        <v>243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5"/>
      <c r="P310" s="24" t="s">
        <v>232</v>
      </c>
      <c r="Q310" s="25"/>
      <c r="R310" s="24" t="s">
        <v>202</v>
      </c>
      <c r="S310" s="25"/>
      <c r="T310" s="26"/>
      <c r="U310" s="27"/>
      <c r="V310" s="47"/>
      <c r="W310" s="47"/>
      <c r="X310" s="47"/>
      <c r="Y310" s="47"/>
      <c r="Z310" s="47"/>
      <c r="AA310" s="47"/>
    </row>
    <row r="311" spans="1:27" ht="15.75" x14ac:dyDescent="0.25">
      <c r="A311" s="20" t="s">
        <v>565</v>
      </c>
      <c r="B311" s="33" t="s">
        <v>245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5"/>
      <c r="P311" s="24" t="s">
        <v>232</v>
      </c>
      <c r="Q311" s="25"/>
      <c r="R311" s="24" t="s">
        <v>202</v>
      </c>
      <c r="S311" s="25"/>
      <c r="T311" s="26"/>
      <c r="U311" s="27"/>
      <c r="V311" s="47"/>
      <c r="W311" s="47"/>
      <c r="X311" s="47"/>
      <c r="Y311" s="47"/>
      <c r="Z311" s="47"/>
      <c r="AA311" s="47"/>
    </row>
    <row r="312" spans="1:27" ht="15.75" x14ac:dyDescent="0.25">
      <c r="A312" s="20" t="s">
        <v>566</v>
      </c>
      <c r="B312" s="33" t="s">
        <v>247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5"/>
      <c r="P312" s="24" t="s">
        <v>232</v>
      </c>
      <c r="Q312" s="25"/>
      <c r="R312" s="24" t="s">
        <v>450</v>
      </c>
      <c r="S312" s="25"/>
      <c r="T312" s="26"/>
      <c r="U312" s="27"/>
      <c r="V312" s="47"/>
      <c r="W312" s="47"/>
      <c r="X312" s="47"/>
      <c r="Y312" s="47"/>
      <c r="Z312" s="47"/>
      <c r="AA312" s="47"/>
    </row>
    <row r="313" spans="1:27" ht="15.75" x14ac:dyDescent="0.25">
      <c r="A313" s="20" t="s">
        <v>567</v>
      </c>
      <c r="B313" s="33" t="s">
        <v>249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5"/>
      <c r="P313" s="24" t="s">
        <v>232</v>
      </c>
      <c r="Q313" s="25"/>
      <c r="R313" s="24" t="s">
        <v>450</v>
      </c>
      <c r="S313" s="25"/>
      <c r="T313" s="26"/>
      <c r="U313" s="27"/>
      <c r="V313" s="47"/>
      <c r="W313" s="47"/>
      <c r="X313" s="47"/>
      <c r="Y313" s="47"/>
      <c r="Z313" s="47"/>
      <c r="AA313" s="47"/>
    </row>
    <row r="314" spans="1:27" ht="15.75" x14ac:dyDescent="0.25">
      <c r="A314" s="20" t="s">
        <v>568</v>
      </c>
      <c r="B314" s="33" t="s">
        <v>251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5"/>
      <c r="P314" s="24" t="s">
        <v>232</v>
      </c>
      <c r="Q314" s="25"/>
      <c r="R314" s="24" t="s">
        <v>450</v>
      </c>
      <c r="S314" s="25"/>
      <c r="T314" s="26"/>
      <c r="U314" s="27"/>
      <c r="V314" s="47"/>
      <c r="W314" s="47"/>
      <c r="X314" s="47"/>
      <c r="Y314" s="47"/>
      <c r="Z314" s="47"/>
      <c r="AA314" s="47"/>
    </row>
    <row r="315" spans="1:27" ht="15.75" x14ac:dyDescent="0.25">
      <c r="A315" s="20" t="s">
        <v>569</v>
      </c>
      <c r="B315" s="33" t="s">
        <v>253</v>
      </c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5"/>
      <c r="P315" s="24" t="s">
        <v>36</v>
      </c>
      <c r="Q315" s="25"/>
      <c r="R315" s="24" t="s">
        <v>36</v>
      </c>
      <c r="S315" s="25"/>
      <c r="T315" s="26"/>
      <c r="U315" s="27"/>
      <c r="V315" s="47"/>
      <c r="W315" s="47"/>
      <c r="X315" s="47"/>
      <c r="Y315" s="47"/>
      <c r="Z315" s="47"/>
      <c r="AA315" s="47"/>
    </row>
    <row r="316" spans="1:27" ht="15.75" x14ac:dyDescent="0.25">
      <c r="A316" s="20" t="s">
        <v>570</v>
      </c>
      <c r="B316" s="33" t="s">
        <v>255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5"/>
      <c r="P316" s="24" t="s">
        <v>232</v>
      </c>
      <c r="Q316" s="25"/>
      <c r="R316" s="24" t="s">
        <v>450</v>
      </c>
      <c r="S316" s="25"/>
      <c r="T316" s="26"/>
      <c r="U316" s="27"/>
      <c r="V316" s="47"/>
      <c r="W316" s="47"/>
      <c r="X316" s="47"/>
      <c r="Y316" s="47"/>
      <c r="Z316" s="47"/>
      <c r="AA316" s="47"/>
    </row>
    <row r="317" spans="1:27" ht="15.75" x14ac:dyDescent="0.25">
      <c r="A317" s="20" t="s">
        <v>571</v>
      </c>
      <c r="B317" s="33" t="s">
        <v>257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5"/>
      <c r="P317" s="24" t="s">
        <v>232</v>
      </c>
      <c r="Q317" s="25"/>
      <c r="R317" s="24" t="s">
        <v>450</v>
      </c>
      <c r="S317" s="25"/>
      <c r="T317" s="26"/>
      <c r="U317" s="27"/>
      <c r="V317" s="47"/>
      <c r="W317" s="47"/>
      <c r="X317" s="47"/>
      <c r="Y317" s="47"/>
      <c r="Z317" s="47"/>
      <c r="AA317" s="47"/>
    </row>
    <row r="318" spans="1:27" ht="15.75" x14ac:dyDescent="0.25">
      <c r="A318" s="20" t="s">
        <v>572</v>
      </c>
      <c r="B318" s="33" t="s">
        <v>262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5"/>
      <c r="P318" s="24" t="s">
        <v>17</v>
      </c>
      <c r="Q318" s="25"/>
      <c r="R318" s="24" t="s">
        <v>573</v>
      </c>
      <c r="S318" s="25"/>
      <c r="T318" s="26"/>
      <c r="U318" s="27"/>
      <c r="V318" s="47"/>
      <c r="W318" s="47"/>
      <c r="X318" s="47"/>
      <c r="Y318" s="47"/>
      <c r="Z318" s="47"/>
      <c r="AA318" s="47"/>
    </row>
    <row r="319" spans="1:27" ht="32.450000000000003" customHeight="1" x14ac:dyDescent="0.25">
      <c r="A319" s="17" t="s">
        <v>574</v>
      </c>
      <c r="B319" s="30" t="s">
        <v>575</v>
      </c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2"/>
      <c r="P319" s="24" t="s">
        <v>36</v>
      </c>
      <c r="Q319" s="25"/>
      <c r="R319" s="24" t="s">
        <v>36</v>
      </c>
      <c r="S319" s="25"/>
      <c r="T319" s="26"/>
      <c r="U319" s="27"/>
      <c r="V319" s="47"/>
      <c r="W319" s="47"/>
      <c r="X319" s="47"/>
      <c r="Y319" s="47"/>
      <c r="Z319" s="47"/>
      <c r="AA319" s="47"/>
    </row>
    <row r="320" spans="1:27" ht="16.5" thickBot="1" x14ac:dyDescent="0.3">
      <c r="A320" s="17" t="s">
        <v>576</v>
      </c>
      <c r="B320" s="30" t="s">
        <v>267</v>
      </c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2"/>
      <c r="P320" s="24" t="s">
        <v>36</v>
      </c>
      <c r="Q320" s="25"/>
      <c r="R320" s="24" t="s">
        <v>36</v>
      </c>
      <c r="S320" s="25"/>
      <c r="T320" s="26"/>
      <c r="U320" s="27"/>
      <c r="V320" s="47"/>
      <c r="W320" s="47"/>
      <c r="X320" s="47"/>
      <c r="Y320" s="47"/>
      <c r="Z320" s="47"/>
      <c r="AA320" s="47"/>
    </row>
    <row r="321" spans="1:27" ht="30" customHeight="1" thickBot="1" x14ac:dyDescent="0.3">
      <c r="A321" s="20" t="s">
        <v>577</v>
      </c>
      <c r="B321" s="33" t="s">
        <v>578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5"/>
      <c r="P321" s="24" t="s">
        <v>271</v>
      </c>
      <c r="Q321" s="25"/>
      <c r="R321" s="24" t="str">
        <f>CONCATENATE(X321,"/",ROUND(X321*0.405,2))</f>
        <v>23,4/9,48</v>
      </c>
      <c r="S321" s="25"/>
      <c r="T321" s="26"/>
      <c r="U321" s="27"/>
      <c r="V321" s="47"/>
      <c r="W321" s="47"/>
      <c r="X321" s="49">
        <f>X225-67.4-47.5</f>
        <v>23.399999999999977</v>
      </c>
      <c r="Y321" s="47"/>
      <c r="Z321" s="47"/>
      <c r="AA321" s="47"/>
    </row>
    <row r="322" spans="1:27" ht="15.75" x14ac:dyDescent="0.25">
      <c r="A322" s="20" t="s">
        <v>579</v>
      </c>
      <c r="B322" s="33" t="s">
        <v>129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5"/>
      <c r="P322" s="24" t="s">
        <v>121</v>
      </c>
      <c r="Q322" s="25"/>
      <c r="R322" s="24">
        <f>ROUND(X321*0.405*0.7,2)</f>
        <v>6.63</v>
      </c>
      <c r="S322" s="25"/>
      <c r="T322" s="26"/>
      <c r="U322" s="27"/>
      <c r="V322" s="47"/>
      <c r="W322" s="47"/>
      <c r="X322" s="47"/>
      <c r="Y322" s="47"/>
      <c r="Z322" s="47"/>
      <c r="AA322" s="47"/>
    </row>
    <row r="323" spans="1:27" ht="15.75" x14ac:dyDescent="0.25">
      <c r="A323" s="20" t="s">
        <v>580</v>
      </c>
      <c r="B323" s="33" t="s">
        <v>131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5"/>
      <c r="P323" s="24" t="s">
        <v>121</v>
      </c>
      <c r="Q323" s="25"/>
      <c r="R323" s="24">
        <f>ROUND(X321*0.405*0.3,2)</f>
        <v>2.84</v>
      </c>
      <c r="S323" s="25"/>
      <c r="T323" s="26"/>
      <c r="U323" s="27"/>
      <c r="V323" s="47"/>
      <c r="W323" s="47"/>
      <c r="X323" s="47"/>
      <c r="Y323" s="47"/>
      <c r="Z323" s="47"/>
      <c r="AA323" s="47"/>
    </row>
    <row r="324" spans="1:27" ht="15.75" x14ac:dyDescent="0.25">
      <c r="A324" s="20" t="s">
        <v>581</v>
      </c>
      <c r="B324" s="33" t="s">
        <v>133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5"/>
      <c r="P324" s="24" t="s">
        <v>121</v>
      </c>
      <c r="Q324" s="25"/>
      <c r="R324" s="24">
        <f>ROUND(X321*0.405*0.7,2)</f>
        <v>6.63</v>
      </c>
      <c r="S324" s="25"/>
      <c r="T324" s="26"/>
      <c r="U324" s="27"/>
      <c r="V324" s="47"/>
      <c r="W324" s="47"/>
      <c r="X324" s="47"/>
      <c r="Y324" s="47"/>
      <c r="Z324" s="47"/>
      <c r="AA324" s="47"/>
    </row>
    <row r="325" spans="1:27" ht="15.75" x14ac:dyDescent="0.25">
      <c r="A325" s="20" t="s">
        <v>582</v>
      </c>
      <c r="B325" s="33" t="s">
        <v>135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5"/>
      <c r="P325" s="24" t="s">
        <v>121</v>
      </c>
      <c r="Q325" s="25"/>
      <c r="R325" s="24">
        <f>ROUND(X321*0.405*0.3,2)</f>
        <v>2.84</v>
      </c>
      <c r="S325" s="25"/>
      <c r="T325" s="26"/>
      <c r="U325" s="27"/>
      <c r="V325" s="47"/>
      <c r="W325" s="47"/>
      <c r="X325" s="47"/>
      <c r="Y325" s="47"/>
      <c r="Z325" s="47"/>
      <c r="AA325" s="47"/>
    </row>
    <row r="326" spans="1:27" ht="15.75" x14ac:dyDescent="0.25">
      <c r="A326" s="20" t="s">
        <v>583</v>
      </c>
      <c r="B326" s="33" t="s">
        <v>279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5"/>
      <c r="P326" s="24" t="s">
        <v>121</v>
      </c>
      <c r="Q326" s="25"/>
      <c r="R326" s="39">
        <f>R325*0.1</f>
        <v>0.28399999999999997</v>
      </c>
      <c r="S326" s="40"/>
      <c r="T326" s="41"/>
      <c r="U326" s="27"/>
      <c r="V326" s="47"/>
      <c r="W326" s="47"/>
      <c r="X326" s="47"/>
      <c r="Y326" s="47"/>
      <c r="Z326" s="47"/>
      <c r="AA326" s="47"/>
    </row>
    <row r="327" spans="1:27" ht="15.75" x14ac:dyDescent="0.25">
      <c r="A327" s="20" t="s">
        <v>584</v>
      </c>
      <c r="B327" s="33" t="s">
        <v>281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5"/>
      <c r="P327" s="24" t="s">
        <v>121</v>
      </c>
      <c r="Q327" s="25"/>
      <c r="R327" s="24" t="s">
        <v>282</v>
      </c>
      <c r="S327" s="25"/>
      <c r="T327" s="26"/>
      <c r="U327" s="27"/>
      <c r="V327" s="47"/>
      <c r="W327" s="47"/>
      <c r="X327" s="47"/>
      <c r="Y327" s="47"/>
      <c r="Z327" s="47"/>
      <c r="AA327" s="47"/>
    </row>
    <row r="328" spans="1:27" ht="36.75" customHeight="1" x14ac:dyDescent="0.25">
      <c r="A328" s="20" t="s">
        <v>585</v>
      </c>
      <c r="B328" s="33" t="s">
        <v>284</v>
      </c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5"/>
      <c r="P328" s="24" t="s">
        <v>121</v>
      </c>
      <c r="Q328" s="25"/>
      <c r="R328" s="24">
        <f>0.4*0.15*X321</f>
        <v>1.4039999999999986</v>
      </c>
      <c r="S328" s="25"/>
      <c r="T328" s="26"/>
      <c r="U328" s="27"/>
      <c r="V328" s="47"/>
      <c r="W328" s="47"/>
      <c r="X328" s="47"/>
      <c r="Y328" s="47"/>
      <c r="Z328" s="47"/>
      <c r="AA328" s="47"/>
    </row>
    <row r="329" spans="1:27" ht="15.75" x14ac:dyDescent="0.25">
      <c r="A329" s="20" t="s">
        <v>586</v>
      </c>
      <c r="B329" s="33" t="s">
        <v>286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5"/>
      <c r="P329" s="24" t="s">
        <v>287</v>
      </c>
      <c r="Q329" s="25"/>
      <c r="R329" s="24">
        <f>X321*0.4</f>
        <v>9.3599999999999905</v>
      </c>
      <c r="S329" s="25"/>
      <c r="T329" s="26"/>
      <c r="U329" s="27"/>
      <c r="V329" s="47"/>
      <c r="W329" s="47"/>
      <c r="X329" s="47"/>
      <c r="Y329" s="47"/>
      <c r="Z329" s="47"/>
      <c r="AA329" s="47"/>
    </row>
    <row r="330" spans="1:27" ht="30.6" customHeight="1" x14ac:dyDescent="0.25">
      <c r="A330" s="20" t="s">
        <v>587</v>
      </c>
      <c r="B330" s="33" t="s">
        <v>295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5"/>
      <c r="P330" s="24" t="s">
        <v>155</v>
      </c>
      <c r="Q330" s="25"/>
      <c r="R330" s="24">
        <f>(X321)*1.02</f>
        <v>23.867999999999977</v>
      </c>
      <c r="S330" s="25"/>
      <c r="T330" s="26"/>
      <c r="U330" s="27"/>
      <c r="V330" s="47"/>
      <c r="W330" s="47"/>
      <c r="X330" s="47"/>
      <c r="Y330" s="47"/>
      <c r="Z330" s="47"/>
      <c r="AA330" s="47"/>
    </row>
    <row r="331" spans="1:27" ht="15.75" x14ac:dyDescent="0.25">
      <c r="A331" s="20" t="s">
        <v>588</v>
      </c>
      <c r="B331" s="33" t="s">
        <v>589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5"/>
      <c r="P331" s="24" t="s">
        <v>155</v>
      </c>
      <c r="Q331" s="25"/>
      <c r="R331" s="24">
        <f>47.5</f>
        <v>47.5</v>
      </c>
      <c r="S331" s="25"/>
      <c r="T331" s="26"/>
      <c r="U331" s="27"/>
      <c r="V331" s="47"/>
      <c r="W331" s="47"/>
      <c r="X331" s="47"/>
      <c r="Y331" s="47"/>
      <c r="Z331" s="47"/>
      <c r="AA331" s="47"/>
    </row>
    <row r="332" spans="1:27" ht="15.75" x14ac:dyDescent="0.25">
      <c r="A332" s="20" t="s">
        <v>590</v>
      </c>
      <c r="B332" s="33" t="s">
        <v>299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5"/>
      <c r="P332" s="24" t="s">
        <v>24</v>
      </c>
      <c r="Q332" s="25"/>
      <c r="R332" s="24" t="s">
        <v>327</v>
      </c>
      <c r="S332" s="25"/>
      <c r="T332" s="26"/>
      <c r="U332" s="27"/>
      <c r="V332" s="47"/>
      <c r="W332" s="47"/>
      <c r="X332" s="47"/>
      <c r="Y332" s="47"/>
      <c r="Z332" s="47"/>
      <c r="AA332" s="47"/>
    </row>
    <row r="333" spans="1:27" ht="15.75" x14ac:dyDescent="0.25">
      <c r="A333" s="20" t="s">
        <v>591</v>
      </c>
      <c r="B333" s="33" t="s">
        <v>592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5"/>
      <c r="P333" s="24" t="s">
        <v>121</v>
      </c>
      <c r="Q333" s="25"/>
      <c r="R333" s="24">
        <f>R328</f>
        <v>1.4039999999999986</v>
      </c>
      <c r="S333" s="25"/>
      <c r="T333" s="26"/>
      <c r="U333" s="27"/>
      <c r="V333" s="47"/>
      <c r="W333" s="47"/>
      <c r="X333" s="47"/>
      <c r="Y333" s="47"/>
      <c r="Z333" s="47"/>
      <c r="AA333" s="47"/>
    </row>
    <row r="334" spans="1:27" ht="15.75" x14ac:dyDescent="0.25">
      <c r="A334" s="20" t="s">
        <v>593</v>
      </c>
      <c r="B334" s="33" t="s">
        <v>305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5"/>
      <c r="P334" s="24" t="s">
        <v>287</v>
      </c>
      <c r="Q334" s="25"/>
      <c r="R334" s="24">
        <f>R329</f>
        <v>9.3599999999999905</v>
      </c>
      <c r="S334" s="25"/>
      <c r="T334" s="26"/>
      <c r="U334" s="27"/>
      <c r="V334" s="47"/>
      <c r="W334" s="47"/>
      <c r="X334" s="47"/>
      <c r="Y334" s="47"/>
      <c r="Z334" s="47"/>
      <c r="AA334" s="47"/>
    </row>
    <row r="335" spans="1:27" ht="32.25" customHeight="1" x14ac:dyDescent="0.25">
      <c r="A335" s="20" t="s">
        <v>594</v>
      </c>
      <c r="B335" s="33" t="s">
        <v>307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5"/>
      <c r="P335" s="24" t="s">
        <v>308</v>
      </c>
      <c r="Q335" s="25"/>
      <c r="R335" s="24">
        <f>ROUND(X321/0.48,0)</f>
        <v>49</v>
      </c>
      <c r="S335" s="25"/>
      <c r="T335" s="26"/>
      <c r="U335" s="27"/>
      <c r="V335" s="47"/>
      <c r="W335" s="47"/>
      <c r="X335" s="47"/>
      <c r="Y335" s="47"/>
      <c r="Z335" s="47"/>
      <c r="AA335" s="47"/>
    </row>
    <row r="336" spans="1:27" ht="15.75" x14ac:dyDescent="0.25">
      <c r="A336" s="20" t="s">
        <v>595</v>
      </c>
      <c r="B336" s="33" t="s">
        <v>310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5"/>
      <c r="P336" s="24" t="s">
        <v>121</v>
      </c>
      <c r="Q336" s="25"/>
      <c r="R336" s="24">
        <f>ROUND(X321*0.405,2)-R328-R333</f>
        <v>6.6720000000000041</v>
      </c>
      <c r="S336" s="25"/>
      <c r="T336" s="26"/>
      <c r="U336" s="27"/>
      <c r="V336" s="47"/>
      <c r="W336" s="47"/>
      <c r="X336" s="47"/>
      <c r="Y336" s="47"/>
      <c r="Z336" s="47"/>
      <c r="AA336" s="47"/>
    </row>
    <row r="337" spans="1:27" ht="15.75" x14ac:dyDescent="0.25">
      <c r="A337" s="20" t="s">
        <v>596</v>
      </c>
      <c r="B337" s="33" t="s">
        <v>129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5"/>
      <c r="P337" s="24" t="s">
        <v>121</v>
      </c>
      <c r="Q337" s="25"/>
      <c r="R337" s="39">
        <f>R336*0.7</f>
        <v>4.6704000000000025</v>
      </c>
      <c r="S337" s="40"/>
      <c r="T337" s="41"/>
      <c r="U337" s="27"/>
      <c r="V337" s="47"/>
      <c r="W337" s="47"/>
      <c r="X337" s="47"/>
      <c r="Y337" s="47"/>
      <c r="Z337" s="47"/>
      <c r="AA337" s="47"/>
    </row>
    <row r="338" spans="1:27" ht="15.75" x14ac:dyDescent="0.25">
      <c r="A338" s="20" t="s">
        <v>597</v>
      </c>
      <c r="B338" s="33" t="s">
        <v>131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5"/>
      <c r="P338" s="24" t="s">
        <v>121</v>
      </c>
      <c r="Q338" s="25"/>
      <c r="R338" s="39">
        <f>R336*0.3</f>
        <v>2.0016000000000012</v>
      </c>
      <c r="S338" s="40"/>
      <c r="T338" s="41"/>
      <c r="U338" s="27"/>
      <c r="V338" s="47"/>
      <c r="W338" s="47"/>
      <c r="X338" s="47"/>
      <c r="Y338" s="47"/>
      <c r="Z338" s="47"/>
      <c r="AA338" s="47"/>
    </row>
    <row r="339" spans="1:27" ht="15.75" x14ac:dyDescent="0.25">
      <c r="A339" s="20" t="s">
        <v>598</v>
      </c>
      <c r="B339" s="33" t="s">
        <v>599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5"/>
      <c r="P339" s="24" t="s">
        <v>287</v>
      </c>
      <c r="Q339" s="25"/>
      <c r="R339" s="24">
        <f>0.6*X321</f>
        <v>14.039999999999987</v>
      </c>
      <c r="S339" s="25"/>
      <c r="T339" s="26"/>
      <c r="U339" s="27"/>
      <c r="V339" s="47"/>
      <c r="W339" s="47"/>
      <c r="X339" s="47"/>
      <c r="Y339" s="47"/>
      <c r="Z339" s="47"/>
      <c r="AA339" s="47"/>
    </row>
    <row r="340" spans="1:27" ht="33.6" customHeight="1" x14ac:dyDescent="0.25">
      <c r="A340" s="20" t="s">
        <v>600</v>
      </c>
      <c r="B340" s="33" t="s">
        <v>316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5"/>
      <c r="P340" s="24" t="s">
        <v>43</v>
      </c>
      <c r="Q340" s="25"/>
      <c r="R340" s="39">
        <f>(ROUND(X321*0.405,2)-R336)*1.8</f>
        <v>5.0543999999999931</v>
      </c>
      <c r="S340" s="40"/>
      <c r="T340" s="41"/>
      <c r="U340" s="27"/>
      <c r="V340" s="47"/>
      <c r="W340" s="47"/>
      <c r="X340" s="47"/>
      <c r="Y340" s="47"/>
      <c r="Z340" s="47"/>
      <c r="AA340" s="47"/>
    </row>
    <row r="341" spans="1:27" ht="46.9" customHeight="1" x14ac:dyDescent="0.25">
      <c r="A341" s="20" t="s">
        <v>601</v>
      </c>
      <c r="B341" s="33" t="s">
        <v>318</v>
      </c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5"/>
      <c r="P341" s="24" t="s">
        <v>43</v>
      </c>
      <c r="Q341" s="25"/>
      <c r="R341" s="39">
        <f>R340</f>
        <v>5.0543999999999931</v>
      </c>
      <c r="S341" s="25"/>
      <c r="T341" s="26"/>
      <c r="U341" s="27"/>
      <c r="V341" s="47"/>
      <c r="W341" s="47"/>
      <c r="X341" s="47"/>
      <c r="Y341" s="47"/>
      <c r="Z341" s="47"/>
      <c r="AA341" s="47"/>
    </row>
    <row r="342" spans="1:27" ht="55.5" customHeight="1" x14ac:dyDescent="0.25">
      <c r="A342" s="20" t="s">
        <v>602</v>
      </c>
      <c r="B342" s="33" t="s">
        <v>603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5"/>
      <c r="P342" s="24" t="s">
        <v>155</v>
      </c>
      <c r="Q342" s="25"/>
      <c r="R342" s="24">
        <v>20</v>
      </c>
      <c r="S342" s="25"/>
      <c r="T342" s="26"/>
      <c r="U342" s="27"/>
      <c r="V342" s="47"/>
      <c r="W342" s="47"/>
      <c r="X342" s="47"/>
      <c r="Y342" s="47"/>
      <c r="Z342" s="47"/>
      <c r="AA342" s="47"/>
    </row>
    <row r="343" spans="1:27" ht="15.75" x14ac:dyDescent="0.25">
      <c r="A343" s="20" t="s">
        <v>604</v>
      </c>
      <c r="B343" s="33" t="s">
        <v>605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5"/>
      <c r="P343" s="24" t="s">
        <v>155</v>
      </c>
      <c r="Q343" s="25"/>
      <c r="R343" s="24">
        <v>5</v>
      </c>
      <c r="S343" s="25"/>
      <c r="T343" s="26"/>
      <c r="U343" s="27"/>
      <c r="V343" s="47"/>
      <c r="W343" s="47"/>
      <c r="X343" s="47"/>
      <c r="Y343" s="47"/>
      <c r="Z343" s="47"/>
      <c r="AA343" s="47"/>
    </row>
    <row r="344" spans="1:27" ht="47.25" customHeight="1" x14ac:dyDescent="0.25">
      <c r="A344" s="20" t="s">
        <v>606</v>
      </c>
      <c r="B344" s="33" t="s">
        <v>324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5"/>
      <c r="P344" s="24" t="s">
        <v>155</v>
      </c>
      <c r="Q344" s="25"/>
      <c r="R344" s="24">
        <v>20</v>
      </c>
      <c r="S344" s="25"/>
      <c r="T344" s="26"/>
      <c r="U344" s="27"/>
      <c r="V344" s="47"/>
      <c r="W344" s="47"/>
      <c r="X344" s="47"/>
      <c r="Y344" s="47"/>
      <c r="Z344" s="47"/>
      <c r="AA344" s="47"/>
    </row>
    <row r="345" spans="1:27" ht="15.75" x14ac:dyDescent="0.25">
      <c r="A345" s="20" t="s">
        <v>607</v>
      </c>
      <c r="B345" s="33" t="s">
        <v>326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5"/>
      <c r="P345" s="24" t="s">
        <v>155</v>
      </c>
      <c r="Q345" s="25"/>
      <c r="R345" s="24" t="s">
        <v>327</v>
      </c>
      <c r="S345" s="25"/>
      <c r="T345" s="26"/>
      <c r="U345" s="27"/>
      <c r="V345" s="47"/>
      <c r="W345" s="47"/>
      <c r="X345" s="47"/>
      <c r="Y345" s="47"/>
      <c r="Z345" s="47"/>
      <c r="AA345" s="47"/>
    </row>
    <row r="346" spans="1:27" ht="48.6" customHeight="1" x14ac:dyDescent="0.25">
      <c r="A346" s="20" t="s">
        <v>608</v>
      </c>
      <c r="B346" s="33" t="s">
        <v>331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5"/>
      <c r="P346" s="24" t="s">
        <v>332</v>
      </c>
      <c r="Q346" s="25"/>
      <c r="R346" s="24" t="s">
        <v>390</v>
      </c>
      <c r="S346" s="25"/>
      <c r="T346" s="26"/>
      <c r="U346" s="27"/>
      <c r="V346" s="47"/>
      <c r="W346" s="47"/>
      <c r="X346" s="47"/>
      <c r="Y346" s="47"/>
      <c r="Z346" s="47"/>
      <c r="AA346" s="47"/>
    </row>
    <row r="347" spans="1:27" ht="48" customHeight="1" x14ac:dyDescent="0.25">
      <c r="A347" s="20" t="s">
        <v>609</v>
      </c>
      <c r="B347" s="33" t="s">
        <v>334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5"/>
      <c r="P347" s="24" t="s">
        <v>332</v>
      </c>
      <c r="Q347" s="25"/>
      <c r="R347" s="24" t="s">
        <v>390</v>
      </c>
      <c r="S347" s="25"/>
      <c r="T347" s="26"/>
      <c r="U347" s="27"/>
      <c r="V347" s="47"/>
      <c r="W347" s="47"/>
      <c r="X347" s="47"/>
      <c r="Y347" s="47"/>
      <c r="Z347" s="47"/>
      <c r="AA347" s="47"/>
    </row>
    <row r="348" spans="1:27" ht="15.75" x14ac:dyDescent="0.25">
      <c r="A348" s="20" t="s">
        <v>610</v>
      </c>
      <c r="B348" s="33" t="s">
        <v>338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5"/>
      <c r="P348" s="24" t="s">
        <v>308</v>
      </c>
      <c r="Q348" s="25"/>
      <c r="R348" s="24" t="s">
        <v>611</v>
      </c>
      <c r="S348" s="25"/>
      <c r="T348" s="26"/>
      <c r="U348" s="27"/>
      <c r="V348" s="47"/>
      <c r="W348" s="47"/>
      <c r="X348" s="47"/>
      <c r="Y348" s="47"/>
      <c r="Z348" s="47"/>
      <c r="AA348" s="47"/>
    </row>
    <row r="349" spans="1:27" ht="15.75" x14ac:dyDescent="0.25">
      <c r="A349" s="20" t="s">
        <v>612</v>
      </c>
      <c r="B349" s="33" t="s">
        <v>340</v>
      </c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5"/>
      <c r="P349" s="24" t="s">
        <v>308</v>
      </c>
      <c r="Q349" s="25"/>
      <c r="R349" s="24" t="s">
        <v>450</v>
      </c>
      <c r="S349" s="25"/>
      <c r="T349" s="26"/>
      <c r="U349" s="27"/>
      <c r="V349" s="47"/>
      <c r="W349" s="47"/>
      <c r="X349" s="47"/>
      <c r="Y349" s="47"/>
      <c r="Z349" s="47"/>
      <c r="AA349" s="47"/>
    </row>
    <row r="350" spans="1:27" ht="18" customHeight="1" x14ac:dyDescent="0.25">
      <c r="A350" s="20" t="s">
        <v>613</v>
      </c>
      <c r="B350" s="33" t="s">
        <v>614</v>
      </c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5"/>
      <c r="P350" s="24" t="s">
        <v>308</v>
      </c>
      <c r="Q350" s="25"/>
      <c r="R350" s="24" t="s">
        <v>450</v>
      </c>
      <c r="S350" s="25"/>
      <c r="T350" s="26"/>
      <c r="U350" s="27"/>
      <c r="V350" s="47"/>
      <c r="W350" s="47"/>
      <c r="X350" s="47"/>
      <c r="Y350" s="47"/>
      <c r="Z350" s="47"/>
      <c r="AA350" s="47"/>
    </row>
    <row r="351" spans="1:27" ht="15.75" x14ac:dyDescent="0.25">
      <c r="A351" s="20" t="s">
        <v>615</v>
      </c>
      <c r="B351" s="33" t="s">
        <v>344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5"/>
      <c r="P351" s="24" t="s">
        <v>308</v>
      </c>
      <c r="Q351" s="25"/>
      <c r="R351" s="24" t="s">
        <v>348</v>
      </c>
      <c r="S351" s="25"/>
      <c r="T351" s="26"/>
      <c r="U351" s="27"/>
      <c r="V351" s="47"/>
      <c r="W351" s="47"/>
      <c r="X351" s="47"/>
      <c r="Y351" s="47"/>
      <c r="Z351" s="47"/>
      <c r="AA351" s="47"/>
    </row>
    <row r="352" spans="1:27" ht="15.75" x14ac:dyDescent="0.25">
      <c r="A352" s="20" t="s">
        <v>616</v>
      </c>
      <c r="B352" s="33" t="s">
        <v>347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5"/>
      <c r="P352" s="24" t="s">
        <v>24</v>
      </c>
      <c r="Q352" s="25"/>
      <c r="R352" s="24" t="s">
        <v>390</v>
      </c>
      <c r="S352" s="25"/>
      <c r="T352" s="26"/>
      <c r="U352" s="27"/>
      <c r="V352" s="47"/>
      <c r="W352" s="47"/>
      <c r="X352" s="47"/>
      <c r="Y352" s="47"/>
      <c r="Z352" s="47"/>
      <c r="AA352" s="47"/>
    </row>
    <row r="353" spans="1:27" ht="31.15" customHeight="1" x14ac:dyDescent="0.25">
      <c r="A353" s="17" t="s">
        <v>617</v>
      </c>
      <c r="B353" s="30" t="s">
        <v>350</v>
      </c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2"/>
      <c r="P353" s="24" t="s">
        <v>36</v>
      </c>
      <c r="Q353" s="25"/>
      <c r="R353" s="24" t="s">
        <v>36</v>
      </c>
      <c r="S353" s="25"/>
      <c r="T353" s="26"/>
      <c r="U353" s="27"/>
      <c r="V353" s="47"/>
      <c r="W353" s="47"/>
      <c r="X353" s="47"/>
      <c r="Y353" s="47"/>
      <c r="Z353" s="47"/>
      <c r="AA353" s="47"/>
    </row>
    <row r="354" spans="1:27" ht="21.6" customHeight="1" x14ac:dyDescent="0.25">
      <c r="A354" s="17" t="s">
        <v>618</v>
      </c>
      <c r="B354" s="30" t="s">
        <v>619</v>
      </c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2"/>
      <c r="P354" s="24" t="s">
        <v>36</v>
      </c>
      <c r="Q354" s="25"/>
      <c r="R354" s="24" t="s">
        <v>36</v>
      </c>
      <c r="S354" s="25"/>
      <c r="T354" s="26"/>
      <c r="U354" s="27"/>
      <c r="V354" s="47"/>
      <c r="W354" s="47"/>
      <c r="X354" s="47"/>
      <c r="Y354" s="47"/>
      <c r="Z354" s="47"/>
      <c r="AA354" s="47"/>
    </row>
    <row r="355" spans="1:27" ht="15.75" x14ac:dyDescent="0.25">
      <c r="A355" s="20" t="s">
        <v>620</v>
      </c>
      <c r="B355" s="33" t="s">
        <v>387</v>
      </c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5"/>
      <c r="P355" s="24" t="s">
        <v>155</v>
      </c>
      <c r="Q355" s="25"/>
      <c r="R355" s="24">
        <v>67.400000000000006</v>
      </c>
      <c r="S355" s="25"/>
      <c r="T355" s="26"/>
      <c r="U355" s="27"/>
      <c r="V355" s="47"/>
      <c r="W355" s="47"/>
      <c r="X355" s="47"/>
      <c r="Y355" s="47"/>
      <c r="Z355" s="47"/>
      <c r="AA355" s="47"/>
    </row>
    <row r="356" spans="1:27" ht="15.75" x14ac:dyDescent="0.25">
      <c r="A356" s="20" t="s">
        <v>621</v>
      </c>
      <c r="B356" s="33" t="s">
        <v>622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5"/>
      <c r="P356" s="24" t="s">
        <v>24</v>
      </c>
      <c r="Q356" s="25"/>
      <c r="R356" s="24">
        <v>6</v>
      </c>
      <c r="S356" s="25"/>
      <c r="T356" s="26"/>
      <c r="U356" s="27"/>
      <c r="V356" s="47"/>
      <c r="W356" s="47"/>
      <c r="X356" s="47"/>
      <c r="Y356" s="47"/>
      <c r="Z356" s="47"/>
      <c r="AA356" s="47"/>
    </row>
    <row r="357" spans="1:27" ht="15.75" x14ac:dyDescent="0.25">
      <c r="A357" s="17" t="s">
        <v>623</v>
      </c>
      <c r="B357" s="30" t="s">
        <v>439</v>
      </c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2"/>
      <c r="P357" s="24" t="s">
        <v>36</v>
      </c>
      <c r="Q357" s="25"/>
      <c r="R357" s="24" t="s">
        <v>36</v>
      </c>
      <c r="S357" s="25"/>
      <c r="T357" s="26"/>
      <c r="U357" s="27"/>
      <c r="V357" s="47"/>
      <c r="W357" s="47"/>
      <c r="X357" s="47"/>
      <c r="Y357" s="47"/>
      <c r="Z357" s="47"/>
      <c r="AA357" s="47"/>
    </row>
    <row r="358" spans="1:27" ht="15.75" x14ac:dyDescent="0.25">
      <c r="A358" s="20" t="s">
        <v>624</v>
      </c>
      <c r="B358" s="33" t="s">
        <v>441</v>
      </c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5"/>
      <c r="P358" s="24" t="s">
        <v>24</v>
      </c>
      <c r="Q358" s="25"/>
      <c r="R358" s="24" t="s">
        <v>450</v>
      </c>
      <c r="S358" s="25"/>
      <c r="T358" s="26"/>
      <c r="U358" s="27"/>
      <c r="V358" s="47"/>
      <c r="W358" s="47"/>
      <c r="X358" s="47"/>
      <c r="Y358" s="47"/>
      <c r="Z358" s="47"/>
      <c r="AA358" s="47"/>
    </row>
    <row r="359" spans="1:27" ht="15.75" x14ac:dyDescent="0.25">
      <c r="A359" s="20" t="s">
        <v>625</v>
      </c>
      <c r="B359" s="33" t="s">
        <v>443</v>
      </c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5"/>
      <c r="P359" s="24" t="s">
        <v>232</v>
      </c>
      <c r="Q359" s="25"/>
      <c r="R359" s="24" t="s">
        <v>450</v>
      </c>
      <c r="S359" s="25"/>
      <c r="T359" s="26"/>
      <c r="U359" s="27"/>
      <c r="V359" s="47"/>
      <c r="W359" s="47"/>
      <c r="X359" s="47"/>
      <c r="Y359" s="47"/>
      <c r="Z359" s="47"/>
      <c r="AA359" s="47"/>
    </row>
    <row r="360" spans="1:27" ht="15.75" x14ac:dyDescent="0.25">
      <c r="A360" s="20" t="s">
        <v>626</v>
      </c>
      <c r="B360" s="33" t="s">
        <v>445</v>
      </c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5"/>
      <c r="P360" s="24" t="s">
        <v>232</v>
      </c>
      <c r="Q360" s="25"/>
      <c r="R360" s="24" t="s">
        <v>450</v>
      </c>
      <c r="S360" s="25"/>
      <c r="T360" s="26"/>
      <c r="U360" s="27"/>
      <c r="V360" s="47"/>
      <c r="W360" s="47"/>
      <c r="X360" s="47"/>
      <c r="Y360" s="47"/>
      <c r="Z360" s="47"/>
      <c r="AA360" s="47"/>
    </row>
    <row r="361" spans="1:27" ht="15.75" x14ac:dyDescent="0.25">
      <c r="A361" s="20" t="s">
        <v>627</v>
      </c>
      <c r="B361" s="33" t="s">
        <v>447</v>
      </c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5"/>
      <c r="P361" s="24" t="s">
        <v>24</v>
      </c>
      <c r="Q361" s="25"/>
      <c r="R361" s="24" t="s">
        <v>450</v>
      </c>
      <c r="S361" s="25"/>
      <c r="T361" s="26"/>
      <c r="U361" s="27"/>
      <c r="V361" s="47"/>
      <c r="W361" s="47"/>
      <c r="X361" s="47"/>
      <c r="Y361" s="47"/>
      <c r="Z361" s="47"/>
      <c r="AA361" s="47"/>
    </row>
    <row r="362" spans="1:27" ht="15.75" x14ac:dyDescent="0.25">
      <c r="A362" s="20" t="s">
        <v>628</v>
      </c>
      <c r="B362" s="33" t="s">
        <v>449</v>
      </c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5"/>
      <c r="P362" s="24" t="s">
        <v>232</v>
      </c>
      <c r="Q362" s="25"/>
      <c r="R362" s="24" t="s">
        <v>327</v>
      </c>
      <c r="S362" s="25"/>
      <c r="T362" s="26"/>
      <c r="U362" s="27"/>
      <c r="V362" s="47"/>
      <c r="W362" s="47"/>
      <c r="X362" s="47"/>
      <c r="Y362" s="47"/>
      <c r="Z362" s="47"/>
      <c r="AA362" s="47"/>
    </row>
    <row r="363" spans="1:27" ht="15.75" x14ac:dyDescent="0.25">
      <c r="A363" s="20" t="s">
        <v>629</v>
      </c>
      <c r="B363" s="33" t="s">
        <v>452</v>
      </c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5"/>
      <c r="P363" s="24" t="s">
        <v>236</v>
      </c>
      <c r="Q363" s="25"/>
      <c r="R363" s="24" t="s">
        <v>630</v>
      </c>
      <c r="S363" s="25"/>
      <c r="T363" s="26"/>
      <c r="U363" s="27"/>
      <c r="V363" s="47"/>
      <c r="W363" s="47"/>
      <c r="X363" s="47"/>
      <c r="Y363" s="47"/>
      <c r="Z363" s="47"/>
      <c r="AA363" s="47"/>
    </row>
    <row r="364" spans="1:27" ht="18.600000000000001" customHeight="1" x14ac:dyDescent="0.25">
      <c r="A364" s="17" t="s">
        <v>631</v>
      </c>
      <c r="B364" s="30" t="s">
        <v>455</v>
      </c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2"/>
      <c r="P364" s="24" t="s">
        <v>17</v>
      </c>
      <c r="Q364" s="25"/>
      <c r="R364" s="24">
        <f>R223</f>
        <v>0.17800999999999997</v>
      </c>
      <c r="S364" s="25"/>
      <c r="T364" s="26"/>
      <c r="U364" s="27"/>
      <c r="V364" s="47"/>
      <c r="W364" s="47"/>
      <c r="X364" s="47"/>
      <c r="Y364" s="47"/>
      <c r="Z364" s="47"/>
      <c r="AA364" s="47"/>
    </row>
    <row r="365" spans="1:27" ht="12.75" customHeight="1" x14ac:dyDescent="0.25">
      <c r="A365" s="50">
        <v>1</v>
      </c>
      <c r="B365" s="50">
        <v>2</v>
      </c>
      <c r="C365" s="50"/>
      <c r="D365" s="50"/>
      <c r="E365" s="50"/>
      <c r="F365" s="50"/>
      <c r="G365" s="51"/>
      <c r="H365" s="51"/>
      <c r="I365" s="51"/>
      <c r="J365" s="51"/>
      <c r="K365" s="52"/>
      <c r="L365" s="52"/>
      <c r="M365" s="52"/>
      <c r="N365" s="52"/>
      <c r="O365" s="51"/>
      <c r="P365" s="53"/>
      <c r="Q365" s="50"/>
      <c r="R365" s="50"/>
      <c r="S365" s="50"/>
      <c r="T365" s="50"/>
      <c r="U365" s="54" t="s">
        <v>632</v>
      </c>
    </row>
  </sheetData>
  <autoFilter ref="A365:U365" xr:uid="{CD3A7566-C769-449D-99CA-E579F67CF4AE}">
    <filterColumn colId="10" showButton="0"/>
    <filterColumn colId="11" showButton="0"/>
    <filterColumn colId="12" showButton="0"/>
  </autoFilter>
  <mergeCells count="1077">
    <mergeCell ref="K365:N365"/>
    <mergeCell ref="B363:O363"/>
    <mergeCell ref="P363:Q363"/>
    <mergeCell ref="R363:T363"/>
    <mergeCell ref="B364:O364"/>
    <mergeCell ref="P364:Q364"/>
    <mergeCell ref="R364:T364"/>
    <mergeCell ref="B361:O361"/>
    <mergeCell ref="P361:Q361"/>
    <mergeCell ref="R361:T361"/>
    <mergeCell ref="B362:O362"/>
    <mergeCell ref="P362:Q362"/>
    <mergeCell ref="R362:T362"/>
    <mergeCell ref="B359:O359"/>
    <mergeCell ref="P359:Q359"/>
    <mergeCell ref="R359:T359"/>
    <mergeCell ref="B360:O360"/>
    <mergeCell ref="P360:Q360"/>
    <mergeCell ref="R360:T360"/>
    <mergeCell ref="B357:O357"/>
    <mergeCell ref="P357:Q357"/>
    <mergeCell ref="R357:T357"/>
    <mergeCell ref="B358:O358"/>
    <mergeCell ref="P358:Q358"/>
    <mergeCell ref="R358:T358"/>
    <mergeCell ref="B355:O355"/>
    <mergeCell ref="P355:Q355"/>
    <mergeCell ref="R355:T355"/>
    <mergeCell ref="B356:O356"/>
    <mergeCell ref="P356:Q356"/>
    <mergeCell ref="R356:T356"/>
    <mergeCell ref="B353:O353"/>
    <mergeCell ref="P353:Q353"/>
    <mergeCell ref="R353:T353"/>
    <mergeCell ref="B354:O354"/>
    <mergeCell ref="P354:Q354"/>
    <mergeCell ref="R354:T354"/>
    <mergeCell ref="B351:O351"/>
    <mergeCell ref="P351:Q351"/>
    <mergeCell ref="R351:T351"/>
    <mergeCell ref="B352:O352"/>
    <mergeCell ref="P352:Q352"/>
    <mergeCell ref="R352:T352"/>
    <mergeCell ref="B349:O349"/>
    <mergeCell ref="P349:Q349"/>
    <mergeCell ref="R349:T349"/>
    <mergeCell ref="B350:O350"/>
    <mergeCell ref="P350:Q350"/>
    <mergeCell ref="R350:T350"/>
    <mergeCell ref="B347:O347"/>
    <mergeCell ref="P347:Q347"/>
    <mergeCell ref="R347:T347"/>
    <mergeCell ref="B348:O348"/>
    <mergeCell ref="P348:Q348"/>
    <mergeCell ref="R348:T348"/>
    <mergeCell ref="B345:O345"/>
    <mergeCell ref="P345:Q345"/>
    <mergeCell ref="R345:T345"/>
    <mergeCell ref="B346:O346"/>
    <mergeCell ref="P346:Q346"/>
    <mergeCell ref="R346:T346"/>
    <mergeCell ref="B343:O343"/>
    <mergeCell ref="P343:Q343"/>
    <mergeCell ref="R343:T343"/>
    <mergeCell ref="B344:O344"/>
    <mergeCell ref="P344:Q344"/>
    <mergeCell ref="R344:T344"/>
    <mergeCell ref="B341:O341"/>
    <mergeCell ref="P341:Q341"/>
    <mergeCell ref="R341:T341"/>
    <mergeCell ref="B342:O342"/>
    <mergeCell ref="P342:Q342"/>
    <mergeCell ref="R342:T342"/>
    <mergeCell ref="B339:O339"/>
    <mergeCell ref="P339:Q339"/>
    <mergeCell ref="R339:T339"/>
    <mergeCell ref="B340:O340"/>
    <mergeCell ref="P340:Q340"/>
    <mergeCell ref="R340:T340"/>
    <mergeCell ref="B337:O337"/>
    <mergeCell ref="P337:Q337"/>
    <mergeCell ref="R337:T337"/>
    <mergeCell ref="B338:O338"/>
    <mergeCell ref="P338:Q338"/>
    <mergeCell ref="R338:T338"/>
    <mergeCell ref="B335:O335"/>
    <mergeCell ref="P335:Q335"/>
    <mergeCell ref="R335:T335"/>
    <mergeCell ref="B336:O336"/>
    <mergeCell ref="P336:Q336"/>
    <mergeCell ref="R336:T336"/>
    <mergeCell ref="B333:O333"/>
    <mergeCell ref="P333:Q333"/>
    <mergeCell ref="R333:T333"/>
    <mergeCell ref="B334:O334"/>
    <mergeCell ref="P334:Q334"/>
    <mergeCell ref="R334:T334"/>
    <mergeCell ref="B331:O331"/>
    <mergeCell ref="P331:Q331"/>
    <mergeCell ref="R331:T331"/>
    <mergeCell ref="B332:O332"/>
    <mergeCell ref="P332:Q332"/>
    <mergeCell ref="R332:T332"/>
    <mergeCell ref="B329:O329"/>
    <mergeCell ref="P329:Q329"/>
    <mergeCell ref="R329:T329"/>
    <mergeCell ref="B330:O330"/>
    <mergeCell ref="P330:Q330"/>
    <mergeCell ref="R330:T330"/>
    <mergeCell ref="B327:O327"/>
    <mergeCell ref="P327:Q327"/>
    <mergeCell ref="R327:T327"/>
    <mergeCell ref="B328:O328"/>
    <mergeCell ref="P328:Q328"/>
    <mergeCell ref="R328:T328"/>
    <mergeCell ref="B325:O325"/>
    <mergeCell ref="P325:Q325"/>
    <mergeCell ref="R325:T325"/>
    <mergeCell ref="B326:O326"/>
    <mergeCell ref="P326:Q326"/>
    <mergeCell ref="R326:T326"/>
    <mergeCell ref="B323:O323"/>
    <mergeCell ref="P323:Q323"/>
    <mergeCell ref="R323:T323"/>
    <mergeCell ref="B324:O324"/>
    <mergeCell ref="P324:Q324"/>
    <mergeCell ref="R324:T324"/>
    <mergeCell ref="B321:O321"/>
    <mergeCell ref="P321:Q321"/>
    <mergeCell ref="R321:T321"/>
    <mergeCell ref="B322:O322"/>
    <mergeCell ref="P322:Q322"/>
    <mergeCell ref="R322:T322"/>
    <mergeCell ref="B319:O319"/>
    <mergeCell ref="P319:Q319"/>
    <mergeCell ref="R319:T319"/>
    <mergeCell ref="B320:O320"/>
    <mergeCell ref="P320:Q320"/>
    <mergeCell ref="R320:T320"/>
    <mergeCell ref="B317:O317"/>
    <mergeCell ref="P317:Q317"/>
    <mergeCell ref="R317:T317"/>
    <mergeCell ref="B318:O318"/>
    <mergeCell ref="P318:Q318"/>
    <mergeCell ref="R318:T318"/>
    <mergeCell ref="B315:O315"/>
    <mergeCell ref="P315:Q315"/>
    <mergeCell ref="R315:T315"/>
    <mergeCell ref="B316:O316"/>
    <mergeCell ref="P316:Q316"/>
    <mergeCell ref="R316:T316"/>
    <mergeCell ref="B313:O313"/>
    <mergeCell ref="P313:Q313"/>
    <mergeCell ref="R313:T313"/>
    <mergeCell ref="B314:O314"/>
    <mergeCell ref="P314:Q314"/>
    <mergeCell ref="R314:T314"/>
    <mergeCell ref="B311:O311"/>
    <mergeCell ref="P311:Q311"/>
    <mergeCell ref="R311:T311"/>
    <mergeCell ref="B312:O312"/>
    <mergeCell ref="P312:Q312"/>
    <mergeCell ref="R312:T312"/>
    <mergeCell ref="B309:O309"/>
    <mergeCell ref="P309:Q309"/>
    <mergeCell ref="R309:T309"/>
    <mergeCell ref="B310:O310"/>
    <mergeCell ref="P310:Q310"/>
    <mergeCell ref="R310:T310"/>
    <mergeCell ref="B307:O307"/>
    <mergeCell ref="P307:Q307"/>
    <mergeCell ref="R307:T307"/>
    <mergeCell ref="B308:O308"/>
    <mergeCell ref="P308:Q308"/>
    <mergeCell ref="R308:T308"/>
    <mergeCell ref="B305:O305"/>
    <mergeCell ref="P305:Q305"/>
    <mergeCell ref="R305:T305"/>
    <mergeCell ref="B306:O306"/>
    <mergeCell ref="P306:Q306"/>
    <mergeCell ref="R306:T306"/>
    <mergeCell ref="B303:O303"/>
    <mergeCell ref="P303:Q303"/>
    <mergeCell ref="R303:T303"/>
    <mergeCell ref="B304:O304"/>
    <mergeCell ref="P304:Q304"/>
    <mergeCell ref="R304:T304"/>
    <mergeCell ref="B301:O301"/>
    <mergeCell ref="P301:Q301"/>
    <mergeCell ref="R301:T301"/>
    <mergeCell ref="B302:O302"/>
    <mergeCell ref="P302:Q302"/>
    <mergeCell ref="R302:T302"/>
    <mergeCell ref="B299:O299"/>
    <mergeCell ref="P299:Q299"/>
    <mergeCell ref="R299:T299"/>
    <mergeCell ref="B300:O300"/>
    <mergeCell ref="P300:Q300"/>
    <mergeCell ref="R300:T300"/>
    <mergeCell ref="B297:O297"/>
    <mergeCell ref="P297:Q297"/>
    <mergeCell ref="R297:T297"/>
    <mergeCell ref="B298:O298"/>
    <mergeCell ref="P298:Q298"/>
    <mergeCell ref="R298:T298"/>
    <mergeCell ref="B295:O295"/>
    <mergeCell ref="P295:Q295"/>
    <mergeCell ref="R295:T295"/>
    <mergeCell ref="B296:O296"/>
    <mergeCell ref="P296:Q296"/>
    <mergeCell ref="R296:T296"/>
    <mergeCell ref="B293:O293"/>
    <mergeCell ref="P293:Q293"/>
    <mergeCell ref="R293:T293"/>
    <mergeCell ref="B294:O294"/>
    <mergeCell ref="P294:Q294"/>
    <mergeCell ref="R294:T294"/>
    <mergeCell ref="B291:O291"/>
    <mergeCell ref="P291:Q291"/>
    <mergeCell ref="R291:T291"/>
    <mergeCell ref="B292:O292"/>
    <mergeCell ref="P292:Q292"/>
    <mergeCell ref="R292:T292"/>
    <mergeCell ref="B289:O289"/>
    <mergeCell ref="P289:Q289"/>
    <mergeCell ref="R289:T289"/>
    <mergeCell ref="B290:O290"/>
    <mergeCell ref="P290:Q290"/>
    <mergeCell ref="R290:T290"/>
    <mergeCell ref="B287:O287"/>
    <mergeCell ref="P287:Q287"/>
    <mergeCell ref="R287:T287"/>
    <mergeCell ref="B288:O288"/>
    <mergeCell ref="P288:Q288"/>
    <mergeCell ref="R288:T288"/>
    <mergeCell ref="B285:O285"/>
    <mergeCell ref="P285:Q285"/>
    <mergeCell ref="R285:T285"/>
    <mergeCell ref="B286:O286"/>
    <mergeCell ref="P286:Q286"/>
    <mergeCell ref="R286:T286"/>
    <mergeCell ref="B283:O283"/>
    <mergeCell ref="P283:Q283"/>
    <mergeCell ref="R283:T283"/>
    <mergeCell ref="B284:O284"/>
    <mergeCell ref="P284:Q284"/>
    <mergeCell ref="R284:T284"/>
    <mergeCell ref="B281:O281"/>
    <mergeCell ref="P281:Q281"/>
    <mergeCell ref="R281:T281"/>
    <mergeCell ref="B282:O282"/>
    <mergeCell ref="P282:Q282"/>
    <mergeCell ref="R282:T282"/>
    <mergeCell ref="B279:O279"/>
    <mergeCell ref="P279:Q279"/>
    <mergeCell ref="R279:T279"/>
    <mergeCell ref="B280:O280"/>
    <mergeCell ref="P280:Q280"/>
    <mergeCell ref="R280:T280"/>
    <mergeCell ref="B277:O277"/>
    <mergeCell ref="P277:Q277"/>
    <mergeCell ref="R277:T277"/>
    <mergeCell ref="B278:O278"/>
    <mergeCell ref="P278:Q278"/>
    <mergeCell ref="R278:T278"/>
    <mergeCell ref="B275:O275"/>
    <mergeCell ref="P275:Q275"/>
    <mergeCell ref="R275:T275"/>
    <mergeCell ref="B276:O276"/>
    <mergeCell ref="P276:Q276"/>
    <mergeCell ref="R276:T276"/>
    <mergeCell ref="B273:O273"/>
    <mergeCell ref="P273:Q273"/>
    <mergeCell ref="R273:T273"/>
    <mergeCell ref="B274:O274"/>
    <mergeCell ref="P274:Q274"/>
    <mergeCell ref="R274:T274"/>
    <mergeCell ref="B271:O271"/>
    <mergeCell ref="P271:Q271"/>
    <mergeCell ref="R271:T271"/>
    <mergeCell ref="B272:O272"/>
    <mergeCell ref="P272:Q272"/>
    <mergeCell ref="R272:T272"/>
    <mergeCell ref="B269:O269"/>
    <mergeCell ref="P269:Q269"/>
    <mergeCell ref="R269:T269"/>
    <mergeCell ref="B270:O270"/>
    <mergeCell ref="P270:Q270"/>
    <mergeCell ref="R270:T270"/>
    <mergeCell ref="B267:O267"/>
    <mergeCell ref="P267:Q267"/>
    <mergeCell ref="R267:T267"/>
    <mergeCell ref="B268:O268"/>
    <mergeCell ref="P268:Q268"/>
    <mergeCell ref="R268:T268"/>
    <mergeCell ref="B265:O265"/>
    <mergeCell ref="P265:Q265"/>
    <mergeCell ref="R265:T265"/>
    <mergeCell ref="B266:O266"/>
    <mergeCell ref="P266:Q266"/>
    <mergeCell ref="R266:T266"/>
    <mergeCell ref="B263:O263"/>
    <mergeCell ref="P263:Q263"/>
    <mergeCell ref="R263:T263"/>
    <mergeCell ref="B264:O264"/>
    <mergeCell ref="P264:Q264"/>
    <mergeCell ref="R264:T264"/>
    <mergeCell ref="B261:O261"/>
    <mergeCell ref="P261:Q261"/>
    <mergeCell ref="R261:T261"/>
    <mergeCell ref="B262:O262"/>
    <mergeCell ref="P262:Q262"/>
    <mergeCell ref="R262:T262"/>
    <mergeCell ref="B259:O259"/>
    <mergeCell ref="P259:Q259"/>
    <mergeCell ref="R259:T259"/>
    <mergeCell ref="B260:O260"/>
    <mergeCell ref="P260:Q260"/>
    <mergeCell ref="R260:T260"/>
    <mergeCell ref="B257:O257"/>
    <mergeCell ref="P257:Q257"/>
    <mergeCell ref="R257:T257"/>
    <mergeCell ref="B258:O258"/>
    <mergeCell ref="P258:Q258"/>
    <mergeCell ref="R258:T258"/>
    <mergeCell ref="B255:O255"/>
    <mergeCell ref="P255:Q255"/>
    <mergeCell ref="R255:T255"/>
    <mergeCell ref="B256:O256"/>
    <mergeCell ref="P256:Q256"/>
    <mergeCell ref="R256:T256"/>
    <mergeCell ref="B253:O253"/>
    <mergeCell ref="P253:Q253"/>
    <mergeCell ref="R253:T253"/>
    <mergeCell ref="B254:O254"/>
    <mergeCell ref="P254:Q254"/>
    <mergeCell ref="R254:T254"/>
    <mergeCell ref="B251:O251"/>
    <mergeCell ref="P251:Q251"/>
    <mergeCell ref="R251:T251"/>
    <mergeCell ref="B252:O252"/>
    <mergeCell ref="P252:Q252"/>
    <mergeCell ref="R252:T252"/>
    <mergeCell ref="B249:O249"/>
    <mergeCell ref="P249:Q249"/>
    <mergeCell ref="R249:T249"/>
    <mergeCell ref="B250:O250"/>
    <mergeCell ref="P250:Q250"/>
    <mergeCell ref="R250:T250"/>
    <mergeCell ref="B247:O247"/>
    <mergeCell ref="P247:Q247"/>
    <mergeCell ref="R247:T247"/>
    <mergeCell ref="B248:O248"/>
    <mergeCell ref="P248:Q248"/>
    <mergeCell ref="R248:T248"/>
    <mergeCell ref="B245:O245"/>
    <mergeCell ref="P245:Q245"/>
    <mergeCell ref="R245:T245"/>
    <mergeCell ref="B246:O246"/>
    <mergeCell ref="P246:Q246"/>
    <mergeCell ref="R246:T246"/>
    <mergeCell ref="B243:O243"/>
    <mergeCell ref="P243:Q243"/>
    <mergeCell ref="R243:T243"/>
    <mergeCell ref="B244:O244"/>
    <mergeCell ref="P244:Q244"/>
    <mergeCell ref="R244:T244"/>
    <mergeCell ref="B241:O241"/>
    <mergeCell ref="P241:Q241"/>
    <mergeCell ref="R241:T241"/>
    <mergeCell ref="B242:O242"/>
    <mergeCell ref="P242:Q242"/>
    <mergeCell ref="R242:T242"/>
    <mergeCell ref="B239:O239"/>
    <mergeCell ref="P239:Q239"/>
    <mergeCell ref="R239:T239"/>
    <mergeCell ref="B240:O240"/>
    <mergeCell ref="P240:Q240"/>
    <mergeCell ref="R240:T240"/>
    <mergeCell ref="B237:O237"/>
    <mergeCell ref="P237:Q237"/>
    <mergeCell ref="R237:T237"/>
    <mergeCell ref="B238:O238"/>
    <mergeCell ref="P238:Q238"/>
    <mergeCell ref="R238:T238"/>
    <mergeCell ref="B235:O235"/>
    <mergeCell ref="P235:Q235"/>
    <mergeCell ref="R235:T235"/>
    <mergeCell ref="B236:O236"/>
    <mergeCell ref="P236:Q236"/>
    <mergeCell ref="R236:T236"/>
    <mergeCell ref="B233:O233"/>
    <mergeCell ref="P233:Q233"/>
    <mergeCell ref="R233:T233"/>
    <mergeCell ref="B234:O234"/>
    <mergeCell ref="P234:Q234"/>
    <mergeCell ref="R234:T234"/>
    <mergeCell ref="B231:O231"/>
    <mergeCell ref="P231:Q231"/>
    <mergeCell ref="R231:T231"/>
    <mergeCell ref="B232:O232"/>
    <mergeCell ref="P232:Q232"/>
    <mergeCell ref="R232:T232"/>
    <mergeCell ref="B229:O229"/>
    <mergeCell ref="P229:Q229"/>
    <mergeCell ref="R229:T229"/>
    <mergeCell ref="B230:O230"/>
    <mergeCell ref="P230:Q230"/>
    <mergeCell ref="R230:T230"/>
    <mergeCell ref="B227:O227"/>
    <mergeCell ref="P227:Q227"/>
    <mergeCell ref="R227:T227"/>
    <mergeCell ref="B228:O228"/>
    <mergeCell ref="P228:Q228"/>
    <mergeCell ref="R228:T228"/>
    <mergeCell ref="B225:O225"/>
    <mergeCell ref="P225:Q225"/>
    <mergeCell ref="R225:T225"/>
    <mergeCell ref="B226:O226"/>
    <mergeCell ref="P226:Q226"/>
    <mergeCell ref="R226:T226"/>
    <mergeCell ref="B223:O223"/>
    <mergeCell ref="P223:Q223"/>
    <mergeCell ref="R223:T223"/>
    <mergeCell ref="B224:O224"/>
    <mergeCell ref="P224:Q224"/>
    <mergeCell ref="R224:T224"/>
    <mergeCell ref="B221:O221"/>
    <mergeCell ref="P221:Q221"/>
    <mergeCell ref="R221:T221"/>
    <mergeCell ref="B222:O222"/>
    <mergeCell ref="P222:Q222"/>
    <mergeCell ref="R222:T222"/>
    <mergeCell ref="B219:O219"/>
    <mergeCell ref="P219:Q219"/>
    <mergeCell ref="R219:T219"/>
    <mergeCell ref="B220:O220"/>
    <mergeCell ref="P220:Q220"/>
    <mergeCell ref="R220:T220"/>
    <mergeCell ref="B217:O217"/>
    <mergeCell ref="P217:Q217"/>
    <mergeCell ref="R217:T217"/>
    <mergeCell ref="B218:O218"/>
    <mergeCell ref="P218:Q218"/>
    <mergeCell ref="R218:T218"/>
    <mergeCell ref="B215:O215"/>
    <mergeCell ref="P215:Q215"/>
    <mergeCell ref="R215:T215"/>
    <mergeCell ref="B216:O216"/>
    <mergeCell ref="P216:Q216"/>
    <mergeCell ref="R216:T216"/>
    <mergeCell ref="B213:O213"/>
    <mergeCell ref="P213:Q213"/>
    <mergeCell ref="R213:T213"/>
    <mergeCell ref="B214:O214"/>
    <mergeCell ref="P214:Q214"/>
    <mergeCell ref="R214:T214"/>
    <mergeCell ref="B211:O211"/>
    <mergeCell ref="P211:Q211"/>
    <mergeCell ref="R211:T211"/>
    <mergeCell ref="B212:O212"/>
    <mergeCell ref="P212:Q212"/>
    <mergeCell ref="R212:T212"/>
    <mergeCell ref="B209:O209"/>
    <mergeCell ref="P209:Q209"/>
    <mergeCell ref="R209:T209"/>
    <mergeCell ref="B210:O210"/>
    <mergeCell ref="P210:Q210"/>
    <mergeCell ref="R210:T210"/>
    <mergeCell ref="B207:O207"/>
    <mergeCell ref="P207:Q207"/>
    <mergeCell ref="R207:T207"/>
    <mergeCell ref="B208:O208"/>
    <mergeCell ref="P208:Q208"/>
    <mergeCell ref="R208:T208"/>
    <mergeCell ref="B205:O205"/>
    <mergeCell ref="P205:Q205"/>
    <mergeCell ref="R205:T205"/>
    <mergeCell ref="B206:O206"/>
    <mergeCell ref="P206:Q206"/>
    <mergeCell ref="R206:T206"/>
    <mergeCell ref="B203:O203"/>
    <mergeCell ref="P203:Q203"/>
    <mergeCell ref="R203:T203"/>
    <mergeCell ref="B204:O204"/>
    <mergeCell ref="P204:Q204"/>
    <mergeCell ref="R204:T204"/>
    <mergeCell ref="B201:O201"/>
    <mergeCell ref="P201:Q201"/>
    <mergeCell ref="R201:T201"/>
    <mergeCell ref="B202:O202"/>
    <mergeCell ref="P202:Q202"/>
    <mergeCell ref="R202:T202"/>
    <mergeCell ref="B199:O199"/>
    <mergeCell ref="P199:Q199"/>
    <mergeCell ref="R199:T199"/>
    <mergeCell ref="B200:O200"/>
    <mergeCell ref="P200:Q200"/>
    <mergeCell ref="R200:T200"/>
    <mergeCell ref="B197:O197"/>
    <mergeCell ref="P197:Q197"/>
    <mergeCell ref="R197:T197"/>
    <mergeCell ref="B198:O198"/>
    <mergeCell ref="P198:Q198"/>
    <mergeCell ref="R198:T198"/>
    <mergeCell ref="B195:O195"/>
    <mergeCell ref="P195:Q195"/>
    <mergeCell ref="R195:T195"/>
    <mergeCell ref="B196:O196"/>
    <mergeCell ref="P196:Q196"/>
    <mergeCell ref="R196:T196"/>
    <mergeCell ref="B193:O193"/>
    <mergeCell ref="P193:Q193"/>
    <mergeCell ref="R193:T193"/>
    <mergeCell ref="B194:O194"/>
    <mergeCell ref="P194:Q194"/>
    <mergeCell ref="R194:T194"/>
    <mergeCell ref="B191:O191"/>
    <mergeCell ref="P191:Q191"/>
    <mergeCell ref="R191:T191"/>
    <mergeCell ref="B192:O192"/>
    <mergeCell ref="P192:Q192"/>
    <mergeCell ref="R192:T192"/>
    <mergeCell ref="B189:O189"/>
    <mergeCell ref="P189:Q189"/>
    <mergeCell ref="R189:T189"/>
    <mergeCell ref="B190:O190"/>
    <mergeCell ref="P190:Q190"/>
    <mergeCell ref="R190:T190"/>
    <mergeCell ref="B187:O187"/>
    <mergeCell ref="P187:Q187"/>
    <mergeCell ref="R187:T187"/>
    <mergeCell ref="B188:O188"/>
    <mergeCell ref="P188:Q188"/>
    <mergeCell ref="R188:T188"/>
    <mergeCell ref="B185:O185"/>
    <mergeCell ref="P185:Q185"/>
    <mergeCell ref="R185:T185"/>
    <mergeCell ref="B186:O186"/>
    <mergeCell ref="P186:Q186"/>
    <mergeCell ref="R186:T186"/>
    <mergeCell ref="B183:O183"/>
    <mergeCell ref="P183:Q183"/>
    <mergeCell ref="R183:T183"/>
    <mergeCell ref="B184:O184"/>
    <mergeCell ref="P184:Q184"/>
    <mergeCell ref="R184:T184"/>
    <mergeCell ref="B181:O181"/>
    <mergeCell ref="P181:Q181"/>
    <mergeCell ref="R181:T181"/>
    <mergeCell ref="B182:O182"/>
    <mergeCell ref="P182:Q182"/>
    <mergeCell ref="R182:T182"/>
    <mergeCell ref="B179:O179"/>
    <mergeCell ref="P179:Q179"/>
    <mergeCell ref="R179:T179"/>
    <mergeCell ref="B180:O180"/>
    <mergeCell ref="P180:Q180"/>
    <mergeCell ref="R180:T180"/>
    <mergeCell ref="B177:O177"/>
    <mergeCell ref="P177:Q177"/>
    <mergeCell ref="R177:T177"/>
    <mergeCell ref="B178:O178"/>
    <mergeCell ref="P178:Q178"/>
    <mergeCell ref="R178:T178"/>
    <mergeCell ref="B175:O175"/>
    <mergeCell ref="P175:Q175"/>
    <mergeCell ref="R175:T175"/>
    <mergeCell ref="B176:O176"/>
    <mergeCell ref="P176:Q176"/>
    <mergeCell ref="R176:T176"/>
    <mergeCell ref="B173:O173"/>
    <mergeCell ref="P173:Q173"/>
    <mergeCell ref="R173:T173"/>
    <mergeCell ref="B174:O174"/>
    <mergeCell ref="P174:Q174"/>
    <mergeCell ref="R174:T174"/>
    <mergeCell ref="B171:O171"/>
    <mergeCell ref="P171:Q171"/>
    <mergeCell ref="R171:T171"/>
    <mergeCell ref="B172:O172"/>
    <mergeCell ref="P172:Q172"/>
    <mergeCell ref="R172:T172"/>
    <mergeCell ref="B169:O169"/>
    <mergeCell ref="P169:Q169"/>
    <mergeCell ref="R169:T169"/>
    <mergeCell ref="B170:O170"/>
    <mergeCell ref="P170:Q170"/>
    <mergeCell ref="R170:T170"/>
    <mergeCell ref="B167:O167"/>
    <mergeCell ref="P167:Q167"/>
    <mergeCell ref="R167:T167"/>
    <mergeCell ref="B168:O168"/>
    <mergeCell ref="P168:Q168"/>
    <mergeCell ref="R168:T168"/>
    <mergeCell ref="B165:O165"/>
    <mergeCell ref="P165:Q165"/>
    <mergeCell ref="R165:T165"/>
    <mergeCell ref="B166:O166"/>
    <mergeCell ref="P166:Q166"/>
    <mergeCell ref="R166:T166"/>
    <mergeCell ref="B163:O163"/>
    <mergeCell ref="P163:Q163"/>
    <mergeCell ref="R163:T163"/>
    <mergeCell ref="B164:O164"/>
    <mergeCell ref="P164:Q164"/>
    <mergeCell ref="R164:T164"/>
    <mergeCell ref="B161:O161"/>
    <mergeCell ref="P161:Q161"/>
    <mergeCell ref="R161:T161"/>
    <mergeCell ref="B162:O162"/>
    <mergeCell ref="P162:Q162"/>
    <mergeCell ref="R162:T162"/>
    <mergeCell ref="B159:O159"/>
    <mergeCell ref="P159:Q159"/>
    <mergeCell ref="R159:T159"/>
    <mergeCell ref="B160:O160"/>
    <mergeCell ref="P160:Q160"/>
    <mergeCell ref="R160:T160"/>
    <mergeCell ref="B157:O157"/>
    <mergeCell ref="P157:Q157"/>
    <mergeCell ref="R157:T157"/>
    <mergeCell ref="B158:O158"/>
    <mergeCell ref="P158:Q158"/>
    <mergeCell ref="R158:T158"/>
    <mergeCell ref="B155:O155"/>
    <mergeCell ref="P155:Q155"/>
    <mergeCell ref="R155:T155"/>
    <mergeCell ref="B156:O156"/>
    <mergeCell ref="P156:Q156"/>
    <mergeCell ref="R156:T156"/>
    <mergeCell ref="B153:O153"/>
    <mergeCell ref="P153:Q153"/>
    <mergeCell ref="R153:T153"/>
    <mergeCell ref="B154:O154"/>
    <mergeCell ref="P154:Q154"/>
    <mergeCell ref="R154:T154"/>
    <mergeCell ref="B151:O151"/>
    <mergeCell ref="P151:Q151"/>
    <mergeCell ref="R151:T151"/>
    <mergeCell ref="B152:O152"/>
    <mergeCell ref="P152:Q152"/>
    <mergeCell ref="R152:T152"/>
    <mergeCell ref="B149:O149"/>
    <mergeCell ref="P149:Q149"/>
    <mergeCell ref="R149:T149"/>
    <mergeCell ref="B150:O150"/>
    <mergeCell ref="P150:Q150"/>
    <mergeCell ref="R150:T150"/>
    <mergeCell ref="B147:O147"/>
    <mergeCell ref="P147:Q147"/>
    <mergeCell ref="R147:T147"/>
    <mergeCell ref="B148:O148"/>
    <mergeCell ref="P148:Q148"/>
    <mergeCell ref="R148:T148"/>
    <mergeCell ref="B145:O145"/>
    <mergeCell ref="P145:Q145"/>
    <mergeCell ref="R145:T145"/>
    <mergeCell ref="B146:O146"/>
    <mergeCell ref="P146:Q146"/>
    <mergeCell ref="R146:T146"/>
    <mergeCell ref="B143:O143"/>
    <mergeCell ref="P143:Q143"/>
    <mergeCell ref="R143:T143"/>
    <mergeCell ref="B144:O144"/>
    <mergeCell ref="P144:Q144"/>
    <mergeCell ref="R144:T144"/>
    <mergeCell ref="B141:O141"/>
    <mergeCell ref="P141:Q141"/>
    <mergeCell ref="R141:T141"/>
    <mergeCell ref="B142:O142"/>
    <mergeCell ref="P142:Q142"/>
    <mergeCell ref="R142:T142"/>
    <mergeCell ref="B139:O139"/>
    <mergeCell ref="P139:Q139"/>
    <mergeCell ref="R139:T139"/>
    <mergeCell ref="B140:O140"/>
    <mergeCell ref="P140:Q140"/>
    <mergeCell ref="R140:T140"/>
    <mergeCell ref="B137:O137"/>
    <mergeCell ref="P137:Q137"/>
    <mergeCell ref="R137:T137"/>
    <mergeCell ref="B138:O138"/>
    <mergeCell ref="P138:Q138"/>
    <mergeCell ref="R138:T138"/>
    <mergeCell ref="B135:O135"/>
    <mergeCell ref="P135:Q135"/>
    <mergeCell ref="R135:T135"/>
    <mergeCell ref="B136:O136"/>
    <mergeCell ref="P136:Q136"/>
    <mergeCell ref="R136:T136"/>
    <mergeCell ref="B133:O133"/>
    <mergeCell ref="P133:Q133"/>
    <mergeCell ref="R133:T133"/>
    <mergeCell ref="B134:O134"/>
    <mergeCell ref="P134:Q134"/>
    <mergeCell ref="R134:T134"/>
    <mergeCell ref="B131:O131"/>
    <mergeCell ref="P131:Q131"/>
    <mergeCell ref="R131:T131"/>
    <mergeCell ref="B132:O132"/>
    <mergeCell ref="P132:Q132"/>
    <mergeCell ref="R132:T132"/>
    <mergeCell ref="B129:O129"/>
    <mergeCell ref="P129:Q129"/>
    <mergeCell ref="R129:T129"/>
    <mergeCell ref="B130:O130"/>
    <mergeCell ref="P130:Q130"/>
    <mergeCell ref="R130:T130"/>
    <mergeCell ref="B127:O127"/>
    <mergeCell ref="P127:Q127"/>
    <mergeCell ref="R127:T127"/>
    <mergeCell ref="B128:O128"/>
    <mergeCell ref="P128:Q128"/>
    <mergeCell ref="R128:T128"/>
    <mergeCell ref="B125:O125"/>
    <mergeCell ref="P125:Q125"/>
    <mergeCell ref="R125:T125"/>
    <mergeCell ref="B126:O126"/>
    <mergeCell ref="P126:Q126"/>
    <mergeCell ref="R126:T126"/>
    <mergeCell ref="B123:O123"/>
    <mergeCell ref="P123:Q123"/>
    <mergeCell ref="R123:T123"/>
    <mergeCell ref="B124:O124"/>
    <mergeCell ref="P124:Q124"/>
    <mergeCell ref="R124:T124"/>
    <mergeCell ref="B120:T120"/>
    <mergeCell ref="B121:O121"/>
    <mergeCell ref="P121:Q121"/>
    <mergeCell ref="R121:T121"/>
    <mergeCell ref="B122:O122"/>
    <mergeCell ref="P122:Q122"/>
    <mergeCell ref="R122:T122"/>
    <mergeCell ref="B118:O118"/>
    <mergeCell ref="P118:Q118"/>
    <mergeCell ref="R118:T118"/>
    <mergeCell ref="B119:O119"/>
    <mergeCell ref="P119:Q119"/>
    <mergeCell ref="R119:T119"/>
    <mergeCell ref="B116:O116"/>
    <mergeCell ref="P116:Q116"/>
    <mergeCell ref="R116:T116"/>
    <mergeCell ref="B117:O117"/>
    <mergeCell ref="P117:Q117"/>
    <mergeCell ref="R117:T117"/>
    <mergeCell ref="B114:O114"/>
    <mergeCell ref="P114:Q114"/>
    <mergeCell ref="R114:T114"/>
    <mergeCell ref="B115:O115"/>
    <mergeCell ref="P115:Q115"/>
    <mergeCell ref="R115:T115"/>
    <mergeCell ref="B112:O112"/>
    <mergeCell ref="P112:Q112"/>
    <mergeCell ref="R112:T112"/>
    <mergeCell ref="B113:O113"/>
    <mergeCell ref="P113:Q113"/>
    <mergeCell ref="R113:T113"/>
    <mergeCell ref="B110:O110"/>
    <mergeCell ref="P110:Q110"/>
    <mergeCell ref="R110:T110"/>
    <mergeCell ref="B111:O111"/>
    <mergeCell ref="P111:Q111"/>
    <mergeCell ref="R111:T111"/>
    <mergeCell ref="B108:O108"/>
    <mergeCell ref="P108:Q108"/>
    <mergeCell ref="R108:T108"/>
    <mergeCell ref="B109:O109"/>
    <mergeCell ref="P109:Q109"/>
    <mergeCell ref="R109:T109"/>
    <mergeCell ref="B106:O106"/>
    <mergeCell ref="P106:Q106"/>
    <mergeCell ref="R106:T106"/>
    <mergeCell ref="B107:O107"/>
    <mergeCell ref="P107:Q107"/>
    <mergeCell ref="R107:T107"/>
    <mergeCell ref="B104:O104"/>
    <mergeCell ref="P104:Q104"/>
    <mergeCell ref="R104:T104"/>
    <mergeCell ref="B105:O105"/>
    <mergeCell ref="P105:Q105"/>
    <mergeCell ref="R105:T105"/>
    <mergeCell ref="B102:O102"/>
    <mergeCell ref="P102:Q102"/>
    <mergeCell ref="R102:T102"/>
    <mergeCell ref="B103:O103"/>
    <mergeCell ref="P103:Q103"/>
    <mergeCell ref="R103:T103"/>
    <mergeCell ref="B100:O100"/>
    <mergeCell ref="P100:Q100"/>
    <mergeCell ref="R100:T100"/>
    <mergeCell ref="B101:O101"/>
    <mergeCell ref="P101:Q101"/>
    <mergeCell ref="R101:T101"/>
    <mergeCell ref="B98:O98"/>
    <mergeCell ref="P98:Q98"/>
    <mergeCell ref="R98:T98"/>
    <mergeCell ref="B99:O99"/>
    <mergeCell ref="P99:Q99"/>
    <mergeCell ref="R99:T99"/>
    <mergeCell ref="B96:O96"/>
    <mergeCell ref="P96:Q96"/>
    <mergeCell ref="R96:T96"/>
    <mergeCell ref="B97:O97"/>
    <mergeCell ref="P97:Q97"/>
    <mergeCell ref="R97:T97"/>
    <mergeCell ref="B94:O94"/>
    <mergeCell ref="P94:Q94"/>
    <mergeCell ref="R94:T94"/>
    <mergeCell ref="B95:O95"/>
    <mergeCell ref="P95:Q95"/>
    <mergeCell ref="R95:T95"/>
    <mergeCell ref="B92:O92"/>
    <mergeCell ref="P92:Q92"/>
    <mergeCell ref="R92:T92"/>
    <mergeCell ref="B93:O93"/>
    <mergeCell ref="P93:Q93"/>
    <mergeCell ref="R93:T93"/>
    <mergeCell ref="B90:O90"/>
    <mergeCell ref="P90:Q90"/>
    <mergeCell ref="R90:T90"/>
    <mergeCell ref="B91:O91"/>
    <mergeCell ref="P91:Q91"/>
    <mergeCell ref="R91:T91"/>
    <mergeCell ref="B88:O88"/>
    <mergeCell ref="P88:Q88"/>
    <mergeCell ref="R88:T88"/>
    <mergeCell ref="B89:O89"/>
    <mergeCell ref="P89:Q89"/>
    <mergeCell ref="R89:T89"/>
    <mergeCell ref="B86:O86"/>
    <mergeCell ref="P86:Q86"/>
    <mergeCell ref="R86:T86"/>
    <mergeCell ref="B87:O87"/>
    <mergeCell ref="P87:Q87"/>
    <mergeCell ref="R87:T87"/>
    <mergeCell ref="B84:O84"/>
    <mergeCell ref="P84:Q84"/>
    <mergeCell ref="R84:T84"/>
    <mergeCell ref="B85:O85"/>
    <mergeCell ref="P85:Q85"/>
    <mergeCell ref="R85:T85"/>
    <mergeCell ref="B82:O82"/>
    <mergeCell ref="P82:Q82"/>
    <mergeCell ref="R82:T82"/>
    <mergeCell ref="B83:O83"/>
    <mergeCell ref="P83:Q83"/>
    <mergeCell ref="R83:T83"/>
    <mergeCell ref="B80:O80"/>
    <mergeCell ref="P80:Q80"/>
    <mergeCell ref="R80:T80"/>
    <mergeCell ref="B81:O81"/>
    <mergeCell ref="P81:Q81"/>
    <mergeCell ref="R81:T81"/>
    <mergeCell ref="B78:O78"/>
    <mergeCell ref="P78:Q78"/>
    <mergeCell ref="R78:T78"/>
    <mergeCell ref="B79:O79"/>
    <mergeCell ref="P79:Q79"/>
    <mergeCell ref="R79:T79"/>
    <mergeCell ref="B76:O76"/>
    <mergeCell ref="P76:Q76"/>
    <mergeCell ref="R76:T76"/>
    <mergeCell ref="B77:O77"/>
    <mergeCell ref="P77:Q77"/>
    <mergeCell ref="R77:T77"/>
    <mergeCell ref="B74:O74"/>
    <mergeCell ref="P74:Q74"/>
    <mergeCell ref="R74:T74"/>
    <mergeCell ref="B75:O75"/>
    <mergeCell ref="P75:Q75"/>
    <mergeCell ref="R75:T75"/>
    <mergeCell ref="B72:O72"/>
    <mergeCell ref="P72:Q72"/>
    <mergeCell ref="R72:T72"/>
    <mergeCell ref="B73:O73"/>
    <mergeCell ref="P73:Q73"/>
    <mergeCell ref="R73:T73"/>
    <mergeCell ref="B70:O70"/>
    <mergeCell ref="P70:Q70"/>
    <mergeCell ref="R70:T70"/>
    <mergeCell ref="B71:O71"/>
    <mergeCell ref="P71:Q71"/>
    <mergeCell ref="R71:T71"/>
    <mergeCell ref="B68:O68"/>
    <mergeCell ref="P68:Q68"/>
    <mergeCell ref="R68:T68"/>
    <mergeCell ref="B69:O69"/>
    <mergeCell ref="P69:Q69"/>
    <mergeCell ref="R69:T69"/>
    <mergeCell ref="B66:O66"/>
    <mergeCell ref="P66:Q66"/>
    <mergeCell ref="R66:T66"/>
    <mergeCell ref="B67:O67"/>
    <mergeCell ref="P67:Q67"/>
    <mergeCell ref="R67:T67"/>
    <mergeCell ref="B64:O64"/>
    <mergeCell ref="P64:Q64"/>
    <mergeCell ref="R64:T64"/>
    <mergeCell ref="B65:O65"/>
    <mergeCell ref="P65:Q65"/>
    <mergeCell ref="R65:T65"/>
    <mergeCell ref="B62:O62"/>
    <mergeCell ref="P62:Q62"/>
    <mergeCell ref="R62:T62"/>
    <mergeCell ref="B63:O63"/>
    <mergeCell ref="P63:Q63"/>
    <mergeCell ref="R63:T63"/>
    <mergeCell ref="B60:O60"/>
    <mergeCell ref="P60:Q60"/>
    <mergeCell ref="R60:T60"/>
    <mergeCell ref="B61:O61"/>
    <mergeCell ref="P61:Q61"/>
    <mergeCell ref="R61:T61"/>
    <mergeCell ref="B58:O58"/>
    <mergeCell ref="P58:Q58"/>
    <mergeCell ref="R58:T58"/>
    <mergeCell ref="B59:O59"/>
    <mergeCell ref="P59:Q59"/>
    <mergeCell ref="R59:T59"/>
    <mergeCell ref="B56:O56"/>
    <mergeCell ref="P56:Q56"/>
    <mergeCell ref="R56:T56"/>
    <mergeCell ref="B57:O57"/>
    <mergeCell ref="P57:Q57"/>
    <mergeCell ref="R57:T57"/>
    <mergeCell ref="B54:O54"/>
    <mergeCell ref="P54:Q54"/>
    <mergeCell ref="R54:T54"/>
    <mergeCell ref="B55:O55"/>
    <mergeCell ref="P55:Q55"/>
    <mergeCell ref="R55:T55"/>
    <mergeCell ref="B52:O52"/>
    <mergeCell ref="P52:Q52"/>
    <mergeCell ref="R52:T52"/>
    <mergeCell ref="B53:O53"/>
    <mergeCell ref="P53:Q53"/>
    <mergeCell ref="R53:T53"/>
    <mergeCell ref="B50:O50"/>
    <mergeCell ref="P50:Q50"/>
    <mergeCell ref="R50:T50"/>
    <mergeCell ref="B51:O51"/>
    <mergeCell ref="P51:Q51"/>
    <mergeCell ref="R51:T51"/>
    <mergeCell ref="B48:O48"/>
    <mergeCell ref="P48:Q48"/>
    <mergeCell ref="R48:T48"/>
    <mergeCell ref="B49:O49"/>
    <mergeCell ref="P49:Q49"/>
    <mergeCell ref="R49:T49"/>
    <mergeCell ref="B46:O46"/>
    <mergeCell ref="P46:Q46"/>
    <mergeCell ref="R46:T46"/>
    <mergeCell ref="B47:O47"/>
    <mergeCell ref="P47:Q47"/>
    <mergeCell ref="R47:T47"/>
    <mergeCell ref="B44:O44"/>
    <mergeCell ref="P44:Q44"/>
    <mergeCell ref="R44:T44"/>
    <mergeCell ref="B45:O45"/>
    <mergeCell ref="P45:Q45"/>
    <mergeCell ref="R45:T45"/>
    <mergeCell ref="B42:O42"/>
    <mergeCell ref="P42:Q42"/>
    <mergeCell ref="R42:T42"/>
    <mergeCell ref="B43:O43"/>
    <mergeCell ref="P43:Q43"/>
    <mergeCell ref="R43:T43"/>
    <mergeCell ref="B40:O40"/>
    <mergeCell ref="P40:Q40"/>
    <mergeCell ref="R40:T40"/>
    <mergeCell ref="B41:O41"/>
    <mergeCell ref="P41:Q41"/>
    <mergeCell ref="R41:T41"/>
    <mergeCell ref="B38:O38"/>
    <mergeCell ref="P38:Q38"/>
    <mergeCell ref="R38:T38"/>
    <mergeCell ref="B39:O39"/>
    <mergeCell ref="P39:Q39"/>
    <mergeCell ref="R39:T39"/>
    <mergeCell ref="B36:O36"/>
    <mergeCell ref="P36:Q36"/>
    <mergeCell ref="R36:T36"/>
    <mergeCell ref="B37:O37"/>
    <mergeCell ref="P37:Q37"/>
    <mergeCell ref="R37:T37"/>
    <mergeCell ref="B34:O34"/>
    <mergeCell ref="P34:Q34"/>
    <mergeCell ref="R34:T34"/>
    <mergeCell ref="B35:O35"/>
    <mergeCell ref="P35:Q35"/>
    <mergeCell ref="R35:T35"/>
    <mergeCell ref="B32:O32"/>
    <mergeCell ref="P32:Q32"/>
    <mergeCell ref="R32:T32"/>
    <mergeCell ref="B33:O33"/>
    <mergeCell ref="P33:Q33"/>
    <mergeCell ref="R33:T33"/>
    <mergeCell ref="B30:O30"/>
    <mergeCell ref="P30:Q30"/>
    <mergeCell ref="R30:T30"/>
    <mergeCell ref="B31:O31"/>
    <mergeCell ref="P31:Q31"/>
    <mergeCell ref="R31:T31"/>
    <mergeCell ref="B28:O28"/>
    <mergeCell ref="P28:Q28"/>
    <mergeCell ref="R28:T28"/>
    <mergeCell ref="B29:O29"/>
    <mergeCell ref="P29:Q29"/>
    <mergeCell ref="R29:T29"/>
    <mergeCell ref="B26:O26"/>
    <mergeCell ref="P26:Q26"/>
    <mergeCell ref="R26:T26"/>
    <mergeCell ref="B27:O27"/>
    <mergeCell ref="P27:Q27"/>
    <mergeCell ref="R27:T27"/>
    <mergeCell ref="B24:O24"/>
    <mergeCell ref="P24:Q24"/>
    <mergeCell ref="R24:T24"/>
    <mergeCell ref="B25:O25"/>
    <mergeCell ref="P25:Q25"/>
    <mergeCell ref="R25:T25"/>
    <mergeCell ref="B22:O22"/>
    <mergeCell ref="P22:Q22"/>
    <mergeCell ref="R22:T22"/>
    <mergeCell ref="B23:O23"/>
    <mergeCell ref="P23:Q23"/>
    <mergeCell ref="R23:T23"/>
    <mergeCell ref="B20:O20"/>
    <mergeCell ref="P20:Q20"/>
    <mergeCell ref="R20:T20"/>
    <mergeCell ref="B21:O21"/>
    <mergeCell ref="P21:Q21"/>
    <mergeCell ref="R21:T21"/>
    <mergeCell ref="B18:O18"/>
    <mergeCell ref="P18:Q18"/>
    <mergeCell ref="R18:T18"/>
    <mergeCell ref="B19:O19"/>
    <mergeCell ref="P19:Q19"/>
    <mergeCell ref="R19:T19"/>
    <mergeCell ref="B16:O16"/>
    <mergeCell ref="P16:Q16"/>
    <mergeCell ref="R16:T16"/>
    <mergeCell ref="B17:O17"/>
    <mergeCell ref="P17:Q17"/>
    <mergeCell ref="R17:T17"/>
    <mergeCell ref="B14:O14"/>
    <mergeCell ref="P14:Q14"/>
    <mergeCell ref="R14:T14"/>
    <mergeCell ref="B15:O15"/>
    <mergeCell ref="P15:Q15"/>
    <mergeCell ref="R15:T15"/>
    <mergeCell ref="B12:O12"/>
    <mergeCell ref="P12:Q12"/>
    <mergeCell ref="R12:T12"/>
    <mergeCell ref="B13:O13"/>
    <mergeCell ref="P13:Q13"/>
    <mergeCell ref="R13:T13"/>
    <mergeCell ref="A8:F8"/>
    <mergeCell ref="L8:T8"/>
    <mergeCell ref="U9:U11"/>
    <mergeCell ref="A10:T10"/>
    <mergeCell ref="B11:O11"/>
    <mergeCell ref="P11:Q11"/>
    <mergeCell ref="R11:T11"/>
    <mergeCell ref="A5:F5"/>
    <mergeCell ref="L5:T5"/>
    <mergeCell ref="A6:F6"/>
    <mergeCell ref="L6:T6"/>
    <mergeCell ref="A7:F7"/>
    <mergeCell ref="L7:T7"/>
    <mergeCell ref="L1:T1"/>
    <mergeCell ref="L2:T2"/>
    <mergeCell ref="A3:F3"/>
    <mergeCell ref="L3:T3"/>
    <mergeCell ref="A4:F4"/>
    <mergeCell ref="L4:T4"/>
  </mergeCells>
  <pageMargins left="0.74803149606299213" right="0.74803149606299213" top="0.98425196850393704" bottom="0.98425196850393704" header="0.51181102362204722" footer="0.51181102362204722"/>
  <pageSetup paperSize="9" scale="91" fitToHeight="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ВОР</vt:lpstr>
      <vt:lpstr>ВОР!Область_печати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Леонов Владислав Юрьевич</dc:creator>
  <cp:lastModifiedBy>Леонов Владислав Юрьевич</cp:lastModifiedBy>
  <cp:lastPrinted>2024-12-24T09:55:28Z</cp:lastPrinted>
  <dcterms:created xsi:type="dcterms:W3CDTF">2024-12-24T09:53:00Z</dcterms:created>
  <dcterms:modified xsi:type="dcterms:W3CDTF">2024-12-24T09:55:47Z</dcterms:modified>
</cp:coreProperties>
</file>